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HMD\CICLO 2018-2019\ADMÓN Y TESORERÍA\COMITE FINANZAS\REPORTES\MARZO\"/>
    </mc:Choice>
  </mc:AlternateContent>
  <bookViews>
    <workbookView xWindow="0" yWindow="0" windowWidth="20490" windowHeight="7050" tabRatio="910"/>
  </bookViews>
  <sheets>
    <sheet name="VIAJE A ISRAEL" sheetId="15" r:id="rId1"/>
    <sheet name="FONDO 2018-2019" sheetId="16" r:id="rId2"/>
    <sheet name="Patrocinios y Lonas" sheetId="20" r:id="rId3"/>
    <sheet name="Boletos rifa Kermesse" sheetId="18" r:id="rId4"/>
    <sheet name="BECAS 2018-2019" sheetId="17" r:id="rId5"/>
    <sheet name="Carrera" sheetId="19" r:id="rId6"/>
    <sheet name="EDO DE CTA 2017-2018" sheetId="21" r:id="rId7"/>
    <sheet name="hoja1" sheetId="13" state="hidden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3" hidden="1">'Boletos rifa Kermesse'!$A$1:$I$1</definedName>
    <definedName name="_xlnm._FilterDatabase" localSheetId="0" hidden="1">'VIAJE A ISRAEL'!$B$9:$W$97</definedName>
    <definedName name="_xlnm.Print_Area" localSheetId="4">'BECAS 2018-2019'!$K$10:$BJ$151</definedName>
    <definedName name="_xlnm.Print_Area" localSheetId="6">'EDO DE CTA 2017-2018'!#REF!</definedName>
    <definedName name="_xlnm.Print_Area" localSheetId="1">'FONDO 2018-2019'!#REF!</definedName>
    <definedName name="_xlnm.Print_Titles" localSheetId="4">'BECAS 2018-2019'!$4:$9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8" i="15" l="1"/>
  <c r="I97" i="15" l="1"/>
  <c r="M95" i="15" l="1"/>
  <c r="M94" i="15"/>
  <c r="M93" i="15"/>
  <c r="M92" i="15"/>
  <c r="M91" i="15"/>
  <c r="M90" i="15"/>
  <c r="M89" i="15"/>
  <c r="M88" i="15"/>
  <c r="M87" i="15"/>
  <c r="M85" i="15"/>
  <c r="M84" i="15"/>
  <c r="M83" i="15"/>
  <c r="M82" i="15"/>
  <c r="M81" i="15"/>
  <c r="M80" i="15"/>
  <c r="M79" i="15"/>
  <c r="M78" i="15"/>
  <c r="M77" i="15"/>
  <c r="M76" i="15"/>
  <c r="M75" i="15"/>
  <c r="M74" i="15"/>
  <c r="M73" i="15"/>
  <c r="M72" i="15"/>
  <c r="M71" i="15"/>
  <c r="M70" i="15"/>
  <c r="M69" i="15"/>
  <c r="M68" i="15"/>
  <c r="M67" i="15"/>
  <c r="M66" i="15"/>
  <c r="M65" i="15"/>
  <c r="M64" i="15"/>
  <c r="M63" i="15"/>
  <c r="M62" i="15"/>
  <c r="M61" i="15"/>
  <c r="M59" i="15"/>
  <c r="M58" i="15"/>
  <c r="M57" i="15"/>
  <c r="M55" i="15"/>
  <c r="M54" i="15"/>
  <c r="M53" i="15"/>
  <c r="M52" i="15"/>
  <c r="M51" i="15"/>
  <c r="M50" i="15"/>
  <c r="M48" i="15"/>
  <c r="M47" i="15"/>
  <c r="M46" i="15"/>
  <c r="M44" i="15"/>
  <c r="M43" i="15"/>
  <c r="M42" i="15"/>
  <c r="M41" i="15"/>
  <c r="M40" i="15"/>
  <c r="M39" i="15"/>
  <c r="M38" i="15"/>
  <c r="M37" i="15"/>
  <c r="M36" i="15"/>
  <c r="M35" i="15"/>
  <c r="M34" i="15"/>
  <c r="M33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J24" i="15"/>
  <c r="J32" i="15"/>
  <c r="J97" i="15" s="1"/>
  <c r="J100" i="15" s="1"/>
  <c r="J45" i="15"/>
  <c r="M45" i="15" s="1"/>
  <c r="J49" i="15"/>
  <c r="M49" i="15" s="1"/>
  <c r="K49" i="15"/>
  <c r="J56" i="15"/>
  <c r="M56" i="15" s="1"/>
  <c r="K56" i="15"/>
  <c r="K97" i="15" s="1"/>
  <c r="K100" i="15" s="1"/>
  <c r="L56" i="15"/>
  <c r="J58" i="15"/>
  <c r="J60" i="15"/>
  <c r="M60" i="15" s="1"/>
  <c r="K60" i="15"/>
  <c r="L60" i="15"/>
  <c r="J71" i="15"/>
  <c r="K71" i="15"/>
  <c r="J86" i="15"/>
  <c r="K86" i="15"/>
  <c r="M86" i="15" s="1"/>
  <c r="L86" i="15"/>
  <c r="J96" i="15"/>
  <c r="M96" i="15" s="1"/>
  <c r="F97" i="15"/>
  <c r="L97" i="15"/>
  <c r="L100" i="15" s="1"/>
  <c r="L99" i="15"/>
  <c r="K99" i="15"/>
  <c r="J99" i="15"/>
  <c r="F9" i="16"/>
  <c r="F10" i="16"/>
  <c r="F11" i="16"/>
  <c r="F12" i="16"/>
  <c r="F20" i="16"/>
  <c r="F23" i="20"/>
  <c r="F22" i="16"/>
  <c r="F23" i="16"/>
  <c r="F26" i="16"/>
  <c r="F28" i="16"/>
  <c r="E9" i="16"/>
  <c r="G9" i="16"/>
  <c r="E10" i="16"/>
  <c r="G10" i="16"/>
  <c r="E11" i="16"/>
  <c r="G11" i="16"/>
  <c r="E12" i="16"/>
  <c r="G12" i="16"/>
  <c r="G13" i="16"/>
  <c r="G14" i="16"/>
  <c r="G15" i="16"/>
  <c r="G16" i="16"/>
  <c r="E17" i="16"/>
  <c r="G17" i="16"/>
  <c r="G18" i="16"/>
  <c r="G20" i="16"/>
  <c r="F18" i="20"/>
  <c r="E22" i="16"/>
  <c r="G22" i="16"/>
  <c r="F33" i="20"/>
  <c r="F35" i="20"/>
  <c r="F37" i="20"/>
  <c r="E23" i="16"/>
  <c r="G23" i="16"/>
  <c r="G26" i="16"/>
  <c r="H10" i="21"/>
  <c r="H11" i="21"/>
  <c r="H12" i="21"/>
  <c r="H13" i="21"/>
  <c r="H14" i="21"/>
  <c r="H15" i="21"/>
  <c r="H16" i="21"/>
  <c r="H17" i="21"/>
  <c r="H18" i="21"/>
  <c r="H23" i="21"/>
  <c r="H25" i="21"/>
  <c r="H40" i="21"/>
  <c r="H42" i="21"/>
  <c r="H49" i="21"/>
  <c r="H51" i="21"/>
  <c r="G8" i="16"/>
  <c r="G28" i="16"/>
  <c r="E20" i="16"/>
  <c r="E26" i="16"/>
  <c r="E28" i="16"/>
  <c r="F46" i="21"/>
  <c r="H45" i="21"/>
  <c r="F45" i="21"/>
  <c r="E37" i="21"/>
  <c r="E35" i="21"/>
  <c r="E33" i="21"/>
  <c r="E31" i="21"/>
  <c r="G29" i="21"/>
  <c r="I14" i="21"/>
  <c r="I25" i="21"/>
  <c r="G19" i="21"/>
  <c r="F18" i="21"/>
  <c r="G18" i="21" s="1"/>
  <c r="F16" i="21"/>
  <c r="G16" i="21"/>
  <c r="F15" i="21"/>
  <c r="G15" i="21" s="1"/>
  <c r="E14" i="21"/>
  <c r="G14" i="21"/>
  <c r="E13" i="21"/>
  <c r="F13" i="21"/>
  <c r="G13" i="21"/>
  <c r="E12" i="21"/>
  <c r="G12" i="21" s="1"/>
  <c r="F12" i="21"/>
  <c r="E11" i="21"/>
  <c r="F11" i="21"/>
  <c r="G11" i="21"/>
  <c r="E10" i="21"/>
  <c r="F10" i="21"/>
  <c r="G10" i="21"/>
  <c r="F9" i="21"/>
  <c r="E9" i="21"/>
  <c r="G9" i="21"/>
  <c r="F8" i="21"/>
  <c r="F23" i="21"/>
  <c r="E8" i="21"/>
  <c r="G8" i="21"/>
  <c r="E23" i="21"/>
  <c r="G23" i="21"/>
  <c r="G25" i="21" s="1"/>
  <c r="G40" i="21" s="1"/>
  <c r="E25" i="21"/>
  <c r="F39" i="20"/>
  <c r="H97" i="15"/>
  <c r="F2" i="18"/>
  <c r="F4" i="18"/>
  <c r="F6" i="18"/>
  <c r="F7" i="18"/>
  <c r="F9" i="18"/>
  <c r="F10" i="18"/>
  <c r="E12" i="18"/>
  <c r="F12" i="18"/>
  <c r="F13" i="18"/>
  <c r="F14" i="18"/>
  <c r="F15" i="18"/>
  <c r="F16" i="18"/>
  <c r="F17" i="18"/>
  <c r="F18" i="18"/>
  <c r="F19" i="18"/>
  <c r="F20" i="18"/>
  <c r="F22" i="18"/>
  <c r="F23" i="18"/>
  <c r="F25" i="18"/>
  <c r="F26" i="18"/>
  <c r="F28" i="18"/>
  <c r="F29" i="18"/>
  <c r="F32" i="18"/>
  <c r="F33" i="18"/>
  <c r="F35" i="18"/>
  <c r="F36" i="18"/>
  <c r="F37" i="18"/>
  <c r="F38" i="18"/>
  <c r="F40" i="18"/>
  <c r="F41" i="18"/>
  <c r="F42" i="18"/>
  <c r="F43" i="18"/>
  <c r="E44" i="18"/>
  <c r="F44" i="18"/>
  <c r="F45" i="18"/>
  <c r="F48" i="18"/>
  <c r="F49" i="18"/>
  <c r="F50" i="18"/>
  <c r="F52" i="18"/>
  <c r="F53" i="18"/>
  <c r="F55" i="18"/>
  <c r="F57" i="18"/>
  <c r="F58" i="18"/>
  <c r="F59" i="18"/>
  <c r="F60" i="18"/>
  <c r="E61" i="18"/>
  <c r="F61" i="18"/>
  <c r="F62" i="18"/>
  <c r="F63" i="18"/>
  <c r="F64" i="18"/>
  <c r="F65" i="18"/>
  <c r="F66" i="18"/>
  <c r="F67" i="18"/>
  <c r="F68" i="18"/>
  <c r="F69" i="18"/>
  <c r="F71" i="18"/>
  <c r="F72" i="18"/>
  <c r="E73" i="18"/>
  <c r="F73" i="18"/>
  <c r="F75" i="18"/>
  <c r="F76" i="18"/>
  <c r="F77" i="18"/>
  <c r="F78" i="18"/>
  <c r="F80" i="18"/>
  <c r="F81" i="18"/>
  <c r="F82" i="18"/>
  <c r="F83" i="18"/>
  <c r="E84" i="18"/>
  <c r="F84" i="18"/>
  <c r="F85" i="18"/>
  <c r="F86" i="18"/>
  <c r="F87" i="18"/>
  <c r="E3" i="18"/>
  <c r="F3" i="18"/>
  <c r="D71" i="19"/>
  <c r="D88" i="19"/>
  <c r="E79" i="18"/>
  <c r="F79" i="18"/>
  <c r="E74" i="18"/>
  <c r="F74" i="18"/>
  <c r="E70" i="18"/>
  <c r="F70" i="18"/>
  <c r="E56" i="18"/>
  <c r="F56" i="18"/>
  <c r="E54" i="18"/>
  <c r="F54" i="18"/>
  <c r="E51" i="18"/>
  <c r="F51" i="18"/>
  <c r="E47" i="18"/>
  <c r="F47" i="18"/>
  <c r="E46" i="18"/>
  <c r="F46" i="18"/>
  <c r="E39" i="18"/>
  <c r="F39" i="18"/>
  <c r="E34" i="18"/>
  <c r="F34" i="18"/>
  <c r="E31" i="18"/>
  <c r="F31" i="18"/>
  <c r="E30" i="18"/>
  <c r="F30" i="18"/>
  <c r="E27" i="18"/>
  <c r="F27" i="18"/>
  <c r="E24" i="18"/>
  <c r="F24" i="18"/>
  <c r="E21" i="18"/>
  <c r="F21" i="18"/>
  <c r="E11" i="18"/>
  <c r="F11" i="18"/>
  <c r="E8" i="18"/>
  <c r="F8" i="18"/>
  <c r="E5" i="18"/>
  <c r="F5" i="18"/>
  <c r="E88" i="18"/>
  <c r="BZ164" i="17"/>
  <c r="BZ165" i="17"/>
  <c r="BZ169" i="17"/>
  <c r="BZ156" i="17"/>
  <c r="BZ159" i="17"/>
  <c r="BM151" i="17"/>
  <c r="BC149" i="17"/>
  <c r="AZ149" i="17"/>
  <c r="AX149" i="17"/>
  <c r="AT149" i="17"/>
  <c r="AR149" i="17"/>
  <c r="AP149" i="17"/>
  <c r="AN149" i="17"/>
  <c r="AM149" i="17"/>
  <c r="AH149" i="17"/>
  <c r="Y149" i="17"/>
  <c r="V149" i="17"/>
  <c r="T149" i="17"/>
  <c r="R149" i="17"/>
  <c r="M149" i="17"/>
  <c r="L149" i="17"/>
  <c r="J149" i="17"/>
  <c r="H149" i="17"/>
  <c r="DB148" i="17"/>
  <c r="CW148" i="17"/>
  <c r="CX148" i="17"/>
  <c r="CU148" i="17"/>
  <c r="CQ148" i="17"/>
  <c r="CM148" i="17"/>
  <c r="CL148" i="17"/>
  <c r="CK148" i="17"/>
  <c r="CI148" i="17"/>
  <c r="BX148" i="17"/>
  <c r="BR148" i="17"/>
  <c r="BS148" i="17"/>
  <c r="BT148" i="17"/>
  <c r="BU148" i="17"/>
  <c r="BP148" i="17"/>
  <c r="BQ148" i="17"/>
  <c r="BA148" i="17"/>
  <c r="AL148" i="17"/>
  <c r="AS148" i="17"/>
  <c r="AK148" i="17"/>
  <c r="BG148" i="17"/>
  <c r="BH148" i="17"/>
  <c r="AJ148" i="17"/>
  <c r="AG148" i="17"/>
  <c r="Q148" i="17"/>
  <c r="AD148" i="17"/>
  <c r="P148" i="17"/>
  <c r="AB148" i="17"/>
  <c r="O148" i="17"/>
  <c r="W148" i="17"/>
  <c r="X148" i="17"/>
  <c r="F148" i="17"/>
  <c r="D148" i="17"/>
  <c r="C148" i="17"/>
  <c r="DB147" i="17"/>
  <c r="CI147" i="17"/>
  <c r="CL147" i="17"/>
  <c r="CW147" i="17"/>
  <c r="CM147" i="17"/>
  <c r="CZ147" i="17"/>
  <c r="CX147" i="17"/>
  <c r="CU147" i="17"/>
  <c r="CY147" i="17"/>
  <c r="CQ147" i="17"/>
  <c r="CK147" i="17"/>
  <c r="CR147" i="17"/>
  <c r="BX147" i="17"/>
  <c r="BR147" i="17"/>
  <c r="BS147" i="17"/>
  <c r="BP147" i="17"/>
  <c r="BQ147" i="17"/>
  <c r="AO147" i="17"/>
  <c r="AQ147" i="17"/>
  <c r="AS147" i="17"/>
  <c r="BD147" i="17"/>
  <c r="AV147" i="17"/>
  <c r="AY147" i="17"/>
  <c r="BA147" i="17"/>
  <c r="BJ147" i="17"/>
  <c r="BG147" i="17"/>
  <c r="BH147" i="17"/>
  <c r="BE147" i="17"/>
  <c r="BI147" i="17"/>
  <c r="AG147" i="17"/>
  <c r="AA147" i="17"/>
  <c r="Q147" i="17"/>
  <c r="AD147" i="17"/>
  <c r="P147" i="17"/>
  <c r="AB147" i="17"/>
  <c r="O147" i="17"/>
  <c r="U147" i="17"/>
  <c r="F147" i="17"/>
  <c r="D147" i="17"/>
  <c r="C147" i="17"/>
  <c r="DB146" i="17"/>
  <c r="CW146" i="17"/>
  <c r="CX146" i="17"/>
  <c r="CU146" i="17"/>
  <c r="CQ146" i="17"/>
  <c r="CM146" i="17"/>
  <c r="CL146" i="17"/>
  <c r="CK146" i="17"/>
  <c r="CI146" i="17"/>
  <c r="BX146" i="17"/>
  <c r="BR146" i="17"/>
  <c r="BS146" i="17"/>
  <c r="BP146" i="17"/>
  <c r="BQ146" i="17"/>
  <c r="BA146" i="17"/>
  <c r="AJ146" i="17"/>
  <c r="AO146" i="17"/>
  <c r="AL146" i="17"/>
  <c r="AS146" i="17"/>
  <c r="AK146" i="17"/>
  <c r="BG146" i="17"/>
  <c r="BH146" i="17"/>
  <c r="BD146" i="17"/>
  <c r="AG146" i="17"/>
  <c r="Q146" i="17"/>
  <c r="AD146" i="17"/>
  <c r="P146" i="17"/>
  <c r="AB146" i="17"/>
  <c r="O146" i="17"/>
  <c r="U146" i="17"/>
  <c r="F146" i="17"/>
  <c r="D146" i="17"/>
  <c r="C146" i="17"/>
  <c r="DB145" i="17"/>
  <c r="CW145" i="17"/>
  <c r="CX145" i="17"/>
  <c r="CU145" i="17"/>
  <c r="CQ145" i="17"/>
  <c r="CM145" i="17"/>
  <c r="CL145" i="17"/>
  <c r="CK145" i="17"/>
  <c r="CI145" i="17"/>
  <c r="BX145" i="17"/>
  <c r="BR145" i="17"/>
  <c r="BS145" i="17"/>
  <c r="BU145" i="17"/>
  <c r="BP145" i="17"/>
  <c r="BQ145" i="17"/>
  <c r="BA145" i="17"/>
  <c r="AL145" i="17"/>
  <c r="AS145" i="17"/>
  <c r="AK145" i="17"/>
  <c r="BG145" i="17"/>
  <c r="BH145" i="17"/>
  <c r="AJ145" i="17"/>
  <c r="AY145" i="17"/>
  <c r="F145" i="17"/>
  <c r="D145" i="17"/>
  <c r="C145" i="17"/>
  <c r="DB144" i="17"/>
  <c r="CU144" i="17"/>
  <c r="CW144" i="17"/>
  <c r="CX144" i="17"/>
  <c r="CY144" i="17"/>
  <c r="CQ144" i="17"/>
  <c r="CM144" i="17"/>
  <c r="CL144" i="17"/>
  <c r="CK144" i="17"/>
  <c r="CI144" i="17"/>
  <c r="DA144" i="17"/>
  <c r="CZ144" i="17"/>
  <c r="BX144" i="17"/>
  <c r="BR144" i="17"/>
  <c r="BS144" i="17"/>
  <c r="BP144" i="17"/>
  <c r="BQ144" i="17"/>
  <c r="AK144" i="17"/>
  <c r="BG144" i="17"/>
  <c r="BH144" i="17"/>
  <c r="BA144" i="17"/>
  <c r="AL144" i="17"/>
  <c r="AS144" i="17"/>
  <c r="AJ144" i="17"/>
  <c r="AG144" i="17"/>
  <c r="Q144" i="17"/>
  <c r="AD144" i="17"/>
  <c r="P144" i="17"/>
  <c r="O144" i="17"/>
  <c r="U144" i="17"/>
  <c r="F144" i="17"/>
  <c r="D144" i="17"/>
  <c r="C144" i="17"/>
  <c r="DB143" i="17"/>
  <c r="CW143" i="17"/>
  <c r="CU143" i="17"/>
  <c r="CQ143" i="17"/>
  <c r="CL143" i="17"/>
  <c r="CK143" i="17"/>
  <c r="CI143" i="17"/>
  <c r="BX143" i="17"/>
  <c r="BR143" i="17"/>
  <c r="BS143" i="17"/>
  <c r="BP143" i="17"/>
  <c r="BQ143" i="17"/>
  <c r="BA143" i="17"/>
  <c r="AL143" i="17"/>
  <c r="AS143" i="17"/>
  <c r="AK143" i="17"/>
  <c r="BG143" i="17"/>
  <c r="BH143" i="17"/>
  <c r="AJ143" i="17"/>
  <c r="F143" i="17"/>
  <c r="D143" i="17"/>
  <c r="C143" i="17"/>
  <c r="DB142" i="17"/>
  <c r="CW142" i="17"/>
  <c r="CU142" i="17"/>
  <c r="CQ142" i="17"/>
  <c r="CL142" i="17"/>
  <c r="CK142" i="17"/>
  <c r="CI142" i="17"/>
  <c r="CR142" i="17"/>
  <c r="BX142" i="17"/>
  <c r="BR142" i="17"/>
  <c r="BS142" i="17"/>
  <c r="BT142" i="17"/>
  <c r="BU142" i="17"/>
  <c r="BP142" i="17"/>
  <c r="BQ142" i="17"/>
  <c r="AJ142" i="17"/>
  <c r="BD142" i="17"/>
  <c r="BE142" i="17"/>
  <c r="BA142" i="17"/>
  <c r="AO142" i="17"/>
  <c r="AL142" i="17"/>
  <c r="AS142" i="17"/>
  <c r="AK142" i="17"/>
  <c r="AV142" i="17"/>
  <c r="AG142" i="17"/>
  <c r="Q142" i="17"/>
  <c r="AD142" i="17"/>
  <c r="P142" i="17"/>
  <c r="AB142" i="17"/>
  <c r="O142" i="17"/>
  <c r="U142" i="17"/>
  <c r="F142" i="17"/>
  <c r="D142" i="17"/>
  <c r="C142" i="17"/>
  <c r="DB141" i="17"/>
  <c r="CW141" i="17"/>
  <c r="CX141" i="17"/>
  <c r="CU141" i="17"/>
  <c r="CY141" i="17"/>
  <c r="CQ141" i="17"/>
  <c r="CM141" i="17"/>
  <c r="CL141" i="17"/>
  <c r="CI141" i="17"/>
  <c r="CZ141" i="17"/>
  <c r="CK141" i="17"/>
  <c r="DA141" i="17"/>
  <c r="BX141" i="17"/>
  <c r="BR141" i="17"/>
  <c r="BS141" i="17"/>
  <c r="BP141" i="17"/>
  <c r="BQ141" i="17"/>
  <c r="BA141" i="17"/>
  <c r="AL141" i="17"/>
  <c r="AS141" i="17"/>
  <c r="AK141" i="17"/>
  <c r="BG141" i="17"/>
  <c r="BH141" i="17"/>
  <c r="AJ141" i="17"/>
  <c r="BD141" i="17"/>
  <c r="AG141" i="17"/>
  <c r="O141" i="17"/>
  <c r="S141" i="17"/>
  <c r="Q141" i="17"/>
  <c r="AD141" i="17"/>
  <c r="P141" i="17"/>
  <c r="AB141" i="17"/>
  <c r="W141" i="17"/>
  <c r="X141" i="17"/>
  <c r="F141" i="17"/>
  <c r="D141" i="17"/>
  <c r="C141" i="17"/>
  <c r="DB140" i="17"/>
  <c r="CW140" i="17"/>
  <c r="CM140" i="17"/>
  <c r="CT140" i="17"/>
  <c r="CU140" i="17"/>
  <c r="CQ140" i="17"/>
  <c r="CO140" i="17"/>
  <c r="CL140" i="17"/>
  <c r="CJ140" i="17"/>
  <c r="CK140" i="17"/>
  <c r="CE140" i="17"/>
  <c r="CG140" i="17"/>
  <c r="CH140" i="17"/>
  <c r="CI140" i="17"/>
  <c r="DA140" i="17"/>
  <c r="CZ140" i="17"/>
  <c r="BX140" i="17"/>
  <c r="BR140" i="17"/>
  <c r="BS140" i="17"/>
  <c r="BU140" i="17"/>
  <c r="BT140" i="17"/>
  <c r="BP140" i="17"/>
  <c r="BQ140" i="17"/>
  <c r="BA140" i="17"/>
  <c r="AL140" i="17"/>
  <c r="AS140" i="17"/>
  <c r="AK140" i="17"/>
  <c r="BG140" i="17"/>
  <c r="BH140" i="17"/>
  <c r="AJ140" i="17"/>
  <c r="AQ140" i="17"/>
  <c r="AG140" i="17"/>
  <c r="Q140" i="17"/>
  <c r="AD140" i="17"/>
  <c r="P140" i="17"/>
  <c r="O140" i="17"/>
  <c r="U140" i="17"/>
  <c r="F140" i="17"/>
  <c r="D140" i="17"/>
  <c r="C140" i="17"/>
  <c r="DB139" i="17"/>
  <c r="CW139" i="17"/>
  <c r="CX139" i="17"/>
  <c r="CU139" i="17"/>
  <c r="CY139" i="17"/>
  <c r="CQ139" i="17"/>
  <c r="CM139" i="17"/>
  <c r="CL139" i="17"/>
  <c r="CI139" i="17"/>
  <c r="CZ139" i="17"/>
  <c r="CK139" i="17"/>
  <c r="DA139" i="17"/>
  <c r="BX139" i="17"/>
  <c r="BR139" i="17"/>
  <c r="BS139" i="17"/>
  <c r="BU139" i="17"/>
  <c r="BT139" i="17"/>
  <c r="BP139" i="17"/>
  <c r="BQ139" i="17"/>
  <c r="BA139" i="17"/>
  <c r="AL139" i="17"/>
  <c r="AS139" i="17"/>
  <c r="AK139" i="17"/>
  <c r="BG139" i="17"/>
  <c r="BH139" i="17"/>
  <c r="AJ139" i="17"/>
  <c r="AY139" i="17"/>
  <c r="AG139" i="17"/>
  <c r="AA139" i="17"/>
  <c r="Q139" i="17"/>
  <c r="AD139" i="17"/>
  <c r="P139" i="17"/>
  <c r="AB139" i="17"/>
  <c r="O139" i="17"/>
  <c r="F139" i="17"/>
  <c r="D139" i="17"/>
  <c r="C139" i="17"/>
  <c r="DB138" i="17"/>
  <c r="CU138" i="17"/>
  <c r="CW138" i="17"/>
  <c r="CX138" i="17"/>
  <c r="CY138" i="17"/>
  <c r="CQ138" i="17"/>
  <c r="CM138" i="17"/>
  <c r="CL138" i="17"/>
  <c r="CK138" i="17"/>
  <c r="CI138" i="17"/>
  <c r="CR138" i="17"/>
  <c r="BX138" i="17"/>
  <c r="BR138" i="17"/>
  <c r="BS138" i="17"/>
  <c r="BU138" i="17"/>
  <c r="BT138" i="17"/>
  <c r="BP138" i="17"/>
  <c r="BQ138" i="17"/>
  <c r="BA138" i="17"/>
  <c r="AL138" i="17"/>
  <c r="AS138" i="17"/>
  <c r="AK138" i="17"/>
  <c r="BG138" i="17"/>
  <c r="BH138" i="17"/>
  <c r="AJ138" i="17"/>
  <c r="AY138" i="17"/>
  <c r="AG138" i="17"/>
  <c r="AA138" i="17"/>
  <c r="Q138" i="17"/>
  <c r="AD138" i="17"/>
  <c r="P138" i="17"/>
  <c r="O138" i="17"/>
  <c r="W138" i="17"/>
  <c r="X138" i="17"/>
  <c r="F138" i="17"/>
  <c r="D138" i="17"/>
  <c r="C138" i="17"/>
  <c r="DB137" i="17"/>
  <c r="CW137" i="17"/>
  <c r="CX137" i="17"/>
  <c r="CM137" i="17"/>
  <c r="CT137" i="17"/>
  <c r="CU137" i="17"/>
  <c r="CQ137" i="17"/>
  <c r="CO137" i="17"/>
  <c r="CL137" i="17"/>
  <c r="CJ137" i="17"/>
  <c r="CK137" i="17"/>
  <c r="CE137" i="17"/>
  <c r="CG137" i="17"/>
  <c r="CH137" i="17"/>
  <c r="CI137" i="17"/>
  <c r="DA137" i="17"/>
  <c r="BX137" i="17"/>
  <c r="BR137" i="17"/>
  <c r="BS137" i="17"/>
  <c r="BP137" i="17"/>
  <c r="BQ137" i="17"/>
  <c r="BD137" i="17"/>
  <c r="BE137" i="17"/>
  <c r="BG137" i="17"/>
  <c r="BH137" i="17"/>
  <c r="BI137" i="17"/>
  <c r="BA137" i="17"/>
  <c r="AY137" i="17"/>
  <c r="AV137" i="17"/>
  <c r="AS137" i="17"/>
  <c r="AQ137" i="17"/>
  <c r="AO137" i="17"/>
  <c r="BV137" i="17"/>
  <c r="AG137" i="17"/>
  <c r="P137" i="17"/>
  <c r="AB137" i="17"/>
  <c r="Q137" i="17"/>
  <c r="AD137" i="17"/>
  <c r="O137" i="17"/>
  <c r="U137" i="17"/>
  <c r="F137" i="17"/>
  <c r="D137" i="17"/>
  <c r="C137" i="17"/>
  <c r="DB136" i="17"/>
  <c r="CW136" i="17"/>
  <c r="CX136" i="17"/>
  <c r="CT136" i="17"/>
  <c r="CU136" i="17"/>
  <c r="CY136" i="17"/>
  <c r="CQ136" i="17"/>
  <c r="CO136" i="17"/>
  <c r="CM136" i="17"/>
  <c r="CJ136" i="17"/>
  <c r="CK136" i="17"/>
  <c r="CH136" i="17"/>
  <c r="CI136" i="17"/>
  <c r="CE136" i="17"/>
  <c r="CR136" i="17"/>
  <c r="CG136" i="17"/>
  <c r="BX136" i="17"/>
  <c r="AO136" i="17"/>
  <c r="AQ136" i="17"/>
  <c r="AS136" i="17"/>
  <c r="AY136" i="17"/>
  <c r="BD136" i="17"/>
  <c r="BG136" i="17"/>
  <c r="BV136" i="17"/>
  <c r="BR136" i="17"/>
  <c r="BS136" i="17"/>
  <c r="BP136" i="17"/>
  <c r="BQ136" i="17"/>
  <c r="BA136" i="17"/>
  <c r="BK136" i="17"/>
  <c r="BH136" i="17"/>
  <c r="BE136" i="17"/>
  <c r="BI136" i="17"/>
  <c r="AV136" i="17"/>
  <c r="BJ136" i="17"/>
  <c r="AG136" i="17"/>
  <c r="Q136" i="17"/>
  <c r="AD136" i="17"/>
  <c r="P136" i="17"/>
  <c r="O136" i="17"/>
  <c r="U136" i="17"/>
  <c r="F136" i="17"/>
  <c r="D136" i="17"/>
  <c r="C136" i="17"/>
  <c r="DB135" i="17"/>
  <c r="CW135" i="17"/>
  <c r="CX135" i="17"/>
  <c r="CT135" i="17"/>
  <c r="CU135" i="17"/>
  <c r="CL135" i="17"/>
  <c r="CQ135" i="17"/>
  <c r="CO135" i="17"/>
  <c r="CM135" i="17"/>
  <c r="CJ135" i="17"/>
  <c r="CK135" i="17"/>
  <c r="CH135" i="17"/>
  <c r="CI135" i="17"/>
  <c r="CG135" i="17"/>
  <c r="CE135" i="17"/>
  <c r="BX135" i="17"/>
  <c r="BR135" i="17"/>
  <c r="BS135" i="17"/>
  <c r="BU135" i="17"/>
  <c r="BT135" i="17"/>
  <c r="BP135" i="17"/>
  <c r="BQ135" i="17"/>
  <c r="BA135" i="17"/>
  <c r="AL135" i="17"/>
  <c r="AS135" i="17"/>
  <c r="AK135" i="17"/>
  <c r="BG135" i="17"/>
  <c r="BH135" i="17"/>
  <c r="AJ135" i="17"/>
  <c r="AQ135" i="17"/>
  <c r="F135" i="17"/>
  <c r="D135" i="17"/>
  <c r="C135" i="17"/>
  <c r="DB134" i="17"/>
  <c r="CW134" i="17"/>
  <c r="CX134" i="17"/>
  <c r="CT134" i="17"/>
  <c r="CQ134" i="17"/>
  <c r="CO134" i="17"/>
  <c r="CM134" i="17"/>
  <c r="CJ134" i="17"/>
  <c r="CK134" i="17"/>
  <c r="CH134" i="17"/>
  <c r="CI134" i="17"/>
  <c r="CG134" i="17"/>
  <c r="CE134" i="17"/>
  <c r="BX134" i="17"/>
  <c r="BR134" i="17"/>
  <c r="BS134" i="17"/>
  <c r="BT134" i="17"/>
  <c r="BU134" i="17"/>
  <c r="BP134" i="17"/>
  <c r="BQ134" i="17"/>
  <c r="BA134" i="17"/>
  <c r="AL134" i="17"/>
  <c r="AS134" i="17"/>
  <c r="AK134" i="17"/>
  <c r="BG134" i="17"/>
  <c r="BH134" i="17"/>
  <c r="AJ134" i="17"/>
  <c r="BD134" i="17"/>
  <c r="AV134" i="17"/>
  <c r="AG134" i="17"/>
  <c r="Q134" i="17"/>
  <c r="AD134" i="17"/>
  <c r="P134" i="17"/>
  <c r="AB134" i="17"/>
  <c r="O134" i="17"/>
  <c r="F134" i="17"/>
  <c r="D134" i="17"/>
  <c r="C134" i="17"/>
  <c r="DB133" i="17"/>
  <c r="CW133" i="17"/>
  <c r="CX133" i="17"/>
  <c r="CM133" i="17"/>
  <c r="CT133" i="17"/>
  <c r="CU133" i="17"/>
  <c r="CY133" i="17"/>
  <c r="CQ133" i="17"/>
  <c r="CO133" i="17"/>
  <c r="CL133" i="17"/>
  <c r="CJ133" i="17"/>
  <c r="CK133" i="17"/>
  <c r="CH133" i="17"/>
  <c r="CI133" i="17"/>
  <c r="CG133" i="17"/>
  <c r="CE133" i="17"/>
  <c r="DA133" i="17"/>
  <c r="BX133" i="17"/>
  <c r="BR133" i="17"/>
  <c r="BS133" i="17"/>
  <c r="BP133" i="17"/>
  <c r="BQ133" i="17"/>
  <c r="BA133" i="17"/>
  <c r="AL133" i="17"/>
  <c r="AS133" i="17"/>
  <c r="AK133" i="17"/>
  <c r="BG133" i="17"/>
  <c r="BH133" i="17"/>
  <c r="AJ133" i="17"/>
  <c r="AY133" i="17"/>
  <c r="AG133" i="17"/>
  <c r="Q133" i="17"/>
  <c r="AD133" i="17"/>
  <c r="P133" i="17"/>
  <c r="AB133" i="17"/>
  <c r="O133" i="17"/>
  <c r="F133" i="17"/>
  <c r="D133" i="17"/>
  <c r="C133" i="17"/>
  <c r="DB132" i="17"/>
  <c r="CW132" i="17"/>
  <c r="CX132" i="17"/>
  <c r="CM132" i="17"/>
  <c r="CT132" i="17"/>
  <c r="CU132" i="17"/>
  <c r="CY132" i="17"/>
  <c r="CQ132" i="17"/>
  <c r="CO132" i="17"/>
  <c r="CL132" i="17"/>
  <c r="CJ132" i="17"/>
  <c r="CK132" i="17"/>
  <c r="CH132" i="17"/>
  <c r="CI132" i="17"/>
  <c r="CG132" i="17"/>
  <c r="CE132" i="17"/>
  <c r="BX132" i="17"/>
  <c r="BR132" i="17"/>
  <c r="BS132" i="17"/>
  <c r="BP132" i="17"/>
  <c r="BQ132" i="17"/>
  <c r="BA132" i="17"/>
  <c r="AJ132" i="17"/>
  <c r="AY132" i="17"/>
  <c r="AL132" i="17"/>
  <c r="AS132" i="17"/>
  <c r="AK132" i="17"/>
  <c r="BG132" i="17"/>
  <c r="BH132" i="17"/>
  <c r="AO132" i="17"/>
  <c r="AG132" i="17"/>
  <c r="P132" i="17"/>
  <c r="AB132" i="17"/>
  <c r="Q132" i="17"/>
  <c r="AD132" i="17"/>
  <c r="O132" i="17"/>
  <c r="U132" i="17"/>
  <c r="F132" i="17"/>
  <c r="D132" i="17"/>
  <c r="C132" i="17"/>
  <c r="DB131" i="17"/>
  <c r="CW131" i="17"/>
  <c r="CX131" i="17"/>
  <c r="CM131" i="17"/>
  <c r="CT131" i="17"/>
  <c r="CU131" i="17"/>
  <c r="CY131" i="17"/>
  <c r="CQ131" i="17"/>
  <c r="CO131" i="17"/>
  <c r="CL131" i="17"/>
  <c r="CJ131" i="17"/>
  <c r="CK131" i="17"/>
  <c r="CH131" i="17"/>
  <c r="CI131" i="17"/>
  <c r="CG131" i="17"/>
  <c r="CE131" i="17"/>
  <c r="BX131" i="17"/>
  <c r="BR131" i="17"/>
  <c r="BS131" i="17"/>
  <c r="BP131" i="17"/>
  <c r="BQ131" i="17"/>
  <c r="BG131" i="17"/>
  <c r="BH131" i="17"/>
  <c r="BA131" i="17"/>
  <c r="AJ131" i="17"/>
  <c r="AO131" i="17"/>
  <c r="AL131" i="17"/>
  <c r="AS131" i="17"/>
  <c r="BD131" i="17"/>
  <c r="AV131" i="17"/>
  <c r="AG131" i="17"/>
  <c r="Q131" i="17"/>
  <c r="AD131" i="17"/>
  <c r="P131" i="17"/>
  <c r="AB131" i="17"/>
  <c r="O131" i="17"/>
  <c r="U131" i="17"/>
  <c r="F131" i="17"/>
  <c r="D131" i="17"/>
  <c r="C131" i="17"/>
  <c r="DB130" i="17"/>
  <c r="CW130" i="17"/>
  <c r="CT130" i="17"/>
  <c r="CU130" i="17"/>
  <c r="CQ130" i="17"/>
  <c r="CO130" i="17"/>
  <c r="CJ130" i="17"/>
  <c r="CK130" i="17"/>
  <c r="CH130" i="17"/>
  <c r="CI130" i="17"/>
  <c r="CG130" i="17"/>
  <c r="CE130" i="17"/>
  <c r="BX130" i="17"/>
  <c r="BR130" i="17"/>
  <c r="BS130" i="17"/>
  <c r="BU130" i="17"/>
  <c r="BT130" i="17"/>
  <c r="BP130" i="17"/>
  <c r="BQ130" i="17"/>
  <c r="BA130" i="17"/>
  <c r="AL130" i="17"/>
  <c r="AS130" i="17"/>
  <c r="AK130" i="17"/>
  <c r="BG130" i="17"/>
  <c r="BH130" i="17"/>
  <c r="AJ130" i="17"/>
  <c r="BD130" i="17"/>
  <c r="AG130" i="17"/>
  <c r="Q130" i="17"/>
  <c r="AD130" i="17"/>
  <c r="P130" i="17"/>
  <c r="AB130" i="17"/>
  <c r="O130" i="17"/>
  <c r="U130" i="17"/>
  <c r="F130" i="17"/>
  <c r="D130" i="17"/>
  <c r="C130" i="17"/>
  <c r="DB129" i="17"/>
  <c r="CW129" i="17"/>
  <c r="CT129" i="17"/>
  <c r="CU129" i="17"/>
  <c r="CQ129" i="17"/>
  <c r="CO129" i="17"/>
  <c r="CJ129" i="17"/>
  <c r="CK129" i="17"/>
  <c r="CH129" i="17"/>
  <c r="CI129" i="17"/>
  <c r="CG129" i="17"/>
  <c r="CE129" i="17"/>
  <c r="BX129" i="17"/>
  <c r="BR129" i="17"/>
  <c r="BS129" i="17"/>
  <c r="BU129" i="17"/>
  <c r="BT129" i="17"/>
  <c r="BP129" i="17"/>
  <c r="BQ129" i="17"/>
  <c r="AK129" i="17"/>
  <c r="BG129" i="17"/>
  <c r="BH129" i="17"/>
  <c r="BA129" i="17"/>
  <c r="AL129" i="17"/>
  <c r="AS129" i="17"/>
  <c r="AJ129" i="17"/>
  <c r="BD129" i="17"/>
  <c r="AG129" i="17"/>
  <c r="Q129" i="17"/>
  <c r="AD129" i="17"/>
  <c r="P129" i="17"/>
  <c r="AB129" i="17"/>
  <c r="O129" i="17"/>
  <c r="U129" i="17"/>
  <c r="F129" i="17"/>
  <c r="D129" i="17"/>
  <c r="C129" i="17"/>
  <c r="DB128" i="17"/>
  <c r="CW128" i="17"/>
  <c r="CT128" i="17"/>
  <c r="CU128" i="17"/>
  <c r="CQ128" i="17"/>
  <c r="CO128" i="17"/>
  <c r="CJ128" i="17"/>
  <c r="CK128" i="17"/>
  <c r="CH128" i="17"/>
  <c r="CI128" i="17"/>
  <c r="CG128" i="17"/>
  <c r="CE128" i="17"/>
  <c r="BX128" i="17"/>
  <c r="BR128" i="17"/>
  <c r="BS128" i="17"/>
  <c r="BU128" i="17"/>
  <c r="BT128" i="17"/>
  <c r="BP128" i="17"/>
  <c r="BQ128" i="17"/>
  <c r="BA128" i="17"/>
  <c r="AL128" i="17"/>
  <c r="AS128" i="17"/>
  <c r="AK128" i="17"/>
  <c r="BG128" i="17"/>
  <c r="BH128" i="17"/>
  <c r="AJ128" i="17"/>
  <c r="BD128" i="17"/>
  <c r="AG128" i="17"/>
  <c r="Q128" i="17"/>
  <c r="AD128" i="17"/>
  <c r="P128" i="17"/>
  <c r="AB128" i="17"/>
  <c r="O128" i="17"/>
  <c r="W128" i="17"/>
  <c r="X128" i="17"/>
  <c r="F128" i="17"/>
  <c r="D128" i="17"/>
  <c r="C128" i="17"/>
  <c r="DB127" i="17"/>
  <c r="CQ127" i="17"/>
  <c r="BY127" i="17"/>
  <c r="CA127" i="17"/>
  <c r="CK127" i="17"/>
  <c r="BX127" i="17"/>
  <c r="BW127" i="17"/>
  <c r="BR127" i="17"/>
  <c r="BS127" i="17"/>
  <c r="BT127" i="17"/>
  <c r="BU127" i="17"/>
  <c r="BP127" i="17"/>
  <c r="BQ127" i="17"/>
  <c r="BG127" i="17"/>
  <c r="BH127" i="17"/>
  <c r="BA127" i="17"/>
  <c r="AL127" i="17"/>
  <c r="AS127" i="17"/>
  <c r="AJ127" i="17"/>
  <c r="AQ127" i="17"/>
  <c r="AG127" i="17"/>
  <c r="Q127" i="17"/>
  <c r="AD127" i="17"/>
  <c r="P127" i="17"/>
  <c r="AB127" i="17"/>
  <c r="O127" i="17"/>
  <c r="U127" i="17"/>
  <c r="G127" i="17"/>
  <c r="F127" i="17"/>
  <c r="D127" i="17"/>
  <c r="C127" i="17"/>
  <c r="DB126" i="17"/>
  <c r="CQ126" i="17"/>
  <c r="BY126" i="17"/>
  <c r="BZ126" i="17"/>
  <c r="CE126" i="17"/>
  <c r="CA126" i="17"/>
  <c r="BX126" i="17"/>
  <c r="BW126" i="17"/>
  <c r="BR126" i="17"/>
  <c r="BS126" i="17"/>
  <c r="BT126" i="17"/>
  <c r="BU126" i="17"/>
  <c r="BP126" i="17"/>
  <c r="BQ126" i="17"/>
  <c r="BG126" i="17"/>
  <c r="BH126" i="17"/>
  <c r="BA126" i="17"/>
  <c r="AL126" i="17"/>
  <c r="AS126" i="17"/>
  <c r="AJ126" i="17"/>
  <c r="BD126" i="17"/>
  <c r="AV126" i="17"/>
  <c r="AG126" i="17"/>
  <c r="Q126" i="17"/>
  <c r="AD126" i="17"/>
  <c r="P126" i="17"/>
  <c r="AB126" i="17"/>
  <c r="O126" i="17"/>
  <c r="U126" i="17"/>
  <c r="G126" i="17"/>
  <c r="F126" i="17"/>
  <c r="D126" i="17"/>
  <c r="C126" i="17"/>
  <c r="DB125" i="17"/>
  <c r="CQ125" i="17"/>
  <c r="BY125" i="17"/>
  <c r="BX125" i="17"/>
  <c r="BW125" i="17"/>
  <c r="BR125" i="17"/>
  <c r="BS125" i="17"/>
  <c r="BU125" i="17"/>
  <c r="BT125" i="17"/>
  <c r="BP125" i="17"/>
  <c r="BQ125" i="17"/>
  <c r="BG125" i="17"/>
  <c r="BH125" i="17"/>
  <c r="BA125" i="17"/>
  <c r="AL125" i="17"/>
  <c r="AJ125" i="17"/>
  <c r="BD125" i="17"/>
  <c r="BE125" i="17"/>
  <c r="BI125" i="17"/>
  <c r="AG125" i="17"/>
  <c r="Q125" i="17"/>
  <c r="AD125" i="17"/>
  <c r="P125" i="17"/>
  <c r="AB125" i="17"/>
  <c r="O125" i="17"/>
  <c r="W125" i="17"/>
  <c r="X125" i="17"/>
  <c r="G125" i="17"/>
  <c r="F125" i="17"/>
  <c r="D125" i="17"/>
  <c r="C125" i="17"/>
  <c r="DB124" i="17"/>
  <c r="CQ124" i="17"/>
  <c r="BY124" i="17"/>
  <c r="CA124" i="17"/>
  <c r="CK124" i="17"/>
  <c r="BX124" i="17"/>
  <c r="BW124" i="17"/>
  <c r="BR124" i="17"/>
  <c r="BS124" i="17"/>
  <c r="BT124" i="17"/>
  <c r="BU124" i="17"/>
  <c r="BP124" i="17"/>
  <c r="BQ124" i="17"/>
  <c r="BG124" i="17"/>
  <c r="BH124" i="17"/>
  <c r="BA124" i="17"/>
  <c r="AL124" i="17"/>
  <c r="AS124" i="17"/>
  <c r="AJ124" i="17"/>
  <c r="AG124" i="17"/>
  <c r="O124" i="17"/>
  <c r="S124" i="17"/>
  <c r="Q124" i="17"/>
  <c r="AD124" i="17"/>
  <c r="P124" i="17"/>
  <c r="U124" i="17"/>
  <c r="G124" i="17"/>
  <c r="F124" i="17"/>
  <c r="D124" i="17"/>
  <c r="C124" i="17"/>
  <c r="DB123" i="17"/>
  <c r="CQ123" i="17"/>
  <c r="BY123" i="17"/>
  <c r="BZ123" i="17"/>
  <c r="CO123" i="17"/>
  <c r="BX123" i="17"/>
  <c r="BW123" i="17"/>
  <c r="BR123" i="17"/>
  <c r="BS123" i="17"/>
  <c r="BP123" i="17"/>
  <c r="BQ123" i="17"/>
  <c r="BA123" i="17"/>
  <c r="AJ123" i="17"/>
  <c r="AQ123" i="17"/>
  <c r="AL123" i="17"/>
  <c r="AS123" i="17"/>
  <c r="AK123" i="17"/>
  <c r="BG123" i="17"/>
  <c r="BH123" i="17"/>
  <c r="AG123" i="17"/>
  <c r="O123" i="17"/>
  <c r="S123" i="17"/>
  <c r="Q123" i="17"/>
  <c r="AD123" i="17"/>
  <c r="P123" i="17"/>
  <c r="U123" i="17"/>
  <c r="G123" i="17"/>
  <c r="F123" i="17"/>
  <c r="D123" i="17"/>
  <c r="C123" i="17"/>
  <c r="DB122" i="17"/>
  <c r="CQ122" i="17"/>
  <c r="BY122" i="17"/>
  <c r="BZ122" i="17"/>
  <c r="CO122" i="17"/>
  <c r="BX122" i="17"/>
  <c r="BW122" i="17"/>
  <c r="BR122" i="17"/>
  <c r="BS122" i="17"/>
  <c r="BP122" i="17"/>
  <c r="BQ122" i="17"/>
  <c r="BA122" i="17"/>
  <c r="AL122" i="17"/>
  <c r="AS122" i="17"/>
  <c r="AK122" i="17"/>
  <c r="BG122" i="17"/>
  <c r="BH122" i="17"/>
  <c r="AJ122" i="17"/>
  <c r="AQ122" i="17"/>
  <c r="AG122" i="17"/>
  <c r="Q122" i="17"/>
  <c r="AD122" i="17"/>
  <c r="P122" i="17"/>
  <c r="O122" i="17"/>
  <c r="U122" i="17"/>
  <c r="G122" i="17"/>
  <c r="F122" i="17"/>
  <c r="D122" i="17"/>
  <c r="C122" i="17"/>
  <c r="DB121" i="17"/>
  <c r="CQ121" i="17"/>
  <c r="BY121" i="17"/>
  <c r="BZ121" i="17"/>
  <c r="CO121" i="17"/>
  <c r="BX121" i="17"/>
  <c r="BW121" i="17"/>
  <c r="BR121" i="17"/>
  <c r="BS121" i="17"/>
  <c r="BP121" i="17"/>
  <c r="BQ121" i="17"/>
  <c r="BA121" i="17"/>
  <c r="AL121" i="17"/>
  <c r="AS121" i="17"/>
  <c r="AK121" i="17"/>
  <c r="BG121" i="17"/>
  <c r="BH121" i="17"/>
  <c r="AJ121" i="17"/>
  <c r="G121" i="17"/>
  <c r="F121" i="17"/>
  <c r="D121" i="17"/>
  <c r="C121" i="17"/>
  <c r="DB120" i="17"/>
  <c r="CQ120" i="17"/>
  <c r="BY120" i="17"/>
  <c r="BZ120" i="17"/>
  <c r="CA120" i="17"/>
  <c r="BX120" i="17"/>
  <c r="BW120" i="17"/>
  <c r="BR120" i="17"/>
  <c r="BS120" i="17"/>
  <c r="BP120" i="17"/>
  <c r="BQ120" i="17"/>
  <c r="BA120" i="17"/>
  <c r="AJ120" i="17"/>
  <c r="AO120" i="17"/>
  <c r="AL120" i="17"/>
  <c r="AS120" i="17"/>
  <c r="AK120" i="17"/>
  <c r="BG120" i="17"/>
  <c r="BH120" i="17"/>
  <c r="BD120" i="17"/>
  <c r="AG120" i="17"/>
  <c r="Q120" i="17"/>
  <c r="AD120" i="17"/>
  <c r="P120" i="17"/>
  <c r="AB120" i="17"/>
  <c r="O120" i="17"/>
  <c r="U120" i="17"/>
  <c r="G120" i="17"/>
  <c r="F120" i="17"/>
  <c r="D120" i="17"/>
  <c r="C120" i="17"/>
  <c r="DB119" i="17"/>
  <c r="CQ119" i="17"/>
  <c r="BY119" i="17"/>
  <c r="CA119" i="17"/>
  <c r="BX119" i="17"/>
  <c r="BW119" i="17"/>
  <c r="BR119" i="17"/>
  <c r="BS119" i="17"/>
  <c r="BP119" i="17"/>
  <c r="BQ119" i="17"/>
  <c r="BA119" i="17"/>
  <c r="AL119" i="17"/>
  <c r="AS119" i="17"/>
  <c r="AK119" i="17"/>
  <c r="BG119" i="17"/>
  <c r="BH119" i="17"/>
  <c r="AJ119" i="17"/>
  <c r="AY119" i="17"/>
  <c r="AG119" i="17"/>
  <c r="O119" i="17"/>
  <c r="U119" i="17"/>
  <c r="Q119" i="17"/>
  <c r="AD119" i="17"/>
  <c r="P119" i="17"/>
  <c r="AB119" i="17"/>
  <c r="G119" i="17"/>
  <c r="F119" i="17"/>
  <c r="D119" i="17"/>
  <c r="C119" i="17"/>
  <c r="DB118" i="17"/>
  <c r="CQ118" i="17"/>
  <c r="BY118" i="17"/>
  <c r="CA118" i="17"/>
  <c r="BX118" i="17"/>
  <c r="BW118" i="17"/>
  <c r="BR118" i="17"/>
  <c r="BS118" i="17"/>
  <c r="BP118" i="17"/>
  <c r="BQ118" i="17"/>
  <c r="BA118" i="17"/>
  <c r="AL118" i="17"/>
  <c r="AS118" i="17"/>
  <c r="AK118" i="17"/>
  <c r="BG118" i="17"/>
  <c r="BH118" i="17"/>
  <c r="AJ118" i="17"/>
  <c r="BD118" i="17"/>
  <c r="AV118" i="17"/>
  <c r="AG118" i="17"/>
  <c r="O118" i="17"/>
  <c r="U118" i="17"/>
  <c r="Q118" i="17"/>
  <c r="AD118" i="17"/>
  <c r="P118" i="17"/>
  <c r="AB118" i="17"/>
  <c r="G118" i="17"/>
  <c r="F118" i="17"/>
  <c r="D118" i="17"/>
  <c r="C118" i="17"/>
  <c r="DB117" i="17"/>
  <c r="CQ117" i="17"/>
  <c r="BY117" i="17"/>
  <c r="CA117" i="17"/>
  <c r="BX117" i="17"/>
  <c r="BW117" i="17"/>
  <c r="BR117" i="17"/>
  <c r="BS117" i="17"/>
  <c r="BP117" i="17"/>
  <c r="BQ117" i="17"/>
  <c r="BA117" i="17"/>
  <c r="AL117" i="17"/>
  <c r="AS117" i="17"/>
  <c r="AK117" i="17"/>
  <c r="BG117" i="17"/>
  <c r="BH117" i="17"/>
  <c r="AJ117" i="17"/>
  <c r="BD117" i="17"/>
  <c r="AV117" i="17"/>
  <c r="AG117" i="17"/>
  <c r="Q117" i="17"/>
  <c r="AD117" i="17"/>
  <c r="P117" i="17"/>
  <c r="AB117" i="17"/>
  <c r="O117" i="17"/>
  <c r="G117" i="17"/>
  <c r="F117" i="17"/>
  <c r="D117" i="17"/>
  <c r="C117" i="17"/>
  <c r="DB116" i="17"/>
  <c r="CQ116" i="17"/>
  <c r="BY116" i="17"/>
  <c r="CA116" i="17"/>
  <c r="BX116" i="17"/>
  <c r="BW116" i="17"/>
  <c r="BR116" i="17"/>
  <c r="BS116" i="17"/>
  <c r="BP116" i="17"/>
  <c r="BQ116" i="17"/>
  <c r="BG116" i="17"/>
  <c r="BH116" i="17"/>
  <c r="BA116" i="17"/>
  <c r="AL116" i="17"/>
  <c r="AS116" i="17"/>
  <c r="AJ116" i="17"/>
  <c r="BD116" i="17"/>
  <c r="AG116" i="17"/>
  <c r="Q116" i="17"/>
  <c r="AD116" i="17"/>
  <c r="P116" i="17"/>
  <c r="AB116" i="17"/>
  <c r="O116" i="17"/>
  <c r="W116" i="17"/>
  <c r="X116" i="17"/>
  <c r="G116" i="17"/>
  <c r="F116" i="17"/>
  <c r="D116" i="17"/>
  <c r="C116" i="17"/>
  <c r="DB115" i="17"/>
  <c r="CQ115" i="17"/>
  <c r="BY115" i="17"/>
  <c r="CB115" i="17"/>
  <c r="CI115" i="17"/>
  <c r="BX115" i="17"/>
  <c r="BW115" i="17"/>
  <c r="BR115" i="17"/>
  <c r="BS115" i="17"/>
  <c r="BP115" i="17"/>
  <c r="BQ115" i="17"/>
  <c r="BA115" i="17"/>
  <c r="AL115" i="17"/>
  <c r="AS115" i="17"/>
  <c r="AK115" i="17"/>
  <c r="BG115" i="17"/>
  <c r="BH115" i="17"/>
  <c r="AJ115" i="17"/>
  <c r="AG115" i="17"/>
  <c r="Q115" i="17"/>
  <c r="AD115" i="17"/>
  <c r="P115" i="17"/>
  <c r="AB115" i="17"/>
  <c r="O115" i="17"/>
  <c r="Z115" i="17"/>
  <c r="G115" i="17"/>
  <c r="F115" i="17"/>
  <c r="D115" i="17"/>
  <c r="C115" i="17"/>
  <c r="DB114" i="17"/>
  <c r="CQ114" i="17"/>
  <c r="BY114" i="17"/>
  <c r="BX114" i="17"/>
  <c r="BW114" i="17"/>
  <c r="BR114" i="17"/>
  <c r="BS114" i="17"/>
  <c r="BU114" i="17"/>
  <c r="BT114" i="17"/>
  <c r="BP114" i="17"/>
  <c r="BQ114" i="17"/>
  <c r="BA114" i="17"/>
  <c r="AL114" i="17"/>
  <c r="AK114" i="17"/>
  <c r="BG114" i="17"/>
  <c r="BH114" i="17"/>
  <c r="AJ114" i="17"/>
  <c r="BD114" i="17"/>
  <c r="AG114" i="17"/>
  <c r="Q114" i="17"/>
  <c r="AD114" i="17"/>
  <c r="P114" i="17"/>
  <c r="AB114" i="17"/>
  <c r="O114" i="17"/>
  <c r="U114" i="17"/>
  <c r="G114" i="17"/>
  <c r="F114" i="17"/>
  <c r="D114" i="17"/>
  <c r="C114" i="17"/>
  <c r="DB113" i="17"/>
  <c r="CQ113" i="17"/>
  <c r="CJ113" i="17"/>
  <c r="BY113" i="17"/>
  <c r="CA113" i="17"/>
  <c r="CB113" i="17"/>
  <c r="CI113" i="17"/>
  <c r="BX113" i="17"/>
  <c r="BW113" i="17"/>
  <c r="BR113" i="17"/>
  <c r="BS113" i="17"/>
  <c r="BP113" i="17"/>
  <c r="BQ113" i="17"/>
  <c r="BA113" i="17"/>
  <c r="AL113" i="17"/>
  <c r="AS113" i="17"/>
  <c r="AK113" i="17"/>
  <c r="AU113" i="17"/>
  <c r="AJ113" i="17"/>
  <c r="AY113" i="17"/>
  <c r="AG113" i="17"/>
  <c r="Q113" i="17"/>
  <c r="AD113" i="17"/>
  <c r="P113" i="17"/>
  <c r="AB113" i="17"/>
  <c r="O113" i="17"/>
  <c r="W113" i="17"/>
  <c r="X113" i="17"/>
  <c r="G113" i="17"/>
  <c r="F113" i="17"/>
  <c r="D113" i="17"/>
  <c r="C113" i="17"/>
  <c r="DB112" i="17"/>
  <c r="CQ112" i="17"/>
  <c r="BY112" i="17"/>
  <c r="CB112" i="17"/>
  <c r="CI112" i="17"/>
  <c r="CA112" i="17"/>
  <c r="CK112" i="17"/>
  <c r="BX112" i="17"/>
  <c r="BW112" i="17"/>
  <c r="BR112" i="17"/>
  <c r="BS112" i="17"/>
  <c r="BT112" i="17"/>
  <c r="BU112" i="17"/>
  <c r="BP112" i="17"/>
  <c r="BQ112" i="17"/>
  <c r="BA112" i="17"/>
  <c r="AL112" i="17"/>
  <c r="AS112" i="17"/>
  <c r="AK112" i="17"/>
  <c r="BG112" i="17"/>
  <c r="BH112" i="17"/>
  <c r="AJ112" i="17"/>
  <c r="AF112" i="17"/>
  <c r="W112" i="17"/>
  <c r="G112" i="17"/>
  <c r="F112" i="17"/>
  <c r="D112" i="17"/>
  <c r="C112" i="17"/>
  <c r="DB111" i="17"/>
  <c r="CQ111" i="17"/>
  <c r="BY111" i="17"/>
  <c r="BX111" i="17"/>
  <c r="BW111" i="17"/>
  <c r="BR111" i="17"/>
  <c r="BS111" i="17"/>
  <c r="BU111" i="17"/>
  <c r="BT111" i="17"/>
  <c r="BP111" i="17"/>
  <c r="BQ111" i="17"/>
  <c r="BA111" i="17"/>
  <c r="AL111" i="17"/>
  <c r="AS111" i="17"/>
  <c r="AK111" i="17"/>
  <c r="BG111" i="17"/>
  <c r="BH111" i="17"/>
  <c r="AJ111" i="17"/>
  <c r="BD111" i="17"/>
  <c r="BE111" i="17"/>
  <c r="AG111" i="17"/>
  <c r="O111" i="17"/>
  <c r="Z111" i="17"/>
  <c r="Q111" i="17"/>
  <c r="AD111" i="17"/>
  <c r="P111" i="17"/>
  <c r="AB111" i="17"/>
  <c r="U111" i="17"/>
  <c r="G111" i="17"/>
  <c r="F111" i="17"/>
  <c r="D111" i="17"/>
  <c r="C111" i="17"/>
  <c r="DB110" i="17"/>
  <c r="CQ110" i="17"/>
  <c r="BY110" i="17"/>
  <c r="BX110" i="17"/>
  <c r="BW110" i="17"/>
  <c r="BR110" i="17"/>
  <c r="BS110" i="17"/>
  <c r="BU110" i="17"/>
  <c r="BT110" i="17"/>
  <c r="BP110" i="17"/>
  <c r="BQ110" i="17"/>
  <c r="BA110" i="17"/>
  <c r="AL110" i="17"/>
  <c r="AS110" i="17"/>
  <c r="AK110" i="17"/>
  <c r="BG110" i="17"/>
  <c r="BH110" i="17"/>
  <c r="AJ110" i="17"/>
  <c r="BD110" i="17"/>
  <c r="BE110" i="17"/>
  <c r="AG110" i="17"/>
  <c r="O110" i="17"/>
  <c r="Z110" i="17"/>
  <c r="Q110" i="17"/>
  <c r="AD110" i="17"/>
  <c r="P110" i="17"/>
  <c r="AB110" i="17"/>
  <c r="U110" i="17"/>
  <c r="G110" i="17"/>
  <c r="F110" i="17"/>
  <c r="D110" i="17"/>
  <c r="C110" i="17"/>
  <c r="DB109" i="17"/>
  <c r="CQ109" i="17"/>
  <c r="BY109" i="17"/>
  <c r="BX109" i="17"/>
  <c r="BW109" i="17"/>
  <c r="BR109" i="17"/>
  <c r="BS109" i="17"/>
  <c r="BU109" i="17"/>
  <c r="BT109" i="17"/>
  <c r="BP109" i="17"/>
  <c r="BQ109" i="17"/>
  <c r="BA109" i="17"/>
  <c r="AL109" i="17"/>
  <c r="AS109" i="17"/>
  <c r="AK109" i="17"/>
  <c r="BG109" i="17"/>
  <c r="BH109" i="17"/>
  <c r="AJ109" i="17"/>
  <c r="BD109" i="17"/>
  <c r="AG109" i="17"/>
  <c r="Q109" i="17"/>
  <c r="AD109" i="17"/>
  <c r="P109" i="17"/>
  <c r="AB109" i="17"/>
  <c r="O109" i="17"/>
  <c r="U109" i="17"/>
  <c r="G109" i="17"/>
  <c r="F109" i="17"/>
  <c r="D109" i="17"/>
  <c r="C109" i="17"/>
  <c r="DB108" i="17"/>
  <c r="CQ108" i="17"/>
  <c r="BZ108" i="17"/>
  <c r="CO108" i="17"/>
  <c r="CB108" i="17"/>
  <c r="CI108" i="17"/>
  <c r="CE108" i="17"/>
  <c r="CA108" i="17"/>
  <c r="CW108" i="17"/>
  <c r="CM108" i="17"/>
  <c r="CT108" i="17"/>
  <c r="CU108" i="17"/>
  <c r="BW108" i="17"/>
  <c r="BR108" i="17"/>
  <c r="BS108" i="17"/>
  <c r="BP108" i="17"/>
  <c r="BQ108" i="17"/>
  <c r="AK108" i="17"/>
  <c r="BG108" i="17"/>
  <c r="BH108" i="17"/>
  <c r="BA108" i="17"/>
  <c r="AL108" i="17"/>
  <c r="AS108" i="17"/>
  <c r="AJ108" i="17"/>
  <c r="AG108" i="17"/>
  <c r="Q108" i="17"/>
  <c r="AD108" i="17"/>
  <c r="P108" i="17"/>
  <c r="O108" i="17"/>
  <c r="U108" i="17"/>
  <c r="G108" i="17"/>
  <c r="F108" i="17"/>
  <c r="D108" i="17"/>
  <c r="C108" i="17"/>
  <c r="DB107" i="17"/>
  <c r="CQ107" i="17"/>
  <c r="BY107" i="17"/>
  <c r="BZ107" i="17"/>
  <c r="BX107" i="17"/>
  <c r="BW107" i="17"/>
  <c r="BR107" i="17"/>
  <c r="BS107" i="17"/>
  <c r="BP107" i="17"/>
  <c r="BQ107" i="17"/>
  <c r="BA107" i="17"/>
  <c r="AL107" i="17"/>
  <c r="AS107" i="17"/>
  <c r="AK107" i="17"/>
  <c r="BG107" i="17"/>
  <c r="BH107" i="17"/>
  <c r="AJ107" i="17"/>
  <c r="AQ107" i="17"/>
  <c r="AG107" i="17"/>
  <c r="Q107" i="17"/>
  <c r="AD107" i="17"/>
  <c r="P107" i="17"/>
  <c r="O107" i="17"/>
  <c r="U107" i="17"/>
  <c r="G107" i="17"/>
  <c r="F107" i="17"/>
  <c r="D107" i="17"/>
  <c r="C107" i="17"/>
  <c r="DB106" i="17"/>
  <c r="CQ106" i="17"/>
  <c r="BY106" i="17"/>
  <c r="BZ106" i="17"/>
  <c r="CO106" i="17"/>
  <c r="BX106" i="17"/>
  <c r="BW106" i="17"/>
  <c r="BR106" i="17"/>
  <c r="BS106" i="17"/>
  <c r="BP106" i="17"/>
  <c r="BQ106" i="17"/>
  <c r="AO106" i="17"/>
  <c r="AQ106" i="17"/>
  <c r="AS106" i="17"/>
  <c r="AY106" i="17"/>
  <c r="BA106" i="17"/>
  <c r="BD106" i="17"/>
  <c r="BK106" i="17"/>
  <c r="BG106" i="17"/>
  <c r="BH106" i="17"/>
  <c r="BE106" i="17"/>
  <c r="BI106" i="17"/>
  <c r="AV106" i="17"/>
  <c r="BV106" i="17"/>
  <c r="AG106" i="17"/>
  <c r="Q106" i="17"/>
  <c r="AD106" i="17"/>
  <c r="P106" i="17"/>
  <c r="AB106" i="17"/>
  <c r="O106" i="17"/>
  <c r="W106" i="17"/>
  <c r="X106" i="17"/>
  <c r="G106" i="17"/>
  <c r="F106" i="17"/>
  <c r="D106" i="17"/>
  <c r="C106" i="17"/>
  <c r="DB105" i="17"/>
  <c r="CQ105" i="17"/>
  <c r="BY105" i="17"/>
  <c r="CA105" i="17"/>
  <c r="CK105" i="17"/>
  <c r="CW105" i="17"/>
  <c r="BX105" i="17"/>
  <c r="BW105" i="17"/>
  <c r="BR105" i="17"/>
  <c r="BS105" i="17"/>
  <c r="BT105" i="17"/>
  <c r="BU105" i="17"/>
  <c r="BP105" i="17"/>
  <c r="BQ105" i="17"/>
  <c r="BG105" i="17"/>
  <c r="BH105" i="17"/>
  <c r="BD105" i="17"/>
  <c r="BE105" i="17"/>
  <c r="BA105" i="17"/>
  <c r="AY105" i="17"/>
  <c r="AV105" i="17"/>
  <c r="AS105" i="17"/>
  <c r="AO105" i="17"/>
  <c r="AQ105" i="17"/>
  <c r="BB105" i="17"/>
  <c r="AG105" i="17"/>
  <c r="Q105" i="17"/>
  <c r="AD105" i="17"/>
  <c r="P105" i="17"/>
  <c r="AB105" i="17"/>
  <c r="O105" i="17"/>
  <c r="U105" i="17"/>
  <c r="G105" i="17"/>
  <c r="F105" i="17"/>
  <c r="D105" i="17"/>
  <c r="C105" i="17"/>
  <c r="DB104" i="17"/>
  <c r="CQ104" i="17"/>
  <c r="BY104" i="17"/>
  <c r="BX104" i="17"/>
  <c r="BW104" i="17"/>
  <c r="BR104" i="17"/>
  <c r="BS104" i="17"/>
  <c r="BU104" i="17"/>
  <c r="BT104" i="17"/>
  <c r="BP104" i="17"/>
  <c r="BQ104" i="17"/>
  <c r="BA104" i="17"/>
  <c r="AL104" i="17"/>
  <c r="AS104" i="17"/>
  <c r="AK104" i="17"/>
  <c r="BG104" i="17"/>
  <c r="BH104" i="17"/>
  <c r="AJ104" i="17"/>
  <c r="AD104" i="17"/>
  <c r="AA104" i="17"/>
  <c r="AB104" i="17"/>
  <c r="Z104" i="17"/>
  <c r="X104" i="17"/>
  <c r="U104" i="17"/>
  <c r="G104" i="17"/>
  <c r="F104" i="17"/>
  <c r="D104" i="17"/>
  <c r="C104" i="17"/>
  <c r="DB103" i="17"/>
  <c r="CQ103" i="17"/>
  <c r="BY103" i="17"/>
  <c r="CA103" i="17"/>
  <c r="CW103" i="17"/>
  <c r="BX103" i="17"/>
  <c r="BW103" i="17"/>
  <c r="BR103" i="17"/>
  <c r="BS103" i="17"/>
  <c r="BU103" i="17"/>
  <c r="BP103" i="17"/>
  <c r="BQ103" i="17"/>
  <c r="BA103" i="17"/>
  <c r="AL103" i="17"/>
  <c r="AS103" i="17"/>
  <c r="AK103" i="17"/>
  <c r="BG103" i="17"/>
  <c r="BH103" i="17"/>
  <c r="AJ103" i="17"/>
  <c r="BD103" i="17"/>
  <c r="AG103" i="17"/>
  <c r="Q103" i="17"/>
  <c r="AD103" i="17"/>
  <c r="P103" i="17"/>
  <c r="AB103" i="17"/>
  <c r="O103" i="17"/>
  <c r="U103" i="17"/>
  <c r="G103" i="17"/>
  <c r="F103" i="17"/>
  <c r="D103" i="17"/>
  <c r="C103" i="17"/>
  <c r="DB102" i="17"/>
  <c r="CQ102" i="17"/>
  <c r="BY102" i="17"/>
  <c r="CB102" i="17"/>
  <c r="CI102" i="17"/>
  <c r="CA102" i="17"/>
  <c r="CW102" i="17"/>
  <c r="BX102" i="17"/>
  <c r="BW102" i="17"/>
  <c r="BR102" i="17"/>
  <c r="BS102" i="17"/>
  <c r="BT102" i="17"/>
  <c r="BU102" i="17"/>
  <c r="BP102" i="17"/>
  <c r="BQ102" i="17"/>
  <c r="BG102" i="17"/>
  <c r="BH102" i="17"/>
  <c r="BA102" i="17"/>
  <c r="AL102" i="17"/>
  <c r="AS102" i="17"/>
  <c r="AJ102" i="17"/>
  <c r="AG102" i="17"/>
  <c r="Q102" i="17"/>
  <c r="AD102" i="17"/>
  <c r="P102" i="17"/>
  <c r="AB102" i="17"/>
  <c r="O102" i="17"/>
  <c r="Z102" i="17"/>
  <c r="G102" i="17"/>
  <c r="F102" i="17"/>
  <c r="D102" i="17"/>
  <c r="C102" i="17"/>
  <c r="DB101" i="17"/>
  <c r="CQ101" i="17"/>
  <c r="BY101" i="17"/>
  <c r="CB101" i="17"/>
  <c r="CI101" i="17"/>
  <c r="BZ101" i="17"/>
  <c r="CO101" i="17"/>
  <c r="BX101" i="17"/>
  <c r="BW101" i="17"/>
  <c r="BR101" i="17"/>
  <c r="BS101" i="17"/>
  <c r="BT101" i="17"/>
  <c r="BP101" i="17"/>
  <c r="BQ101" i="17"/>
  <c r="AK101" i="17"/>
  <c r="BG101" i="17"/>
  <c r="BH101" i="17"/>
  <c r="BA101" i="17"/>
  <c r="AL101" i="17"/>
  <c r="AS101" i="17"/>
  <c r="AJ101" i="17"/>
  <c r="AY101" i="17"/>
  <c r="AG101" i="17"/>
  <c r="Q101" i="17"/>
  <c r="AD101" i="17"/>
  <c r="P101" i="17"/>
  <c r="AB101" i="17"/>
  <c r="O101" i="17"/>
  <c r="U101" i="17"/>
  <c r="G101" i="17"/>
  <c r="F101" i="17"/>
  <c r="D101" i="17"/>
  <c r="C101" i="17"/>
  <c r="DB100" i="17"/>
  <c r="CQ100" i="17"/>
  <c r="BY100" i="17"/>
  <c r="BZ100" i="17"/>
  <c r="BX100" i="17"/>
  <c r="BW100" i="17"/>
  <c r="BR100" i="17"/>
  <c r="BS100" i="17"/>
  <c r="BU100" i="17"/>
  <c r="BP100" i="17"/>
  <c r="BQ100" i="17"/>
  <c r="AK100" i="17"/>
  <c r="BG100" i="17"/>
  <c r="BH100" i="17"/>
  <c r="BA100" i="17"/>
  <c r="AL100" i="17"/>
  <c r="AS100" i="17"/>
  <c r="AJ100" i="17"/>
  <c r="AY100" i="17"/>
  <c r="AG100" i="17"/>
  <c r="Q100" i="17"/>
  <c r="AD100" i="17"/>
  <c r="P100" i="17"/>
  <c r="AB100" i="17"/>
  <c r="O100" i="17"/>
  <c r="U100" i="17"/>
  <c r="G100" i="17"/>
  <c r="F100" i="17"/>
  <c r="D100" i="17"/>
  <c r="C100" i="17"/>
  <c r="DB99" i="17"/>
  <c r="CQ99" i="17"/>
  <c r="BY99" i="17"/>
  <c r="BZ99" i="17"/>
  <c r="BX99" i="17"/>
  <c r="BW99" i="17"/>
  <c r="BR99" i="17"/>
  <c r="BS99" i="17"/>
  <c r="BU99" i="17"/>
  <c r="BP99" i="17"/>
  <c r="BQ99" i="17"/>
  <c r="BA99" i="17"/>
  <c r="AL99" i="17"/>
  <c r="AS99" i="17"/>
  <c r="AK99" i="17"/>
  <c r="BG99" i="17"/>
  <c r="BH99" i="17"/>
  <c r="AJ99" i="17"/>
  <c r="AY99" i="17"/>
  <c r="AG99" i="17"/>
  <c r="Q99" i="17"/>
  <c r="AD99" i="17"/>
  <c r="P99" i="17"/>
  <c r="AB99" i="17"/>
  <c r="O99" i="17"/>
  <c r="U99" i="17"/>
  <c r="G99" i="17"/>
  <c r="F99" i="17"/>
  <c r="D99" i="17"/>
  <c r="C99" i="17"/>
  <c r="DB98" i="17"/>
  <c r="CQ98" i="17"/>
  <c r="BY98" i="17"/>
  <c r="BZ98" i="17"/>
  <c r="BX98" i="17"/>
  <c r="BW98" i="17"/>
  <c r="BR98" i="17"/>
  <c r="BS98" i="17"/>
  <c r="BU98" i="17"/>
  <c r="BP98" i="17"/>
  <c r="BQ98" i="17"/>
  <c r="AK98" i="17"/>
  <c r="BG98" i="17"/>
  <c r="BH98" i="17"/>
  <c r="BA98" i="17"/>
  <c r="AL98" i="17"/>
  <c r="AS98" i="17"/>
  <c r="AJ98" i="17"/>
  <c r="AY98" i="17"/>
  <c r="AG98" i="17"/>
  <c r="Q98" i="17"/>
  <c r="AD98" i="17"/>
  <c r="P98" i="17"/>
  <c r="AB98" i="17"/>
  <c r="O98" i="17"/>
  <c r="U98" i="17"/>
  <c r="G98" i="17"/>
  <c r="F98" i="17"/>
  <c r="D98" i="17"/>
  <c r="C98" i="17"/>
  <c r="DB97" i="17"/>
  <c r="CQ97" i="17"/>
  <c r="BZ97" i="17"/>
  <c r="CO97" i="17"/>
  <c r="CB97" i="17"/>
  <c r="CI97" i="17"/>
  <c r="CE97" i="17"/>
  <c r="CA97" i="17"/>
  <c r="CW97" i="17"/>
  <c r="CT97" i="17"/>
  <c r="BX97" i="17"/>
  <c r="BW97" i="17"/>
  <c r="BR97" i="17"/>
  <c r="BS97" i="17"/>
  <c r="BP97" i="17"/>
  <c r="BQ97" i="17"/>
  <c r="BF97" i="17"/>
  <c r="BA97" i="17"/>
  <c r="AL97" i="17"/>
  <c r="AS97" i="17"/>
  <c r="AK97" i="17"/>
  <c r="BG97" i="17"/>
  <c r="BH97" i="17"/>
  <c r="AJ97" i="17"/>
  <c r="AQ97" i="17"/>
  <c r="AC97" i="17"/>
  <c r="AA97" i="17"/>
  <c r="Q97" i="17"/>
  <c r="P97" i="17"/>
  <c r="AB97" i="17"/>
  <c r="O97" i="17"/>
  <c r="G97" i="17"/>
  <c r="F97" i="17"/>
  <c r="D97" i="17"/>
  <c r="C97" i="17"/>
  <c r="DB96" i="17"/>
  <c r="CQ96" i="17"/>
  <c r="BY96" i="17"/>
  <c r="CA96" i="17"/>
  <c r="CW96" i="17"/>
  <c r="BX96" i="17"/>
  <c r="BW96" i="17"/>
  <c r="BR96" i="17"/>
  <c r="BS96" i="17"/>
  <c r="BT96" i="17"/>
  <c r="BU96" i="17"/>
  <c r="BP96" i="17"/>
  <c r="BQ96" i="17"/>
  <c r="BA96" i="17"/>
  <c r="AL96" i="17"/>
  <c r="AS96" i="17"/>
  <c r="AK96" i="17"/>
  <c r="BG96" i="17"/>
  <c r="BH96" i="17"/>
  <c r="AJ96" i="17"/>
  <c r="AG96" i="17"/>
  <c r="P96" i="17"/>
  <c r="AB96" i="17"/>
  <c r="Q96" i="17"/>
  <c r="AD96" i="17"/>
  <c r="O96" i="17"/>
  <c r="W96" i="17"/>
  <c r="X96" i="17"/>
  <c r="G96" i="17"/>
  <c r="F96" i="17"/>
  <c r="D96" i="17"/>
  <c r="C96" i="17"/>
  <c r="DB95" i="17"/>
  <c r="CQ95" i="17"/>
  <c r="BY95" i="17"/>
  <c r="CA95" i="17"/>
  <c r="CK95" i="17"/>
  <c r="BX95" i="17"/>
  <c r="BW95" i="17"/>
  <c r="BR95" i="17"/>
  <c r="BS95" i="17"/>
  <c r="BT95" i="17"/>
  <c r="BU95" i="17"/>
  <c r="BP95" i="17"/>
  <c r="BQ95" i="17"/>
  <c r="BA95" i="17"/>
  <c r="AL95" i="17"/>
  <c r="AS95" i="17"/>
  <c r="AK95" i="17"/>
  <c r="BG95" i="17"/>
  <c r="BH95" i="17"/>
  <c r="AJ95" i="17"/>
  <c r="AG95" i="17"/>
  <c r="Q95" i="17"/>
  <c r="AD95" i="17"/>
  <c r="P95" i="17"/>
  <c r="AB95" i="17"/>
  <c r="O95" i="17"/>
  <c r="W95" i="17"/>
  <c r="X95" i="17"/>
  <c r="G95" i="17"/>
  <c r="F95" i="17"/>
  <c r="D95" i="17"/>
  <c r="C95" i="17"/>
  <c r="DB94" i="17"/>
  <c r="CQ94" i="17"/>
  <c r="BY94" i="17"/>
  <c r="CB94" i="17"/>
  <c r="CI94" i="17"/>
  <c r="CA94" i="17"/>
  <c r="CK94" i="17"/>
  <c r="BX94" i="17"/>
  <c r="BW94" i="17"/>
  <c r="BR94" i="17"/>
  <c r="BS94" i="17"/>
  <c r="BT94" i="17"/>
  <c r="BU94" i="17"/>
  <c r="BP94" i="17"/>
  <c r="BQ94" i="17"/>
  <c r="BA94" i="17"/>
  <c r="AL94" i="17"/>
  <c r="AS94" i="17"/>
  <c r="AK94" i="17"/>
  <c r="BG94" i="17"/>
  <c r="BH94" i="17"/>
  <c r="AJ94" i="17"/>
  <c r="AG94" i="17"/>
  <c r="AA94" i="17"/>
  <c r="Q94" i="17"/>
  <c r="AD94" i="17"/>
  <c r="P94" i="17"/>
  <c r="O94" i="17"/>
  <c r="G94" i="17"/>
  <c r="F94" i="17"/>
  <c r="D94" i="17"/>
  <c r="C94" i="17"/>
  <c r="DB93" i="17"/>
  <c r="CQ93" i="17"/>
  <c r="BY93" i="17"/>
  <c r="BX93" i="17"/>
  <c r="BW93" i="17"/>
  <c r="BR93" i="17"/>
  <c r="BS93" i="17"/>
  <c r="BU93" i="17"/>
  <c r="BT93" i="17"/>
  <c r="BP93" i="17"/>
  <c r="BQ93" i="17"/>
  <c r="BA93" i="17"/>
  <c r="AL93" i="17"/>
  <c r="AS93" i="17"/>
  <c r="AK93" i="17"/>
  <c r="AU93" i="17"/>
  <c r="AJ93" i="17"/>
  <c r="AG93" i="17"/>
  <c r="AA93" i="17"/>
  <c r="O93" i="17"/>
  <c r="W93" i="17"/>
  <c r="X93" i="17"/>
  <c r="Q93" i="17"/>
  <c r="AD93" i="17"/>
  <c r="P93" i="17"/>
  <c r="G93" i="17"/>
  <c r="F93" i="17"/>
  <c r="D93" i="17"/>
  <c r="C93" i="17"/>
  <c r="DB92" i="17"/>
  <c r="CQ92" i="17"/>
  <c r="BY92" i="17"/>
  <c r="BX92" i="17"/>
  <c r="BW92" i="17"/>
  <c r="BR92" i="17"/>
  <c r="BS92" i="17"/>
  <c r="BP92" i="17"/>
  <c r="BQ92" i="17"/>
  <c r="BA92" i="17"/>
  <c r="AL92" i="17"/>
  <c r="AS92" i="17"/>
  <c r="AK92" i="17"/>
  <c r="BG92" i="17"/>
  <c r="BH92" i="17"/>
  <c r="AJ92" i="17"/>
  <c r="AQ92" i="17"/>
  <c r="AG92" i="17"/>
  <c r="Q92" i="17"/>
  <c r="AD92" i="17"/>
  <c r="P92" i="17"/>
  <c r="O92" i="17"/>
  <c r="G92" i="17"/>
  <c r="F92" i="17"/>
  <c r="D92" i="17"/>
  <c r="C92" i="17"/>
  <c r="DB91" i="17"/>
  <c r="CQ91" i="17"/>
  <c r="BY91" i="17"/>
  <c r="BZ91" i="17"/>
  <c r="CO91" i="17"/>
  <c r="BX91" i="17"/>
  <c r="BW91" i="17"/>
  <c r="BR91" i="17"/>
  <c r="BS91" i="17"/>
  <c r="BP91" i="17"/>
  <c r="BQ91" i="17"/>
  <c r="BA91" i="17"/>
  <c r="AL91" i="17"/>
  <c r="AS91" i="17"/>
  <c r="AK91" i="17"/>
  <c r="BG91" i="17"/>
  <c r="BH91" i="17"/>
  <c r="AJ91" i="17"/>
  <c r="AG91" i="17"/>
  <c r="Q91" i="17"/>
  <c r="AD91" i="17"/>
  <c r="P91" i="17"/>
  <c r="O91" i="17"/>
  <c r="W91" i="17"/>
  <c r="X91" i="17"/>
  <c r="G91" i="17"/>
  <c r="F91" i="17"/>
  <c r="D91" i="17"/>
  <c r="C91" i="17"/>
  <c r="DB90" i="17"/>
  <c r="CQ90" i="17"/>
  <c r="BY90" i="17"/>
  <c r="BX90" i="17"/>
  <c r="BW90" i="17"/>
  <c r="BR90" i="17"/>
  <c r="BS90" i="17"/>
  <c r="BP90" i="17"/>
  <c r="BQ90" i="17"/>
  <c r="BA90" i="17"/>
  <c r="AL90" i="17"/>
  <c r="AS90" i="17"/>
  <c r="AK90" i="17"/>
  <c r="BG90" i="17"/>
  <c r="BH90" i="17"/>
  <c r="AJ90" i="17"/>
  <c r="AQ90" i="17"/>
  <c r="AG90" i="17"/>
  <c r="O90" i="17"/>
  <c r="W90" i="17"/>
  <c r="X90" i="17"/>
  <c r="Q90" i="17"/>
  <c r="AD90" i="17"/>
  <c r="P90" i="17"/>
  <c r="G90" i="17"/>
  <c r="F90" i="17"/>
  <c r="D90" i="17"/>
  <c r="C90" i="17"/>
  <c r="DB89" i="17"/>
  <c r="CQ89" i="17"/>
  <c r="BY89" i="17"/>
  <c r="BZ89" i="17"/>
  <c r="CO89" i="17"/>
  <c r="BX89" i="17"/>
  <c r="BW89" i="17"/>
  <c r="BR89" i="17"/>
  <c r="BS89" i="17"/>
  <c r="BP89" i="17"/>
  <c r="BQ89" i="17"/>
  <c r="BA89" i="17"/>
  <c r="AL89" i="17"/>
  <c r="AS89" i="17"/>
  <c r="AK89" i="17"/>
  <c r="BG89" i="17"/>
  <c r="BH89" i="17"/>
  <c r="AJ89" i="17"/>
  <c r="AQ89" i="17"/>
  <c r="AG89" i="17"/>
  <c r="Q89" i="17"/>
  <c r="AD89" i="17"/>
  <c r="P89" i="17"/>
  <c r="O89" i="17"/>
  <c r="G89" i="17"/>
  <c r="F89" i="17"/>
  <c r="D89" i="17"/>
  <c r="C89" i="17"/>
  <c r="DB88" i="17"/>
  <c r="CQ88" i="17"/>
  <c r="BY88" i="17"/>
  <c r="BZ88" i="17"/>
  <c r="CO88" i="17"/>
  <c r="BX88" i="17"/>
  <c r="BW88" i="17"/>
  <c r="BR88" i="17"/>
  <c r="BS88" i="17"/>
  <c r="BP88" i="17"/>
  <c r="BQ88" i="17"/>
  <c r="BA88" i="17"/>
  <c r="AL88" i="17"/>
  <c r="AS88" i="17"/>
  <c r="AK88" i="17"/>
  <c r="BG88" i="17"/>
  <c r="BH88" i="17"/>
  <c r="AJ88" i="17"/>
  <c r="AQ88" i="17"/>
  <c r="AG88" i="17"/>
  <c r="Q88" i="17"/>
  <c r="AD88" i="17"/>
  <c r="P88" i="17"/>
  <c r="O88" i="17"/>
  <c r="W88" i="17"/>
  <c r="X88" i="17"/>
  <c r="G88" i="17"/>
  <c r="F88" i="17"/>
  <c r="D88" i="17"/>
  <c r="C88" i="17"/>
  <c r="DB87" i="17"/>
  <c r="CQ87" i="17"/>
  <c r="BY87" i="17"/>
  <c r="BZ87" i="17"/>
  <c r="CO87" i="17"/>
  <c r="BX87" i="17"/>
  <c r="BW87" i="17"/>
  <c r="BR87" i="17"/>
  <c r="BS87" i="17"/>
  <c r="BP87" i="17"/>
  <c r="BQ87" i="17"/>
  <c r="BG87" i="17"/>
  <c r="BH87" i="17"/>
  <c r="BA87" i="17"/>
  <c r="AL87" i="17"/>
  <c r="AS87" i="17"/>
  <c r="AJ87" i="17"/>
  <c r="AG87" i="17"/>
  <c r="Q87" i="17"/>
  <c r="AD87" i="17"/>
  <c r="P87" i="17"/>
  <c r="AB87" i="17"/>
  <c r="O87" i="17"/>
  <c r="G87" i="17"/>
  <c r="F87" i="17"/>
  <c r="D87" i="17"/>
  <c r="C87" i="17"/>
  <c r="DB86" i="17"/>
  <c r="CQ86" i="17"/>
  <c r="BY86" i="17"/>
  <c r="CA86" i="17"/>
  <c r="CW86" i="17"/>
  <c r="BX86" i="17"/>
  <c r="BW86" i="17"/>
  <c r="BR86" i="17"/>
  <c r="BS86" i="17"/>
  <c r="BT86" i="17"/>
  <c r="BU86" i="17"/>
  <c r="BP86" i="17"/>
  <c r="BQ86" i="17"/>
  <c r="BG86" i="17"/>
  <c r="BH86" i="17"/>
  <c r="BA86" i="17"/>
  <c r="AL86" i="17"/>
  <c r="AS86" i="17"/>
  <c r="AJ86" i="17"/>
  <c r="AO86" i="17"/>
  <c r="AG86" i="17"/>
  <c r="O86" i="17"/>
  <c r="S86" i="17"/>
  <c r="Q86" i="17"/>
  <c r="AD86" i="17"/>
  <c r="P86" i="17"/>
  <c r="AB86" i="17"/>
  <c r="U86" i="17"/>
  <c r="G86" i="17"/>
  <c r="F86" i="17"/>
  <c r="D86" i="17"/>
  <c r="C86" i="17"/>
  <c r="DB85" i="17"/>
  <c r="CQ85" i="17"/>
  <c r="BY85" i="17"/>
  <c r="BX85" i="17"/>
  <c r="BW85" i="17"/>
  <c r="BR85" i="17"/>
  <c r="BS85" i="17"/>
  <c r="BT85" i="17"/>
  <c r="BP85" i="17"/>
  <c r="BQ85" i="17"/>
  <c r="BA85" i="17"/>
  <c r="AJ85" i="17"/>
  <c r="AQ85" i="17"/>
  <c r="AL85" i="17"/>
  <c r="AS85" i="17"/>
  <c r="AK85" i="17"/>
  <c r="BG85" i="17"/>
  <c r="BH85" i="17"/>
  <c r="BD85" i="17"/>
  <c r="BE85" i="17"/>
  <c r="AG85" i="17"/>
  <c r="Q85" i="17"/>
  <c r="AD85" i="17"/>
  <c r="P85" i="17"/>
  <c r="AB85" i="17"/>
  <c r="O85" i="17"/>
  <c r="U85" i="17"/>
  <c r="G85" i="17"/>
  <c r="F85" i="17"/>
  <c r="D85" i="17"/>
  <c r="C85" i="17"/>
  <c r="DB84" i="17"/>
  <c r="CQ84" i="17"/>
  <c r="BY84" i="17"/>
  <c r="BX84" i="17"/>
  <c r="BW84" i="17"/>
  <c r="BR84" i="17"/>
  <c r="BS84" i="17"/>
  <c r="BT84" i="17"/>
  <c r="BP84" i="17"/>
  <c r="BQ84" i="17"/>
  <c r="BA84" i="17"/>
  <c r="AL84" i="17"/>
  <c r="AS84" i="17"/>
  <c r="AK84" i="17"/>
  <c r="BG84" i="17"/>
  <c r="BH84" i="17"/>
  <c r="AJ84" i="17"/>
  <c r="BD84" i="17"/>
  <c r="AG84" i="17"/>
  <c r="Q84" i="17"/>
  <c r="AD84" i="17"/>
  <c r="P84" i="17"/>
  <c r="AB84" i="17"/>
  <c r="O84" i="17"/>
  <c r="W84" i="17"/>
  <c r="X84" i="17"/>
  <c r="G84" i="17"/>
  <c r="F84" i="17"/>
  <c r="D84" i="17"/>
  <c r="C84" i="17"/>
  <c r="DB83" i="17"/>
  <c r="CQ83" i="17"/>
  <c r="BY83" i="17"/>
  <c r="CB83" i="17"/>
  <c r="CI83" i="17"/>
  <c r="CA83" i="17"/>
  <c r="BX83" i="17"/>
  <c r="BW83" i="17"/>
  <c r="BR83" i="17"/>
  <c r="BS83" i="17"/>
  <c r="BT83" i="17"/>
  <c r="BU83" i="17"/>
  <c r="BP83" i="17"/>
  <c r="BQ83" i="17"/>
  <c r="BA83" i="17"/>
  <c r="AL83" i="17"/>
  <c r="AS83" i="17"/>
  <c r="AK83" i="17"/>
  <c r="BG83" i="17"/>
  <c r="BH83" i="17"/>
  <c r="AJ83" i="17"/>
  <c r="G83" i="17"/>
  <c r="F83" i="17"/>
  <c r="D83" i="17"/>
  <c r="C83" i="17"/>
  <c r="DB82" i="17"/>
  <c r="CQ82" i="17"/>
  <c r="BY82" i="17"/>
  <c r="BZ82" i="17"/>
  <c r="BX82" i="17"/>
  <c r="BW82" i="17"/>
  <c r="BR82" i="17"/>
  <c r="BS82" i="17"/>
  <c r="BU82" i="17"/>
  <c r="BP82" i="17"/>
  <c r="BQ82" i="17"/>
  <c r="AK82" i="17"/>
  <c r="BG82" i="17"/>
  <c r="BH82" i="17"/>
  <c r="BA82" i="17"/>
  <c r="AL82" i="17"/>
  <c r="AS82" i="17"/>
  <c r="AJ82" i="17"/>
  <c r="AY82" i="17"/>
  <c r="G82" i="17"/>
  <c r="F82" i="17"/>
  <c r="D82" i="17"/>
  <c r="C82" i="17"/>
  <c r="DB81" i="17"/>
  <c r="CQ81" i="17"/>
  <c r="BY81" i="17"/>
  <c r="CB81" i="17"/>
  <c r="CI81" i="17"/>
  <c r="BX81" i="17"/>
  <c r="BW81" i="17"/>
  <c r="BR81" i="17"/>
  <c r="BS81" i="17"/>
  <c r="BP81" i="17"/>
  <c r="BQ81" i="17"/>
  <c r="BG81" i="17"/>
  <c r="BH81" i="17"/>
  <c r="BA81" i="17"/>
  <c r="AL81" i="17"/>
  <c r="AS81" i="17"/>
  <c r="AJ81" i="17"/>
  <c r="AY81" i="17"/>
  <c r="G81" i="17"/>
  <c r="F81" i="17"/>
  <c r="D81" i="17"/>
  <c r="C81" i="17"/>
  <c r="DB80" i="17"/>
  <c r="CQ80" i="17"/>
  <c r="BY80" i="17"/>
  <c r="CA80" i="17"/>
  <c r="BX80" i="17"/>
  <c r="BW80" i="17"/>
  <c r="BR80" i="17"/>
  <c r="BS80" i="17"/>
  <c r="BT80" i="17"/>
  <c r="BU80" i="17"/>
  <c r="BP80" i="17"/>
  <c r="BQ80" i="17"/>
  <c r="BG80" i="17"/>
  <c r="BH80" i="17"/>
  <c r="BA80" i="17"/>
  <c r="AL80" i="17"/>
  <c r="AS80" i="17"/>
  <c r="AJ80" i="17"/>
  <c r="G80" i="17"/>
  <c r="F80" i="17"/>
  <c r="D80" i="17"/>
  <c r="C80" i="17"/>
  <c r="DB79" i="17"/>
  <c r="CQ79" i="17"/>
  <c r="CJ79" i="17"/>
  <c r="BY79" i="17"/>
  <c r="BZ79" i="17"/>
  <c r="BX79" i="17"/>
  <c r="BW79" i="17"/>
  <c r="BR79" i="17"/>
  <c r="BS79" i="17"/>
  <c r="BU79" i="17"/>
  <c r="BP79" i="17"/>
  <c r="BQ79" i="17"/>
  <c r="BA79" i="17"/>
  <c r="AL79" i="17"/>
  <c r="AS79" i="17"/>
  <c r="AK79" i="17"/>
  <c r="BG79" i="17"/>
  <c r="BH79" i="17"/>
  <c r="AJ79" i="17"/>
  <c r="AY79" i="17"/>
  <c r="AG79" i="17"/>
  <c r="AA79" i="17"/>
  <c r="Q79" i="17"/>
  <c r="AD79" i="17"/>
  <c r="P79" i="17"/>
  <c r="O79" i="17"/>
  <c r="W79" i="17"/>
  <c r="X79" i="17"/>
  <c r="G79" i="17"/>
  <c r="F79" i="17"/>
  <c r="D79" i="17"/>
  <c r="C79" i="17"/>
  <c r="DB78" i="17"/>
  <c r="CQ78" i="17"/>
  <c r="CJ78" i="17"/>
  <c r="CH78" i="17"/>
  <c r="BY78" i="17"/>
  <c r="CB78" i="17"/>
  <c r="CI78" i="17"/>
  <c r="BX78" i="17"/>
  <c r="BW78" i="17"/>
  <c r="BR78" i="17"/>
  <c r="BS78" i="17"/>
  <c r="BP78" i="17"/>
  <c r="BQ78" i="17"/>
  <c r="BA78" i="17"/>
  <c r="AL78" i="17"/>
  <c r="AS78" i="17"/>
  <c r="AK78" i="17"/>
  <c r="BG78" i="17"/>
  <c r="AJ78" i="17"/>
  <c r="BD78" i="17"/>
  <c r="AG78" i="17"/>
  <c r="AA78" i="17"/>
  <c r="O78" i="17"/>
  <c r="S78" i="17"/>
  <c r="Q78" i="17"/>
  <c r="AD78" i="17"/>
  <c r="P78" i="17"/>
  <c r="AB78" i="17"/>
  <c r="W78" i="17"/>
  <c r="X78" i="17"/>
  <c r="G78" i="17"/>
  <c r="F78" i="17"/>
  <c r="D78" i="17"/>
  <c r="C78" i="17"/>
  <c r="DB77" i="17"/>
  <c r="CQ77" i="17"/>
  <c r="BY77" i="17"/>
  <c r="BZ77" i="17"/>
  <c r="BX77" i="17"/>
  <c r="BW77" i="17"/>
  <c r="BR77" i="17"/>
  <c r="BS77" i="17"/>
  <c r="BT77" i="17"/>
  <c r="BU77" i="17"/>
  <c r="BP77" i="17"/>
  <c r="BQ77" i="17"/>
  <c r="BA77" i="17"/>
  <c r="AL77" i="17"/>
  <c r="AS77" i="17"/>
  <c r="AK77" i="17"/>
  <c r="BG77" i="17"/>
  <c r="BH77" i="17"/>
  <c r="AJ77" i="17"/>
  <c r="AG77" i="17"/>
  <c r="O77" i="17"/>
  <c r="S77" i="17"/>
  <c r="Q77" i="17"/>
  <c r="AD77" i="17"/>
  <c r="P77" i="17"/>
  <c r="AB77" i="17"/>
  <c r="U77" i="17"/>
  <c r="G77" i="17"/>
  <c r="F77" i="17"/>
  <c r="D77" i="17"/>
  <c r="C77" i="17"/>
  <c r="DB76" i="17"/>
  <c r="CQ76" i="17"/>
  <c r="BY76" i="17"/>
  <c r="BZ76" i="17"/>
  <c r="BX76" i="17"/>
  <c r="BW76" i="17"/>
  <c r="BR76" i="17"/>
  <c r="BS76" i="17"/>
  <c r="BU76" i="17"/>
  <c r="BP76" i="17"/>
  <c r="BQ76" i="17"/>
  <c r="BA76" i="17"/>
  <c r="AL76" i="17"/>
  <c r="AS76" i="17"/>
  <c r="AK76" i="17"/>
  <c r="BG76" i="17"/>
  <c r="BH76" i="17"/>
  <c r="AJ76" i="17"/>
  <c r="AG76" i="17"/>
  <c r="O76" i="17"/>
  <c r="S76" i="17"/>
  <c r="Q76" i="17"/>
  <c r="AD76" i="17"/>
  <c r="P76" i="17"/>
  <c r="AB76" i="17"/>
  <c r="U76" i="17"/>
  <c r="G76" i="17"/>
  <c r="F76" i="17"/>
  <c r="D76" i="17"/>
  <c r="C76" i="17"/>
  <c r="DB75" i="17"/>
  <c r="CQ75" i="17"/>
  <c r="BY75" i="17"/>
  <c r="BZ75" i="17"/>
  <c r="BX75" i="17"/>
  <c r="BW75" i="17"/>
  <c r="BR75" i="17"/>
  <c r="BS75" i="17"/>
  <c r="BP75" i="17"/>
  <c r="BQ75" i="17"/>
  <c r="BA75" i="17"/>
  <c r="AL75" i="17"/>
  <c r="AS75" i="17"/>
  <c r="AK75" i="17"/>
  <c r="BG75" i="17"/>
  <c r="BH75" i="17"/>
  <c r="AJ75" i="17"/>
  <c r="AG75" i="17"/>
  <c r="Q75" i="17"/>
  <c r="AD75" i="17"/>
  <c r="P75" i="17"/>
  <c r="O75" i="17"/>
  <c r="U75" i="17"/>
  <c r="G75" i="17"/>
  <c r="F75" i="17"/>
  <c r="D75" i="17"/>
  <c r="C75" i="17"/>
  <c r="DB74" i="17"/>
  <c r="CQ74" i="17"/>
  <c r="BY74" i="17"/>
  <c r="CA74" i="17"/>
  <c r="CW74" i="17"/>
  <c r="BZ74" i="17"/>
  <c r="CO74" i="17"/>
  <c r="BX74" i="17"/>
  <c r="BW74" i="17"/>
  <c r="BR74" i="17"/>
  <c r="BS74" i="17"/>
  <c r="BU74" i="17"/>
  <c r="BT74" i="17"/>
  <c r="BP74" i="17"/>
  <c r="BQ74" i="17"/>
  <c r="BA74" i="17"/>
  <c r="AL74" i="17"/>
  <c r="AS74" i="17"/>
  <c r="AK74" i="17"/>
  <c r="BG74" i="17"/>
  <c r="BH74" i="17"/>
  <c r="AJ74" i="17"/>
  <c r="AQ74" i="17"/>
  <c r="AG74" i="17"/>
  <c r="O74" i="17"/>
  <c r="S74" i="17"/>
  <c r="Q74" i="17"/>
  <c r="AD74" i="17"/>
  <c r="P74" i="17"/>
  <c r="AB74" i="17"/>
  <c r="U74" i="17"/>
  <c r="G74" i="17"/>
  <c r="F74" i="17"/>
  <c r="D74" i="17"/>
  <c r="C74" i="17"/>
  <c r="DB73" i="17"/>
  <c r="CQ73" i="17"/>
  <c r="BY73" i="17"/>
  <c r="BZ73" i="17"/>
  <c r="CE73" i="17"/>
  <c r="BX73" i="17"/>
  <c r="BW73" i="17"/>
  <c r="BR73" i="17"/>
  <c r="BS73" i="17"/>
  <c r="BU73" i="17"/>
  <c r="BT73" i="17"/>
  <c r="BP73" i="17"/>
  <c r="BQ73" i="17"/>
  <c r="BA73" i="17"/>
  <c r="AL73" i="17"/>
  <c r="AS73" i="17"/>
  <c r="AK73" i="17"/>
  <c r="BG73" i="17"/>
  <c r="BH73" i="17"/>
  <c r="AJ73" i="17"/>
  <c r="AQ73" i="17"/>
  <c r="AG73" i="17"/>
  <c r="Q73" i="17"/>
  <c r="AD73" i="17"/>
  <c r="P73" i="17"/>
  <c r="AB73" i="17"/>
  <c r="O73" i="17"/>
  <c r="W73" i="17"/>
  <c r="X73" i="17"/>
  <c r="G73" i="17"/>
  <c r="F73" i="17"/>
  <c r="D73" i="17"/>
  <c r="C73" i="17"/>
  <c r="DB72" i="17"/>
  <c r="CQ72" i="17"/>
  <c r="BY72" i="17"/>
  <c r="CB72" i="17"/>
  <c r="CI72" i="17"/>
  <c r="BX72" i="17"/>
  <c r="BW72" i="17"/>
  <c r="BR72" i="17"/>
  <c r="BS72" i="17"/>
  <c r="BP72" i="17"/>
  <c r="BQ72" i="17"/>
  <c r="BA72" i="17"/>
  <c r="AJ72" i="17"/>
  <c r="AO72" i="17"/>
  <c r="AL72" i="17"/>
  <c r="AS72" i="17"/>
  <c r="AK72" i="17"/>
  <c r="BG72" i="17"/>
  <c r="BH72" i="17"/>
  <c r="AY72" i="17"/>
  <c r="AG72" i="17"/>
  <c r="Q72" i="17"/>
  <c r="AD72" i="17"/>
  <c r="P72" i="17"/>
  <c r="AB72" i="17"/>
  <c r="O72" i="17"/>
  <c r="W72" i="17"/>
  <c r="X72" i="17"/>
  <c r="G72" i="17"/>
  <c r="F72" i="17"/>
  <c r="D72" i="17"/>
  <c r="C72" i="17"/>
  <c r="DB71" i="17"/>
  <c r="CQ71" i="17"/>
  <c r="BY71" i="17"/>
  <c r="CB71" i="17"/>
  <c r="CI71" i="17"/>
  <c r="BX71" i="17"/>
  <c r="BW71" i="17"/>
  <c r="BR71" i="17"/>
  <c r="BS71" i="17"/>
  <c r="BP71" i="17"/>
  <c r="BQ71" i="17"/>
  <c r="BA71" i="17"/>
  <c r="AL71" i="17"/>
  <c r="AS71" i="17"/>
  <c r="AK71" i="17"/>
  <c r="BG71" i="17"/>
  <c r="BH71" i="17"/>
  <c r="AJ71" i="17"/>
  <c r="AY71" i="17"/>
  <c r="G71" i="17"/>
  <c r="F71" i="17"/>
  <c r="D71" i="17"/>
  <c r="C71" i="17"/>
  <c r="DB70" i="17"/>
  <c r="CQ70" i="17"/>
  <c r="BY70" i="17"/>
  <c r="CA70" i="17"/>
  <c r="BX70" i="17"/>
  <c r="BW70" i="17"/>
  <c r="BR70" i="17"/>
  <c r="BS70" i="17"/>
  <c r="BP70" i="17"/>
  <c r="BQ70" i="17"/>
  <c r="BA70" i="17"/>
  <c r="AJ70" i="17"/>
  <c r="AO70" i="17"/>
  <c r="AL70" i="17"/>
  <c r="AS70" i="17"/>
  <c r="AK70" i="17"/>
  <c r="BG70" i="17"/>
  <c r="BH70" i="17"/>
  <c r="BD70" i="17"/>
  <c r="G70" i="17"/>
  <c r="F70" i="17"/>
  <c r="D70" i="17"/>
  <c r="C70" i="17"/>
  <c r="DB69" i="17"/>
  <c r="CQ69" i="17"/>
  <c r="BY69" i="17"/>
  <c r="BZ69" i="17"/>
  <c r="BX69" i="17"/>
  <c r="BW69" i="17"/>
  <c r="BR69" i="17"/>
  <c r="BS69" i="17"/>
  <c r="BU69" i="17"/>
  <c r="BP69" i="17"/>
  <c r="BQ69" i="17"/>
  <c r="BA69" i="17"/>
  <c r="AL69" i="17"/>
  <c r="AS69" i="17"/>
  <c r="AK69" i="17"/>
  <c r="BG69" i="17"/>
  <c r="BH69" i="17"/>
  <c r="AJ69" i="17"/>
  <c r="AY69" i="17"/>
  <c r="G69" i="17"/>
  <c r="F69" i="17"/>
  <c r="D69" i="17"/>
  <c r="C69" i="17"/>
  <c r="DB68" i="17"/>
  <c r="CQ68" i="17"/>
  <c r="BY68" i="17"/>
  <c r="CB68" i="17"/>
  <c r="CI68" i="17"/>
  <c r="CA68" i="17"/>
  <c r="CW68" i="17"/>
  <c r="BZ68" i="17"/>
  <c r="CE68" i="17"/>
  <c r="BX68" i="17"/>
  <c r="BW68" i="17"/>
  <c r="BR68" i="17"/>
  <c r="BS68" i="17"/>
  <c r="BP68" i="17"/>
  <c r="BQ68" i="17"/>
  <c r="BA68" i="17"/>
  <c r="AL68" i="17"/>
  <c r="AS68" i="17"/>
  <c r="AK68" i="17"/>
  <c r="BG68" i="17"/>
  <c r="BH68" i="17"/>
  <c r="AJ68" i="17"/>
  <c r="BD68" i="17"/>
  <c r="G68" i="17"/>
  <c r="F68" i="17"/>
  <c r="D68" i="17"/>
  <c r="C68" i="17"/>
  <c r="DB67" i="17"/>
  <c r="CQ67" i="17"/>
  <c r="CB67" i="17"/>
  <c r="CI67" i="17"/>
  <c r="BZ67" i="17"/>
  <c r="CE67" i="17"/>
  <c r="CA67" i="17"/>
  <c r="CW67" i="17"/>
  <c r="CO67" i="17"/>
  <c r="BX67" i="17"/>
  <c r="BW67" i="17"/>
  <c r="BR67" i="17"/>
  <c r="BS67" i="17"/>
  <c r="BP67" i="17"/>
  <c r="BQ67" i="17"/>
  <c r="BF67" i="17"/>
  <c r="BA67" i="17"/>
  <c r="AL67" i="17"/>
  <c r="AS67" i="17"/>
  <c r="AK67" i="17"/>
  <c r="AJ67" i="17"/>
  <c r="AQ67" i="17"/>
  <c r="AC67" i="17"/>
  <c r="AA67" i="17"/>
  <c r="Q67" i="17"/>
  <c r="P67" i="17"/>
  <c r="O67" i="17"/>
  <c r="Z67" i="17"/>
  <c r="G67" i="17"/>
  <c r="F67" i="17"/>
  <c r="D67" i="17"/>
  <c r="C67" i="17"/>
  <c r="DB66" i="17"/>
  <c r="CQ66" i="17"/>
  <c r="BY66" i="17"/>
  <c r="CB66" i="17"/>
  <c r="CI66" i="17"/>
  <c r="BX66" i="17"/>
  <c r="BW66" i="17"/>
  <c r="BR66" i="17"/>
  <c r="BS66" i="17"/>
  <c r="BT66" i="17"/>
  <c r="BU66" i="17"/>
  <c r="BP66" i="17"/>
  <c r="BQ66" i="17"/>
  <c r="BA66" i="17"/>
  <c r="AL66" i="17"/>
  <c r="AS66" i="17"/>
  <c r="AK66" i="17"/>
  <c r="BG66" i="17"/>
  <c r="BH66" i="17"/>
  <c r="AJ66" i="17"/>
  <c r="BD66" i="17"/>
  <c r="G66" i="17"/>
  <c r="F66" i="17"/>
  <c r="D66" i="17"/>
  <c r="C66" i="17"/>
  <c r="DB65" i="17"/>
  <c r="CQ65" i="17"/>
  <c r="BY65" i="17"/>
  <c r="CB65" i="17"/>
  <c r="CI65" i="17"/>
  <c r="BX65" i="17"/>
  <c r="BW65" i="17"/>
  <c r="BR65" i="17"/>
  <c r="BS65" i="17"/>
  <c r="BP65" i="17"/>
  <c r="BQ65" i="17"/>
  <c r="BA65" i="17"/>
  <c r="AL65" i="17"/>
  <c r="AS65" i="17"/>
  <c r="AK65" i="17"/>
  <c r="BG65" i="17"/>
  <c r="BH65" i="17"/>
  <c r="AJ65" i="17"/>
  <c r="AQ65" i="17"/>
  <c r="G65" i="17"/>
  <c r="F65" i="17"/>
  <c r="D65" i="17"/>
  <c r="C65" i="17"/>
  <c r="DB64" i="17"/>
  <c r="CA64" i="17"/>
  <c r="CW64" i="17"/>
  <c r="CX64" i="17"/>
  <c r="BZ64" i="17"/>
  <c r="CT64" i="17"/>
  <c r="CQ64" i="17"/>
  <c r="CM64" i="17"/>
  <c r="CK64" i="17"/>
  <c r="CG64" i="17"/>
  <c r="CB64" i="17"/>
  <c r="CI64" i="17"/>
  <c r="BX64" i="17"/>
  <c r="BW64" i="17"/>
  <c r="BR64" i="17"/>
  <c r="BS64" i="17"/>
  <c r="BU64" i="17"/>
  <c r="BT64" i="17"/>
  <c r="BP64" i="17"/>
  <c r="BQ64" i="17"/>
  <c r="BF64" i="17"/>
  <c r="BA64" i="17"/>
  <c r="AL64" i="17"/>
  <c r="AS64" i="17"/>
  <c r="AK64" i="17"/>
  <c r="BG64" i="17"/>
  <c r="BH64" i="17"/>
  <c r="AJ64" i="17"/>
  <c r="AO64" i="17"/>
  <c r="AC64" i="17"/>
  <c r="AA64" i="17"/>
  <c r="Q64" i="17"/>
  <c r="P64" i="17"/>
  <c r="O64" i="17"/>
  <c r="U64" i="17"/>
  <c r="G64" i="17"/>
  <c r="F64" i="17"/>
  <c r="D64" i="17"/>
  <c r="C64" i="17"/>
  <c r="DB63" i="17"/>
  <c r="CQ63" i="17"/>
  <c r="BZ63" i="17"/>
  <c r="CO63" i="17"/>
  <c r="CB63" i="17"/>
  <c r="CI63" i="17"/>
  <c r="CE63" i="17"/>
  <c r="CA63" i="17"/>
  <c r="CW63" i="17"/>
  <c r="CT63" i="17"/>
  <c r="CL63" i="17"/>
  <c r="BX63" i="17"/>
  <c r="BW63" i="17"/>
  <c r="BR63" i="17"/>
  <c r="BS63" i="17"/>
  <c r="BP63" i="17"/>
  <c r="BQ63" i="17"/>
  <c r="BF63" i="17"/>
  <c r="BA63" i="17"/>
  <c r="AL63" i="17"/>
  <c r="AS63" i="17"/>
  <c r="AK63" i="17"/>
  <c r="AJ63" i="17"/>
  <c r="AQ63" i="17"/>
  <c r="AC63" i="17"/>
  <c r="AA63" i="17"/>
  <c r="Q63" i="17"/>
  <c r="P63" i="17"/>
  <c r="O63" i="17"/>
  <c r="S63" i="17"/>
  <c r="G63" i="17"/>
  <c r="F63" i="17"/>
  <c r="D63" i="17"/>
  <c r="C63" i="17"/>
  <c r="DB62" i="17"/>
  <c r="CQ62" i="17"/>
  <c r="BY62" i="17"/>
  <c r="BX62" i="17"/>
  <c r="BW62" i="17"/>
  <c r="BR62" i="17"/>
  <c r="BS62" i="17"/>
  <c r="BP62" i="17"/>
  <c r="BQ62" i="17"/>
  <c r="AK62" i="17"/>
  <c r="BG62" i="17"/>
  <c r="BH62" i="17"/>
  <c r="BA62" i="17"/>
  <c r="AL62" i="17"/>
  <c r="AS62" i="17"/>
  <c r="AJ62" i="17"/>
  <c r="BD62" i="17"/>
  <c r="Z62" i="17"/>
  <c r="W62" i="17"/>
  <c r="X62" i="17"/>
  <c r="U62" i="17"/>
  <c r="S62" i="17"/>
  <c r="G62" i="17"/>
  <c r="F62" i="17"/>
  <c r="D62" i="17"/>
  <c r="C62" i="17"/>
  <c r="DB61" i="17"/>
  <c r="CQ61" i="17"/>
  <c r="BY61" i="17"/>
  <c r="BX61" i="17"/>
  <c r="BW61" i="17"/>
  <c r="BR61" i="17"/>
  <c r="BS61" i="17"/>
  <c r="BT61" i="17"/>
  <c r="BU61" i="17"/>
  <c r="BP61" i="17"/>
  <c r="BQ61" i="17"/>
  <c r="BA61" i="17"/>
  <c r="AL61" i="17"/>
  <c r="AS61" i="17"/>
  <c r="AK61" i="17"/>
  <c r="BG61" i="17"/>
  <c r="BH61" i="17"/>
  <c r="AJ61" i="17"/>
  <c r="AY61" i="17"/>
  <c r="AG61" i="17"/>
  <c r="O61" i="17"/>
  <c r="S61" i="17"/>
  <c r="Q61" i="17"/>
  <c r="AD61" i="17"/>
  <c r="P61" i="17"/>
  <c r="AB61" i="17"/>
  <c r="W61" i="17"/>
  <c r="X61" i="17"/>
  <c r="G61" i="17"/>
  <c r="F61" i="17"/>
  <c r="D61" i="17"/>
  <c r="C61" i="17"/>
  <c r="DB60" i="17"/>
  <c r="CQ60" i="17"/>
  <c r="BY60" i="17"/>
  <c r="BX60" i="17"/>
  <c r="BW60" i="17"/>
  <c r="BR60" i="17"/>
  <c r="BS60" i="17"/>
  <c r="BT60" i="17"/>
  <c r="BU60" i="17"/>
  <c r="BP60" i="17"/>
  <c r="BQ60" i="17"/>
  <c r="BA60" i="17"/>
  <c r="AL60" i="17"/>
  <c r="AS60" i="17"/>
  <c r="AK60" i="17"/>
  <c r="BG60" i="17"/>
  <c r="BH60" i="17"/>
  <c r="AJ60" i="17"/>
  <c r="AY60" i="17"/>
  <c r="AG60" i="17"/>
  <c r="Q60" i="17"/>
  <c r="AD60" i="17"/>
  <c r="P60" i="17"/>
  <c r="AB60" i="17"/>
  <c r="O60" i="17"/>
  <c r="W60" i="17"/>
  <c r="X60" i="17"/>
  <c r="G60" i="17"/>
  <c r="F60" i="17"/>
  <c r="D60" i="17"/>
  <c r="C60" i="17"/>
  <c r="DB59" i="17"/>
  <c r="CQ59" i="17"/>
  <c r="BY59" i="17"/>
  <c r="BX59" i="17"/>
  <c r="BW59" i="17"/>
  <c r="BR59" i="17"/>
  <c r="BS59" i="17"/>
  <c r="BT59" i="17"/>
  <c r="BU59" i="17"/>
  <c r="BP59" i="17"/>
  <c r="BQ59" i="17"/>
  <c r="BA59" i="17"/>
  <c r="AL59" i="17"/>
  <c r="AS59" i="17"/>
  <c r="AK59" i="17"/>
  <c r="BG59" i="17"/>
  <c r="BH59" i="17"/>
  <c r="AJ59" i="17"/>
  <c r="AY59" i="17"/>
  <c r="AG59" i="17"/>
  <c r="O59" i="17"/>
  <c r="S59" i="17"/>
  <c r="Q59" i="17"/>
  <c r="AD59" i="17"/>
  <c r="P59" i="17"/>
  <c r="AB59" i="17"/>
  <c r="W59" i="17"/>
  <c r="X59" i="17"/>
  <c r="G59" i="17"/>
  <c r="F59" i="17"/>
  <c r="D59" i="17"/>
  <c r="C59" i="17"/>
  <c r="DB58" i="17"/>
  <c r="CQ58" i="17"/>
  <c r="BY58" i="17"/>
  <c r="BX58" i="17"/>
  <c r="BW58" i="17"/>
  <c r="BR58" i="17"/>
  <c r="BS58" i="17"/>
  <c r="BT58" i="17"/>
  <c r="BU58" i="17"/>
  <c r="BP58" i="17"/>
  <c r="BQ58" i="17"/>
  <c r="BA58" i="17"/>
  <c r="AL58" i="17"/>
  <c r="AS58" i="17"/>
  <c r="AK58" i="17"/>
  <c r="BG58" i="17"/>
  <c r="BH58" i="17"/>
  <c r="AJ58" i="17"/>
  <c r="AY58" i="17"/>
  <c r="AG58" i="17"/>
  <c r="Q58" i="17"/>
  <c r="AD58" i="17"/>
  <c r="P58" i="17"/>
  <c r="AB58" i="17"/>
  <c r="O58" i="17"/>
  <c r="W58" i="17"/>
  <c r="X58" i="17"/>
  <c r="G58" i="17"/>
  <c r="F58" i="17"/>
  <c r="D58" i="17"/>
  <c r="C58" i="17"/>
  <c r="DB57" i="17"/>
  <c r="CQ57" i="17"/>
  <c r="BY57" i="17"/>
  <c r="BX57" i="17"/>
  <c r="BW57" i="17"/>
  <c r="BR57" i="17"/>
  <c r="BS57" i="17"/>
  <c r="BT57" i="17"/>
  <c r="BU57" i="17"/>
  <c r="BP57" i="17"/>
  <c r="BQ57" i="17"/>
  <c r="BA57" i="17"/>
  <c r="AL57" i="17"/>
  <c r="AS57" i="17"/>
  <c r="AK57" i="17"/>
  <c r="BG57" i="17"/>
  <c r="BH57" i="17"/>
  <c r="AJ57" i="17"/>
  <c r="AY57" i="17"/>
  <c r="AG57" i="17"/>
  <c r="Q57" i="17"/>
  <c r="AD57" i="17"/>
  <c r="P57" i="17"/>
  <c r="AB57" i="17"/>
  <c r="O57" i="17"/>
  <c r="Z57" i="17"/>
  <c r="G57" i="17"/>
  <c r="F57" i="17"/>
  <c r="D57" i="17"/>
  <c r="C57" i="17"/>
  <c r="DB56" i="17"/>
  <c r="CQ56" i="17"/>
  <c r="BY56" i="17"/>
  <c r="BX56" i="17"/>
  <c r="BW56" i="17"/>
  <c r="BR56" i="17"/>
  <c r="BS56" i="17"/>
  <c r="BT56" i="17"/>
  <c r="BU56" i="17"/>
  <c r="BP56" i="17"/>
  <c r="BQ56" i="17"/>
  <c r="BF56" i="17"/>
  <c r="BA56" i="17"/>
  <c r="AL56" i="17"/>
  <c r="AS56" i="17"/>
  <c r="AK56" i="17"/>
  <c r="AJ56" i="17"/>
  <c r="AY56" i="17"/>
  <c r="AG56" i="17"/>
  <c r="P56" i="17"/>
  <c r="AA56" i="17"/>
  <c r="AB56" i="17"/>
  <c r="O56" i="17"/>
  <c r="S56" i="17"/>
  <c r="Q56" i="17"/>
  <c r="AD56" i="17"/>
  <c r="W56" i="17"/>
  <c r="X56" i="17"/>
  <c r="G56" i="17"/>
  <c r="F56" i="17"/>
  <c r="D56" i="17"/>
  <c r="C56" i="17"/>
  <c r="DB55" i="17"/>
  <c r="CQ55" i="17"/>
  <c r="BY55" i="17"/>
  <c r="BZ55" i="17"/>
  <c r="BX55" i="17"/>
  <c r="BW55" i="17"/>
  <c r="BR55" i="17"/>
  <c r="BS55" i="17"/>
  <c r="BU55" i="17"/>
  <c r="BP55" i="17"/>
  <c r="BQ55" i="17"/>
  <c r="AJ55" i="17"/>
  <c r="BD55" i="17"/>
  <c r="BE55" i="17"/>
  <c r="BA55" i="17"/>
  <c r="AO55" i="17"/>
  <c r="AL55" i="17"/>
  <c r="AS55" i="17"/>
  <c r="AK55" i="17"/>
  <c r="AY55" i="17"/>
  <c r="Z55" i="17"/>
  <c r="W55" i="17"/>
  <c r="X55" i="17"/>
  <c r="U55" i="17"/>
  <c r="S55" i="17"/>
  <c r="G55" i="17"/>
  <c r="F55" i="17"/>
  <c r="D55" i="17"/>
  <c r="C55" i="17"/>
  <c r="DB54" i="17"/>
  <c r="CQ54" i="17"/>
  <c r="BY54" i="17"/>
  <c r="BX54" i="17"/>
  <c r="BW54" i="17"/>
  <c r="BR54" i="17"/>
  <c r="BS54" i="17"/>
  <c r="BU54" i="17"/>
  <c r="BT54" i="17"/>
  <c r="BP54" i="17"/>
  <c r="BQ54" i="17"/>
  <c r="BA54" i="17"/>
  <c r="AL54" i="17"/>
  <c r="AS54" i="17"/>
  <c r="AK54" i="17"/>
  <c r="BG54" i="17"/>
  <c r="BH54" i="17"/>
  <c r="AJ54" i="17"/>
  <c r="AQ54" i="17"/>
  <c r="Z54" i="17"/>
  <c r="W54" i="17"/>
  <c r="X54" i="17"/>
  <c r="U54" i="17"/>
  <c r="S54" i="17"/>
  <c r="G54" i="17"/>
  <c r="F54" i="17"/>
  <c r="D54" i="17"/>
  <c r="C54" i="17"/>
  <c r="DB53" i="17"/>
  <c r="CQ53" i="17"/>
  <c r="BY53" i="17"/>
  <c r="BX53" i="17"/>
  <c r="BW53" i="17"/>
  <c r="BR53" i="17"/>
  <c r="BS53" i="17"/>
  <c r="BT53" i="17"/>
  <c r="BU53" i="17"/>
  <c r="BP53" i="17"/>
  <c r="BQ53" i="17"/>
  <c r="BA53" i="17"/>
  <c r="AL53" i="17"/>
  <c r="AS53" i="17"/>
  <c r="AK53" i="17"/>
  <c r="AJ53" i="17"/>
  <c r="AQ53" i="17"/>
  <c r="Z53" i="17"/>
  <c r="W53" i="17"/>
  <c r="X53" i="17"/>
  <c r="U53" i="17"/>
  <c r="S53" i="17"/>
  <c r="G53" i="17"/>
  <c r="F53" i="17"/>
  <c r="D53" i="17"/>
  <c r="C53" i="17"/>
  <c r="DB52" i="17"/>
  <c r="CQ52" i="17"/>
  <c r="BY52" i="17"/>
  <c r="CB52" i="17"/>
  <c r="CI52" i="17"/>
  <c r="BX52" i="17"/>
  <c r="BW52" i="17"/>
  <c r="BR52" i="17"/>
  <c r="BS52" i="17"/>
  <c r="BU52" i="17"/>
  <c r="BP52" i="17"/>
  <c r="BQ52" i="17"/>
  <c r="BA52" i="17"/>
  <c r="AL52" i="17"/>
  <c r="AS52" i="17"/>
  <c r="AK52" i="17"/>
  <c r="BG52" i="17"/>
  <c r="BH52" i="17"/>
  <c r="AJ52" i="17"/>
  <c r="AO52" i="17"/>
  <c r="AG52" i="17"/>
  <c r="AA52" i="17"/>
  <c r="O52" i="17"/>
  <c r="W52" i="17"/>
  <c r="X52" i="17"/>
  <c r="Q52" i="17"/>
  <c r="AD52" i="17"/>
  <c r="P52" i="17"/>
  <c r="G52" i="17"/>
  <c r="F52" i="17"/>
  <c r="D52" i="17"/>
  <c r="C52" i="17"/>
  <c r="DB51" i="17"/>
  <c r="CQ51" i="17"/>
  <c r="BY51" i="17"/>
  <c r="BX51" i="17"/>
  <c r="BW51" i="17"/>
  <c r="BR51" i="17"/>
  <c r="BS51" i="17"/>
  <c r="BU51" i="17"/>
  <c r="BT51" i="17"/>
  <c r="BP51" i="17"/>
  <c r="BQ51" i="17"/>
  <c r="BA51" i="17"/>
  <c r="AL51" i="17"/>
  <c r="AS51" i="17"/>
  <c r="AK51" i="17"/>
  <c r="BG51" i="17"/>
  <c r="BH51" i="17"/>
  <c r="AJ51" i="17"/>
  <c r="BD51" i="17"/>
  <c r="AG51" i="17"/>
  <c r="AA51" i="17"/>
  <c r="Q51" i="17"/>
  <c r="AD51" i="17"/>
  <c r="P51" i="17"/>
  <c r="O51" i="17"/>
  <c r="U51" i="17"/>
  <c r="G51" i="17"/>
  <c r="F51" i="17"/>
  <c r="D51" i="17"/>
  <c r="C51" i="17"/>
  <c r="DB50" i="17"/>
  <c r="CQ50" i="17"/>
  <c r="BY50" i="17"/>
  <c r="CA50" i="17"/>
  <c r="CK50" i="17"/>
  <c r="BX50" i="17"/>
  <c r="BW50" i="17"/>
  <c r="BR50" i="17"/>
  <c r="BS50" i="17"/>
  <c r="BP50" i="17"/>
  <c r="BQ50" i="17"/>
  <c r="BG50" i="17"/>
  <c r="BH50" i="17"/>
  <c r="BA50" i="17"/>
  <c r="AJ50" i="17"/>
  <c r="AO50" i="17"/>
  <c r="AL50" i="17"/>
  <c r="AS50" i="17"/>
  <c r="BD50" i="17"/>
  <c r="AV50" i="17"/>
  <c r="AG50" i="17"/>
  <c r="AA50" i="17"/>
  <c r="Q50" i="17"/>
  <c r="AD50" i="17"/>
  <c r="P50" i="17"/>
  <c r="O50" i="17"/>
  <c r="U50" i="17"/>
  <c r="G50" i="17"/>
  <c r="F50" i="17"/>
  <c r="D50" i="17"/>
  <c r="C50" i="17"/>
  <c r="DB49" i="17"/>
  <c r="CQ49" i="17"/>
  <c r="CJ49" i="17"/>
  <c r="BY49" i="17"/>
  <c r="BZ49" i="17"/>
  <c r="CT49" i="17"/>
  <c r="BX49" i="17"/>
  <c r="BW49" i="17"/>
  <c r="BR49" i="17"/>
  <c r="BS49" i="17"/>
  <c r="BP49" i="17"/>
  <c r="BQ49" i="17"/>
  <c r="BG49" i="17"/>
  <c r="BH49" i="17"/>
  <c r="BA49" i="17"/>
  <c r="AL49" i="17"/>
  <c r="AS49" i="17"/>
  <c r="AJ49" i="17"/>
  <c r="AQ49" i="17"/>
  <c r="AG49" i="17"/>
  <c r="AA49" i="17"/>
  <c r="Q49" i="17"/>
  <c r="AD49" i="17"/>
  <c r="P49" i="17"/>
  <c r="O49" i="17"/>
  <c r="S49" i="17"/>
  <c r="G49" i="17"/>
  <c r="F49" i="17"/>
  <c r="D49" i="17"/>
  <c r="C49" i="17"/>
  <c r="DB48" i="17"/>
  <c r="CQ48" i="17"/>
  <c r="CJ48" i="17"/>
  <c r="BY48" i="17"/>
  <c r="CA48" i="17"/>
  <c r="BX48" i="17"/>
  <c r="BW48" i="17"/>
  <c r="BR48" i="17"/>
  <c r="BS48" i="17"/>
  <c r="BT48" i="17"/>
  <c r="BU48" i="17"/>
  <c r="BP48" i="17"/>
  <c r="BQ48" i="17"/>
  <c r="BA48" i="17"/>
  <c r="AL48" i="17"/>
  <c r="AS48" i="17"/>
  <c r="AK48" i="17"/>
  <c r="BG48" i="17"/>
  <c r="BH48" i="17"/>
  <c r="AJ48" i="17"/>
  <c r="AO48" i="17"/>
  <c r="AG48" i="17"/>
  <c r="AA48" i="17"/>
  <c r="Q48" i="17"/>
  <c r="AD48" i="17"/>
  <c r="P48" i="17"/>
  <c r="AB48" i="17"/>
  <c r="O48" i="17"/>
  <c r="S48" i="17"/>
  <c r="G48" i="17"/>
  <c r="F48" i="17"/>
  <c r="D48" i="17"/>
  <c r="C48" i="17"/>
  <c r="DB47" i="17"/>
  <c r="CQ47" i="17"/>
  <c r="CJ47" i="17"/>
  <c r="BY47" i="17"/>
  <c r="CA47" i="17"/>
  <c r="CW47" i="17"/>
  <c r="CM47" i="17"/>
  <c r="BX47" i="17"/>
  <c r="BW47" i="17"/>
  <c r="BR47" i="17"/>
  <c r="BS47" i="17"/>
  <c r="BP47" i="17"/>
  <c r="BQ47" i="17"/>
  <c r="BA47" i="17"/>
  <c r="AL47" i="17"/>
  <c r="AS47" i="17"/>
  <c r="AK47" i="17"/>
  <c r="BG47" i="17"/>
  <c r="BH47" i="17"/>
  <c r="AJ47" i="17"/>
  <c r="AO47" i="17"/>
  <c r="AG47" i="17"/>
  <c r="AA47" i="17"/>
  <c r="O47" i="17"/>
  <c r="S47" i="17"/>
  <c r="Q47" i="17"/>
  <c r="AD47" i="17"/>
  <c r="P47" i="17"/>
  <c r="Z47" i="17"/>
  <c r="G47" i="17"/>
  <c r="F47" i="17"/>
  <c r="D47" i="17"/>
  <c r="C47" i="17"/>
  <c r="DB46" i="17"/>
  <c r="CQ46" i="17"/>
  <c r="BY46" i="17"/>
  <c r="BX46" i="17"/>
  <c r="BW46" i="17"/>
  <c r="BR46" i="17"/>
  <c r="BS46" i="17"/>
  <c r="BP46" i="17"/>
  <c r="BQ46" i="17"/>
  <c r="BA46" i="17"/>
  <c r="AL46" i="17"/>
  <c r="AS46" i="17"/>
  <c r="AK46" i="17"/>
  <c r="BG46" i="17"/>
  <c r="BH46" i="17"/>
  <c r="AJ46" i="17"/>
  <c r="AQ46" i="17"/>
  <c r="AG46" i="17"/>
  <c r="AA46" i="17"/>
  <c r="Q46" i="17"/>
  <c r="AD46" i="17"/>
  <c r="P46" i="17"/>
  <c r="AB46" i="17"/>
  <c r="O46" i="17"/>
  <c r="W46" i="17"/>
  <c r="X46" i="17"/>
  <c r="G46" i="17"/>
  <c r="F46" i="17"/>
  <c r="D46" i="17"/>
  <c r="C46" i="17"/>
  <c r="DB45" i="17"/>
  <c r="CA45" i="17"/>
  <c r="CW45" i="17"/>
  <c r="CQ45" i="17"/>
  <c r="CK45" i="17"/>
  <c r="CB45" i="17"/>
  <c r="CI45" i="17"/>
  <c r="BZ45" i="17"/>
  <c r="CO45" i="17"/>
  <c r="BX45" i="17"/>
  <c r="BW45" i="17"/>
  <c r="BR45" i="17"/>
  <c r="BS45" i="17"/>
  <c r="BP45" i="17"/>
  <c r="BQ45" i="17"/>
  <c r="BF45" i="17"/>
  <c r="BA45" i="17"/>
  <c r="AL45" i="17"/>
  <c r="AS45" i="17"/>
  <c r="AK45" i="17"/>
  <c r="AJ45" i="17"/>
  <c r="AQ45" i="17"/>
  <c r="AC45" i="17"/>
  <c r="AA45" i="17"/>
  <c r="O45" i="17"/>
  <c r="Z45" i="17"/>
  <c r="Q45" i="17"/>
  <c r="AD45" i="17"/>
  <c r="P45" i="17"/>
  <c r="U45" i="17"/>
  <c r="G45" i="17"/>
  <c r="F45" i="17"/>
  <c r="D45" i="17"/>
  <c r="C45" i="17"/>
  <c r="DB44" i="17"/>
  <c r="CQ44" i="17"/>
  <c r="BY44" i="17"/>
  <c r="CB44" i="17"/>
  <c r="CI44" i="17"/>
  <c r="BX44" i="17"/>
  <c r="BW44" i="17"/>
  <c r="BR44" i="17"/>
  <c r="BS44" i="17"/>
  <c r="BU44" i="17"/>
  <c r="BT44" i="17"/>
  <c r="BP44" i="17"/>
  <c r="BQ44" i="17"/>
  <c r="BA44" i="17"/>
  <c r="AL44" i="17"/>
  <c r="AS44" i="17"/>
  <c r="AK44" i="17"/>
  <c r="BG44" i="17"/>
  <c r="BH44" i="17"/>
  <c r="AJ44" i="17"/>
  <c r="BD44" i="17"/>
  <c r="AG44" i="17"/>
  <c r="O44" i="17"/>
  <c r="S44" i="17"/>
  <c r="Q44" i="17"/>
  <c r="AD44" i="17"/>
  <c r="P44" i="17"/>
  <c r="AB44" i="17"/>
  <c r="U44" i="17"/>
  <c r="G44" i="17"/>
  <c r="F44" i="17"/>
  <c r="D44" i="17"/>
  <c r="C44" i="17"/>
  <c r="DB43" i="17"/>
  <c r="CQ43" i="17"/>
  <c r="BY43" i="17"/>
  <c r="CB43" i="17"/>
  <c r="CI43" i="17"/>
  <c r="BX43" i="17"/>
  <c r="BW43" i="17"/>
  <c r="BR43" i="17"/>
  <c r="BS43" i="17"/>
  <c r="BU43" i="17"/>
  <c r="BT43" i="17"/>
  <c r="BP43" i="17"/>
  <c r="BQ43" i="17"/>
  <c r="BA43" i="17"/>
  <c r="AL43" i="17"/>
  <c r="AS43" i="17"/>
  <c r="AK43" i="17"/>
  <c r="BG43" i="17"/>
  <c r="BH43" i="17"/>
  <c r="AJ43" i="17"/>
  <c r="BD43" i="17"/>
  <c r="AG43" i="17"/>
  <c r="Q43" i="17"/>
  <c r="AD43" i="17"/>
  <c r="P43" i="17"/>
  <c r="AB43" i="17"/>
  <c r="O43" i="17"/>
  <c r="U43" i="17"/>
  <c r="G43" i="17"/>
  <c r="F43" i="17"/>
  <c r="D43" i="17"/>
  <c r="C43" i="17"/>
  <c r="DB42" i="17"/>
  <c r="CQ42" i="17"/>
  <c r="BY42" i="17"/>
  <c r="CB42" i="17"/>
  <c r="CI42" i="17"/>
  <c r="BX42" i="17"/>
  <c r="BW42" i="17"/>
  <c r="BR42" i="17"/>
  <c r="BS42" i="17"/>
  <c r="BU42" i="17"/>
  <c r="BT42" i="17"/>
  <c r="BP42" i="17"/>
  <c r="BQ42" i="17"/>
  <c r="BA42" i="17"/>
  <c r="AL42" i="17"/>
  <c r="AS42" i="17"/>
  <c r="AK42" i="17"/>
  <c r="BG42" i="17"/>
  <c r="BH42" i="17"/>
  <c r="AJ42" i="17"/>
  <c r="BD42" i="17"/>
  <c r="BE42" i="17"/>
  <c r="AG42" i="17"/>
  <c r="O42" i="17"/>
  <c r="S42" i="17"/>
  <c r="Q42" i="17"/>
  <c r="AD42" i="17"/>
  <c r="P42" i="17"/>
  <c r="AB42" i="17"/>
  <c r="U42" i="17"/>
  <c r="G42" i="17"/>
  <c r="F42" i="17"/>
  <c r="D42" i="17"/>
  <c r="C42" i="17"/>
  <c r="DB41" i="17"/>
  <c r="CQ41" i="17"/>
  <c r="BY41" i="17"/>
  <c r="BX41" i="17"/>
  <c r="BW41" i="17"/>
  <c r="BR41" i="17"/>
  <c r="BS41" i="17"/>
  <c r="BU41" i="17"/>
  <c r="BT41" i="17"/>
  <c r="BP41" i="17"/>
  <c r="BQ41" i="17"/>
  <c r="BA41" i="17"/>
  <c r="AL41" i="17"/>
  <c r="AS41" i="17"/>
  <c r="AK41" i="17"/>
  <c r="BG41" i="17"/>
  <c r="BH41" i="17"/>
  <c r="AJ41" i="17"/>
  <c r="BD41" i="17"/>
  <c r="G41" i="17"/>
  <c r="F41" i="17"/>
  <c r="D41" i="17"/>
  <c r="C41" i="17"/>
  <c r="DB40" i="17"/>
  <c r="CQ40" i="17"/>
  <c r="BY40" i="17"/>
  <c r="CB40" i="17"/>
  <c r="CI40" i="17"/>
  <c r="BX40" i="17"/>
  <c r="BW40" i="17"/>
  <c r="BR40" i="17"/>
  <c r="BS40" i="17"/>
  <c r="BT40" i="17"/>
  <c r="BU40" i="17"/>
  <c r="BP40" i="17"/>
  <c r="BQ40" i="17"/>
  <c r="BA40" i="17"/>
  <c r="AJ40" i="17"/>
  <c r="AQ40" i="17"/>
  <c r="AL40" i="17"/>
  <c r="AS40" i="17"/>
  <c r="AK40" i="17"/>
  <c r="BG40" i="17"/>
  <c r="BH40" i="17"/>
  <c r="G40" i="17"/>
  <c r="F40" i="17"/>
  <c r="D40" i="17"/>
  <c r="C40" i="17"/>
  <c r="DB39" i="17"/>
  <c r="CQ39" i="17"/>
  <c r="BY39" i="17"/>
  <c r="CB39" i="17"/>
  <c r="CI39" i="17"/>
  <c r="BX39" i="17"/>
  <c r="BW39" i="17"/>
  <c r="BR39" i="17"/>
  <c r="BS39" i="17"/>
  <c r="BP39" i="17"/>
  <c r="BQ39" i="17"/>
  <c r="BA39" i="17"/>
  <c r="AJ39" i="17"/>
  <c r="AY39" i="17"/>
  <c r="AL39" i="17"/>
  <c r="AS39" i="17"/>
  <c r="AK39" i="17"/>
  <c r="BG39" i="17"/>
  <c r="BH39" i="17"/>
  <c r="BD39" i="17"/>
  <c r="AV39" i="17"/>
  <c r="AG39" i="17"/>
  <c r="Q39" i="17"/>
  <c r="AD39" i="17"/>
  <c r="P39" i="17"/>
  <c r="AB39" i="17"/>
  <c r="O39" i="17"/>
  <c r="U39" i="17"/>
  <c r="G39" i="17"/>
  <c r="F39" i="17"/>
  <c r="D39" i="17"/>
  <c r="C39" i="17"/>
  <c r="DB38" i="17"/>
  <c r="CQ38" i="17"/>
  <c r="BY38" i="17"/>
  <c r="CB38" i="17"/>
  <c r="CI38" i="17"/>
  <c r="BX38" i="17"/>
  <c r="BW38" i="17"/>
  <c r="BR38" i="17"/>
  <c r="BS38" i="17"/>
  <c r="BP38" i="17"/>
  <c r="BQ38" i="17"/>
  <c r="BA38" i="17"/>
  <c r="AL38" i="17"/>
  <c r="AS38" i="17"/>
  <c r="AK38" i="17"/>
  <c r="BG38" i="17"/>
  <c r="BH38" i="17"/>
  <c r="AJ38" i="17"/>
  <c r="BD38" i="17"/>
  <c r="AV38" i="17"/>
  <c r="AG38" i="17"/>
  <c r="Q38" i="17"/>
  <c r="AD38" i="17"/>
  <c r="P38" i="17"/>
  <c r="AB38" i="17"/>
  <c r="O38" i="17"/>
  <c r="U38" i="17"/>
  <c r="G38" i="17"/>
  <c r="F38" i="17"/>
  <c r="D38" i="17"/>
  <c r="C38" i="17"/>
  <c r="DB37" i="17"/>
  <c r="CQ37" i="17"/>
  <c r="CJ37" i="17"/>
  <c r="BY37" i="17"/>
  <c r="CB37" i="17"/>
  <c r="CI37" i="17"/>
  <c r="BX37" i="17"/>
  <c r="BW37" i="17"/>
  <c r="BR37" i="17"/>
  <c r="BS37" i="17"/>
  <c r="BT37" i="17"/>
  <c r="BU37" i="17"/>
  <c r="BP37" i="17"/>
  <c r="BQ37" i="17"/>
  <c r="BA37" i="17"/>
  <c r="AL37" i="17"/>
  <c r="AS37" i="17"/>
  <c r="AK37" i="17"/>
  <c r="BG37" i="17"/>
  <c r="BH37" i="17"/>
  <c r="AJ37" i="17"/>
  <c r="AY37" i="17"/>
  <c r="G37" i="17"/>
  <c r="F37" i="17"/>
  <c r="D37" i="17"/>
  <c r="C37" i="17"/>
  <c r="DB36" i="17"/>
  <c r="CQ36" i="17"/>
  <c r="BY36" i="17"/>
  <c r="BZ36" i="17"/>
  <c r="CT36" i="17"/>
  <c r="CL36" i="17"/>
  <c r="BX36" i="17"/>
  <c r="BW36" i="17"/>
  <c r="BR36" i="17"/>
  <c r="BS36" i="17"/>
  <c r="BU36" i="17"/>
  <c r="BP36" i="17"/>
  <c r="BQ36" i="17"/>
  <c r="BA36" i="17"/>
  <c r="AL36" i="17"/>
  <c r="AS36" i="17"/>
  <c r="AK36" i="17"/>
  <c r="BG36" i="17"/>
  <c r="BH36" i="17"/>
  <c r="AJ36" i="17"/>
  <c r="AG36" i="17"/>
  <c r="Q36" i="17"/>
  <c r="AD36" i="17"/>
  <c r="P36" i="17"/>
  <c r="AB36" i="17"/>
  <c r="O36" i="17"/>
  <c r="U36" i="17"/>
  <c r="G36" i="17"/>
  <c r="F36" i="17"/>
  <c r="D36" i="17"/>
  <c r="C36" i="17"/>
  <c r="DB35" i="17"/>
  <c r="CQ35" i="17"/>
  <c r="BY35" i="17"/>
  <c r="CA35" i="17"/>
  <c r="CW35" i="17"/>
  <c r="CB35" i="17"/>
  <c r="CI35" i="17"/>
  <c r="BX35" i="17"/>
  <c r="BW35" i="17"/>
  <c r="BR35" i="17"/>
  <c r="BS35" i="17"/>
  <c r="BT35" i="17"/>
  <c r="BU35" i="17"/>
  <c r="BP35" i="17"/>
  <c r="BQ35" i="17"/>
  <c r="BA35" i="17"/>
  <c r="AL35" i="17"/>
  <c r="AS35" i="17"/>
  <c r="AK35" i="17"/>
  <c r="BG35" i="17"/>
  <c r="BH35" i="17"/>
  <c r="AJ35" i="17"/>
  <c r="AQ35" i="17"/>
  <c r="AG35" i="17"/>
  <c r="AA35" i="17"/>
  <c r="Q35" i="17"/>
  <c r="AD35" i="17"/>
  <c r="P35" i="17"/>
  <c r="O35" i="17"/>
  <c r="W35" i="17"/>
  <c r="X35" i="17"/>
  <c r="G35" i="17"/>
  <c r="F35" i="17"/>
  <c r="D35" i="17"/>
  <c r="C35" i="17"/>
  <c r="DB34" i="17"/>
  <c r="CQ34" i="17"/>
  <c r="CJ34" i="17"/>
  <c r="BY34" i="17"/>
  <c r="BZ34" i="17"/>
  <c r="BX34" i="17"/>
  <c r="BW34" i="17"/>
  <c r="BR34" i="17"/>
  <c r="BS34" i="17"/>
  <c r="BU34" i="17"/>
  <c r="BT34" i="17"/>
  <c r="BP34" i="17"/>
  <c r="BQ34" i="17"/>
  <c r="BA34" i="17"/>
  <c r="AL34" i="17"/>
  <c r="AS34" i="17"/>
  <c r="AK34" i="17"/>
  <c r="BG34" i="17"/>
  <c r="BH34" i="17"/>
  <c r="AJ34" i="17"/>
  <c r="AO34" i="17"/>
  <c r="AG34" i="17"/>
  <c r="AA34" i="17"/>
  <c r="Q34" i="17"/>
  <c r="AD34" i="17"/>
  <c r="P34" i="17"/>
  <c r="AB34" i="17"/>
  <c r="O34" i="17"/>
  <c r="G34" i="17"/>
  <c r="F34" i="17"/>
  <c r="D34" i="17"/>
  <c r="C34" i="17"/>
  <c r="DB33" i="17"/>
  <c r="CQ33" i="17"/>
  <c r="BY33" i="17"/>
  <c r="CB33" i="17"/>
  <c r="CI33" i="17"/>
  <c r="BX33" i="17"/>
  <c r="BW33" i="17"/>
  <c r="BR33" i="17"/>
  <c r="BS33" i="17"/>
  <c r="BP33" i="17"/>
  <c r="BQ33" i="17"/>
  <c r="BA33" i="17"/>
  <c r="AL33" i="17"/>
  <c r="AS33" i="17"/>
  <c r="AK33" i="17"/>
  <c r="BG33" i="17"/>
  <c r="BH33" i="17"/>
  <c r="AJ33" i="17"/>
  <c r="BD33" i="17"/>
  <c r="AV33" i="17"/>
  <c r="AG33" i="17"/>
  <c r="Q33" i="17"/>
  <c r="AD33" i="17"/>
  <c r="P33" i="17"/>
  <c r="AB33" i="17"/>
  <c r="O33" i="17"/>
  <c r="U33" i="17"/>
  <c r="G33" i="17"/>
  <c r="F33" i="17"/>
  <c r="D33" i="17"/>
  <c r="C33" i="17"/>
  <c r="DB32" i="17"/>
  <c r="CQ32" i="17"/>
  <c r="CB32" i="17"/>
  <c r="CI32" i="17"/>
  <c r="CA32" i="17"/>
  <c r="BZ32" i="17"/>
  <c r="CE32" i="17"/>
  <c r="BX32" i="17"/>
  <c r="BW32" i="17"/>
  <c r="BR32" i="17"/>
  <c r="BS32" i="17"/>
  <c r="BU32" i="17"/>
  <c r="BT32" i="17"/>
  <c r="BP32" i="17"/>
  <c r="BQ32" i="17"/>
  <c r="BF32" i="17"/>
  <c r="AK32" i="17"/>
  <c r="BG32" i="17"/>
  <c r="BH32" i="17"/>
  <c r="BA32" i="17"/>
  <c r="AL32" i="17"/>
  <c r="AS32" i="17"/>
  <c r="AJ32" i="17"/>
  <c r="BD32" i="17"/>
  <c r="AV32" i="17"/>
  <c r="AC32" i="17"/>
  <c r="AA32" i="17"/>
  <c r="O32" i="17"/>
  <c r="S32" i="17"/>
  <c r="Q32" i="17"/>
  <c r="AD32" i="17"/>
  <c r="P32" i="17"/>
  <c r="U32" i="17"/>
  <c r="F32" i="17"/>
  <c r="D32" i="17"/>
  <c r="C32" i="17"/>
  <c r="DB31" i="17"/>
  <c r="BZ31" i="17"/>
  <c r="CT31" i="17"/>
  <c r="CL31" i="17"/>
  <c r="CQ31" i="17"/>
  <c r="CB31" i="17"/>
  <c r="CI31" i="17"/>
  <c r="CA31" i="17"/>
  <c r="CK31" i="17"/>
  <c r="CE31" i="17"/>
  <c r="BX31" i="17"/>
  <c r="BW31" i="17"/>
  <c r="BR31" i="17"/>
  <c r="BS31" i="17"/>
  <c r="BP31" i="17"/>
  <c r="BQ31" i="17"/>
  <c r="BF31" i="17"/>
  <c r="BF149" i="17"/>
  <c r="BA31" i="17"/>
  <c r="AL31" i="17"/>
  <c r="AS31" i="17"/>
  <c r="AK31" i="17"/>
  <c r="BG31" i="17"/>
  <c r="BH31" i="17"/>
  <c r="AJ31" i="17"/>
  <c r="BD31" i="17"/>
  <c r="AV31" i="17"/>
  <c r="AC31" i="17"/>
  <c r="AA31" i="17"/>
  <c r="P31" i="17"/>
  <c r="AB31" i="17"/>
  <c r="Q31" i="17"/>
  <c r="AD31" i="17"/>
  <c r="O31" i="17"/>
  <c r="U31" i="17"/>
  <c r="F31" i="17"/>
  <c r="D31" i="17"/>
  <c r="C31" i="17"/>
  <c r="DB30" i="17"/>
  <c r="CQ30" i="17"/>
  <c r="BY30" i="17"/>
  <c r="CB30" i="17"/>
  <c r="CI30" i="17"/>
  <c r="CA30" i="17"/>
  <c r="BX30" i="17"/>
  <c r="BW30" i="17"/>
  <c r="BR30" i="17"/>
  <c r="BS30" i="17"/>
  <c r="BP30" i="17"/>
  <c r="BQ30" i="17"/>
  <c r="BA30" i="17"/>
  <c r="AJ30" i="17"/>
  <c r="AQ30" i="17"/>
  <c r="AL30" i="17"/>
  <c r="AS30" i="17"/>
  <c r="AK30" i="17"/>
  <c r="BG30" i="17"/>
  <c r="AY30" i="17"/>
  <c r="Z30" i="17"/>
  <c r="W30" i="17"/>
  <c r="X30" i="17"/>
  <c r="U30" i="17"/>
  <c r="S30" i="17"/>
  <c r="G30" i="17"/>
  <c r="F30" i="17"/>
  <c r="D30" i="17"/>
  <c r="C30" i="17"/>
  <c r="DB29" i="17"/>
  <c r="CQ29" i="17"/>
  <c r="BY29" i="17"/>
  <c r="BZ29" i="17"/>
  <c r="CE29" i="17"/>
  <c r="BX29" i="17"/>
  <c r="BW29" i="17"/>
  <c r="BR29" i="17"/>
  <c r="BS29" i="17"/>
  <c r="BU29" i="17"/>
  <c r="BP29" i="17"/>
  <c r="BQ29" i="17"/>
  <c r="BA29" i="17"/>
  <c r="AL29" i="17"/>
  <c r="AS29" i="17"/>
  <c r="AK29" i="17"/>
  <c r="BG29" i="17"/>
  <c r="BH29" i="17"/>
  <c r="AJ29" i="17"/>
  <c r="AQ29" i="17"/>
  <c r="AC29" i="17"/>
  <c r="AA29" i="17"/>
  <c r="O29" i="17"/>
  <c r="S29" i="17"/>
  <c r="Q29" i="17"/>
  <c r="P29" i="17"/>
  <c r="Z29" i="17"/>
  <c r="G29" i="17"/>
  <c r="F29" i="17"/>
  <c r="D29" i="17"/>
  <c r="C29" i="17"/>
  <c r="DB28" i="17"/>
  <c r="CQ28" i="17"/>
  <c r="BY28" i="17"/>
  <c r="CA28" i="17"/>
  <c r="CK28" i="17"/>
  <c r="BX28" i="17"/>
  <c r="BW28" i="17"/>
  <c r="BR28" i="17"/>
  <c r="BS28" i="17"/>
  <c r="BU28" i="17"/>
  <c r="BP28" i="17"/>
  <c r="BQ28" i="17"/>
  <c r="BA28" i="17"/>
  <c r="AL28" i="17"/>
  <c r="AS28" i="17"/>
  <c r="AK28" i="17"/>
  <c r="BG28" i="17"/>
  <c r="BH28" i="17"/>
  <c r="AJ28" i="17"/>
  <c r="BD28" i="17"/>
  <c r="AC28" i="17"/>
  <c r="AA28" i="17"/>
  <c r="O28" i="17"/>
  <c r="Z28" i="17"/>
  <c r="Q28" i="17"/>
  <c r="P28" i="17"/>
  <c r="AB28" i="17"/>
  <c r="W28" i="17"/>
  <c r="X28" i="17"/>
  <c r="G28" i="17"/>
  <c r="F28" i="17"/>
  <c r="D28" i="17"/>
  <c r="C28" i="17"/>
  <c r="DB27" i="17"/>
  <c r="CQ27" i="17"/>
  <c r="CJ27" i="17"/>
  <c r="CH27" i="17"/>
  <c r="BY27" i="17"/>
  <c r="BZ27" i="17"/>
  <c r="CG27" i="17"/>
  <c r="BX27" i="17"/>
  <c r="BW27" i="17"/>
  <c r="BR27" i="17"/>
  <c r="BS27" i="17"/>
  <c r="BU27" i="17"/>
  <c r="BP27" i="17"/>
  <c r="BQ27" i="17"/>
  <c r="AJ27" i="17"/>
  <c r="BD27" i="17"/>
  <c r="BE27" i="17"/>
  <c r="BA27" i="17"/>
  <c r="AO27" i="17"/>
  <c r="AL27" i="17"/>
  <c r="AS27" i="17"/>
  <c r="AK27" i="17"/>
  <c r="BG27" i="17"/>
  <c r="BH27" i="17"/>
  <c r="AY27" i="17"/>
  <c r="AG27" i="17"/>
  <c r="AA27" i="17"/>
  <c r="Q27" i="17"/>
  <c r="AD27" i="17"/>
  <c r="P27" i="17"/>
  <c r="O27" i="17"/>
  <c r="U27" i="17"/>
  <c r="G27" i="17"/>
  <c r="F27" i="17"/>
  <c r="D27" i="17"/>
  <c r="C27" i="17"/>
  <c r="DB26" i="17"/>
  <c r="CQ26" i="17"/>
  <c r="CJ26" i="17"/>
  <c r="CH26" i="17"/>
  <c r="BY26" i="17"/>
  <c r="BZ26" i="17"/>
  <c r="CG26" i="17"/>
  <c r="BX26" i="17"/>
  <c r="BW26" i="17"/>
  <c r="BR26" i="17"/>
  <c r="BS26" i="17"/>
  <c r="BU26" i="17"/>
  <c r="BP26" i="17"/>
  <c r="BQ26" i="17"/>
  <c r="BA26" i="17"/>
  <c r="AJ26" i="17"/>
  <c r="AO26" i="17"/>
  <c r="AL26" i="17"/>
  <c r="AS26" i="17"/>
  <c r="AK26" i="17"/>
  <c r="BG26" i="17"/>
  <c r="BH26" i="17"/>
  <c r="AY26" i="17"/>
  <c r="AG26" i="17"/>
  <c r="AA26" i="17"/>
  <c r="O26" i="17"/>
  <c r="S26" i="17"/>
  <c r="Q26" i="17"/>
  <c r="AD26" i="17"/>
  <c r="P26" i="17"/>
  <c r="AB26" i="17"/>
  <c r="U26" i="17"/>
  <c r="G26" i="17"/>
  <c r="F26" i="17"/>
  <c r="D26" i="17"/>
  <c r="C26" i="17"/>
  <c r="DB25" i="17"/>
  <c r="CQ25" i="17"/>
  <c r="CJ25" i="17"/>
  <c r="CH25" i="17"/>
  <c r="BY25" i="17"/>
  <c r="BZ25" i="17"/>
  <c r="CE25" i="17"/>
  <c r="CG25" i="17"/>
  <c r="BX25" i="17"/>
  <c r="BW25" i="17"/>
  <c r="BR25" i="17"/>
  <c r="BS25" i="17"/>
  <c r="BU25" i="17"/>
  <c r="BP25" i="17"/>
  <c r="BQ25" i="17"/>
  <c r="BG25" i="17"/>
  <c r="BH25" i="17"/>
  <c r="BA25" i="17"/>
  <c r="AU25" i="17"/>
  <c r="AL25" i="17"/>
  <c r="AS25" i="17"/>
  <c r="AJ25" i="17"/>
  <c r="AG25" i="17"/>
  <c r="AA25" i="17"/>
  <c r="Q25" i="17"/>
  <c r="AD25" i="17"/>
  <c r="P25" i="17"/>
  <c r="O25" i="17"/>
  <c r="W25" i="17"/>
  <c r="X25" i="17"/>
  <c r="G25" i="17"/>
  <c r="F25" i="17"/>
  <c r="D25" i="17"/>
  <c r="C25" i="17"/>
  <c r="DB24" i="17"/>
  <c r="CQ24" i="17"/>
  <c r="BY24" i="17"/>
  <c r="CA24" i="17"/>
  <c r="CW24" i="17"/>
  <c r="BX24" i="17"/>
  <c r="BW24" i="17"/>
  <c r="BR24" i="17"/>
  <c r="BS24" i="17"/>
  <c r="BU24" i="17"/>
  <c r="BT24" i="17"/>
  <c r="BP24" i="17"/>
  <c r="BQ24" i="17"/>
  <c r="BA24" i="17"/>
  <c r="AL24" i="17"/>
  <c r="AS24" i="17"/>
  <c r="AK24" i="17"/>
  <c r="BG24" i="17"/>
  <c r="BH24" i="17"/>
  <c r="AJ24" i="17"/>
  <c r="AY24" i="17"/>
  <c r="AG24" i="17"/>
  <c r="Q24" i="17"/>
  <c r="P24" i="17"/>
  <c r="O24" i="17"/>
  <c r="U24" i="17"/>
  <c r="AE24" i="17"/>
  <c r="G24" i="17"/>
  <c r="F24" i="17"/>
  <c r="D24" i="17"/>
  <c r="C24" i="17"/>
  <c r="DB23" i="17"/>
  <c r="CQ23" i="17"/>
  <c r="BY23" i="17"/>
  <c r="BZ23" i="17"/>
  <c r="CE23" i="17"/>
  <c r="BX23" i="17"/>
  <c r="BW23" i="17"/>
  <c r="BR23" i="17"/>
  <c r="BS23" i="17"/>
  <c r="BP23" i="17"/>
  <c r="BQ23" i="17"/>
  <c r="BA23" i="17"/>
  <c r="AL23" i="17"/>
  <c r="AS23" i="17"/>
  <c r="AK23" i="17"/>
  <c r="BG23" i="17"/>
  <c r="BH23" i="17"/>
  <c r="AJ23" i="17"/>
  <c r="BD23" i="17"/>
  <c r="AG23" i="17"/>
  <c r="Q23" i="17"/>
  <c r="AD23" i="17"/>
  <c r="P23" i="17"/>
  <c r="AB23" i="17"/>
  <c r="O23" i="17"/>
  <c r="G23" i="17"/>
  <c r="F23" i="17"/>
  <c r="D23" i="17"/>
  <c r="C23" i="17"/>
  <c r="DB22" i="17"/>
  <c r="CQ22" i="17"/>
  <c r="BY22" i="17"/>
  <c r="CB22" i="17"/>
  <c r="CI22" i="17"/>
  <c r="CA22" i="17"/>
  <c r="CW22" i="17"/>
  <c r="BX22" i="17"/>
  <c r="BW22" i="17"/>
  <c r="BR22" i="17"/>
  <c r="BS22" i="17"/>
  <c r="BP22" i="17"/>
  <c r="BQ22" i="17"/>
  <c r="BA22" i="17"/>
  <c r="AL22" i="17"/>
  <c r="AS22" i="17"/>
  <c r="AK22" i="17"/>
  <c r="BG22" i="17"/>
  <c r="BH22" i="17"/>
  <c r="AJ22" i="17"/>
  <c r="BD22" i="17"/>
  <c r="G22" i="17"/>
  <c r="F22" i="17"/>
  <c r="D22" i="17"/>
  <c r="C22" i="17"/>
  <c r="DB21" i="17"/>
  <c r="CQ21" i="17"/>
  <c r="BY21" i="17"/>
  <c r="CB21" i="17"/>
  <c r="CI21" i="17"/>
  <c r="BX21" i="17"/>
  <c r="BW21" i="17"/>
  <c r="BR21" i="17"/>
  <c r="BS21" i="17"/>
  <c r="BP21" i="17"/>
  <c r="BQ21" i="17"/>
  <c r="BA21" i="17"/>
  <c r="AL21" i="17"/>
  <c r="AS21" i="17"/>
  <c r="AK21" i="17"/>
  <c r="BG21" i="17"/>
  <c r="BH21" i="17"/>
  <c r="AJ21" i="17"/>
  <c r="BD21" i="17"/>
  <c r="AG21" i="17"/>
  <c r="Q21" i="17"/>
  <c r="AD21" i="17"/>
  <c r="P21" i="17"/>
  <c r="AB21" i="17"/>
  <c r="O21" i="17"/>
  <c r="W21" i="17"/>
  <c r="X21" i="17"/>
  <c r="G21" i="17"/>
  <c r="F21" i="17"/>
  <c r="D21" i="17"/>
  <c r="C21" i="17"/>
  <c r="DB20" i="17"/>
  <c r="CQ20" i="17"/>
  <c r="BY20" i="17"/>
  <c r="BX20" i="17"/>
  <c r="BW20" i="17"/>
  <c r="BR20" i="17"/>
  <c r="BS20" i="17"/>
  <c r="BU20" i="17"/>
  <c r="BT20" i="17"/>
  <c r="BP20" i="17"/>
  <c r="BQ20" i="17"/>
  <c r="BG20" i="17"/>
  <c r="BH20" i="17"/>
  <c r="BA20" i="17"/>
  <c r="AL20" i="17"/>
  <c r="AJ20" i="17"/>
  <c r="BD20" i="17"/>
  <c r="AG20" i="17"/>
  <c r="Q20" i="17"/>
  <c r="P20" i="17"/>
  <c r="AB20" i="17"/>
  <c r="O20" i="17"/>
  <c r="W20" i="17"/>
  <c r="X20" i="17"/>
  <c r="G20" i="17"/>
  <c r="F20" i="17"/>
  <c r="D20" i="17"/>
  <c r="C20" i="17"/>
  <c r="DB19" i="17"/>
  <c r="CQ19" i="17"/>
  <c r="BY19" i="17"/>
  <c r="CA19" i="17"/>
  <c r="CW19" i="17"/>
  <c r="BX19" i="17"/>
  <c r="BW19" i="17"/>
  <c r="BR19" i="17"/>
  <c r="BS19" i="17"/>
  <c r="BT19" i="17"/>
  <c r="BU19" i="17"/>
  <c r="BP19" i="17"/>
  <c r="BQ19" i="17"/>
  <c r="BA19" i="17"/>
  <c r="AL19" i="17"/>
  <c r="AS19" i="17"/>
  <c r="AK19" i="17"/>
  <c r="BG19" i="17"/>
  <c r="BH19" i="17"/>
  <c r="AJ19" i="17"/>
  <c r="BD19" i="17"/>
  <c r="AG19" i="17"/>
  <c r="O19" i="17"/>
  <c r="S19" i="17"/>
  <c r="Q19" i="17"/>
  <c r="P19" i="17"/>
  <c r="AB19" i="17"/>
  <c r="W19" i="17"/>
  <c r="X19" i="17"/>
  <c r="G19" i="17"/>
  <c r="F19" i="17"/>
  <c r="D19" i="17"/>
  <c r="C19" i="17"/>
  <c r="DB18" i="17"/>
  <c r="CQ18" i="17"/>
  <c r="BY18" i="17"/>
  <c r="CB18" i="17"/>
  <c r="CI18" i="17"/>
  <c r="CA18" i="17"/>
  <c r="CW18" i="17"/>
  <c r="BX18" i="17"/>
  <c r="BW18" i="17"/>
  <c r="BR18" i="17"/>
  <c r="BS18" i="17"/>
  <c r="BT18" i="17"/>
  <c r="BU18" i="17"/>
  <c r="BP18" i="17"/>
  <c r="BQ18" i="17"/>
  <c r="BA18" i="17"/>
  <c r="AL18" i="17"/>
  <c r="AS18" i="17"/>
  <c r="AK18" i="17"/>
  <c r="BG18" i="17"/>
  <c r="BH18" i="17"/>
  <c r="AJ18" i="17"/>
  <c r="BD18" i="17"/>
  <c r="AG18" i="17"/>
  <c r="Q18" i="17"/>
  <c r="P18" i="17"/>
  <c r="AB18" i="17"/>
  <c r="O18" i="17"/>
  <c r="W18" i="17"/>
  <c r="X18" i="17"/>
  <c r="G18" i="17"/>
  <c r="F18" i="17"/>
  <c r="D18" i="17"/>
  <c r="C18" i="17"/>
  <c r="DB17" i="17"/>
  <c r="CQ17" i="17"/>
  <c r="BY17" i="17"/>
  <c r="CA17" i="17"/>
  <c r="CW17" i="17"/>
  <c r="BX17" i="17"/>
  <c r="BW17" i="17"/>
  <c r="BR17" i="17"/>
  <c r="BS17" i="17"/>
  <c r="BT17" i="17"/>
  <c r="BU17" i="17"/>
  <c r="BP17" i="17"/>
  <c r="BQ17" i="17"/>
  <c r="BA17" i="17"/>
  <c r="AL17" i="17"/>
  <c r="AS17" i="17"/>
  <c r="AK17" i="17"/>
  <c r="BG17" i="17"/>
  <c r="BH17" i="17"/>
  <c r="AJ17" i="17"/>
  <c r="AY17" i="17"/>
  <c r="AG17" i="17"/>
  <c r="O17" i="17"/>
  <c r="S17" i="17"/>
  <c r="Q17" i="17"/>
  <c r="P17" i="17"/>
  <c r="AB17" i="17"/>
  <c r="W17" i="17"/>
  <c r="X17" i="17"/>
  <c r="G17" i="17"/>
  <c r="F17" i="17"/>
  <c r="D17" i="17"/>
  <c r="C17" i="17"/>
  <c r="DB16" i="17"/>
  <c r="CQ16" i="17"/>
  <c r="BY16" i="17"/>
  <c r="CB16" i="17"/>
  <c r="CI16" i="17"/>
  <c r="CA16" i="17"/>
  <c r="CW16" i="17"/>
  <c r="BX16" i="17"/>
  <c r="BW16" i="17"/>
  <c r="BR16" i="17"/>
  <c r="BS16" i="17"/>
  <c r="BT16" i="17"/>
  <c r="BU16" i="17"/>
  <c r="BP16" i="17"/>
  <c r="BQ16" i="17"/>
  <c r="BA16" i="17"/>
  <c r="AL16" i="17"/>
  <c r="AS16" i="17"/>
  <c r="AK16" i="17"/>
  <c r="BG16" i="17"/>
  <c r="BH16" i="17"/>
  <c r="AJ16" i="17"/>
  <c r="AO16" i="17"/>
  <c r="AG16" i="17"/>
  <c r="Q16" i="17"/>
  <c r="P16" i="17"/>
  <c r="AB16" i="17"/>
  <c r="O16" i="17"/>
  <c r="W16" i="17"/>
  <c r="X16" i="17"/>
  <c r="G16" i="17"/>
  <c r="F16" i="17"/>
  <c r="D16" i="17"/>
  <c r="C16" i="17"/>
  <c r="DB15" i="17"/>
  <c r="CQ15" i="17"/>
  <c r="BY15" i="17"/>
  <c r="CA15" i="17"/>
  <c r="CW15" i="17"/>
  <c r="BX15" i="17"/>
  <c r="BW15" i="17"/>
  <c r="BR15" i="17"/>
  <c r="BS15" i="17"/>
  <c r="BT15" i="17"/>
  <c r="BU15" i="17"/>
  <c r="BP15" i="17"/>
  <c r="BQ15" i="17"/>
  <c r="BA15" i="17"/>
  <c r="AL15" i="17"/>
  <c r="AS15" i="17"/>
  <c r="AK15" i="17"/>
  <c r="BG15" i="17"/>
  <c r="BH15" i="17"/>
  <c r="AJ15" i="17"/>
  <c r="BD15" i="17"/>
  <c r="G15" i="17"/>
  <c r="F15" i="17"/>
  <c r="D15" i="17"/>
  <c r="C15" i="17"/>
  <c r="DB14" i="17"/>
  <c r="CQ14" i="17"/>
  <c r="BY14" i="17"/>
  <c r="BZ14" i="17"/>
  <c r="BX14" i="17"/>
  <c r="BW14" i="17"/>
  <c r="BR14" i="17"/>
  <c r="BS14" i="17"/>
  <c r="BP14" i="17"/>
  <c r="BQ14" i="17"/>
  <c r="AK14" i="17"/>
  <c r="BG14" i="17"/>
  <c r="BH14" i="17"/>
  <c r="BA14" i="17"/>
  <c r="AL14" i="17"/>
  <c r="AS14" i="17"/>
  <c r="AJ14" i="17"/>
  <c r="AQ14" i="17"/>
  <c r="AG14" i="17"/>
  <c r="Q14" i="17"/>
  <c r="AD14" i="17"/>
  <c r="P14" i="17"/>
  <c r="O14" i="17"/>
  <c r="U14" i="17"/>
  <c r="G14" i="17"/>
  <c r="F14" i="17"/>
  <c r="D14" i="17"/>
  <c r="C14" i="17"/>
  <c r="DB13" i="17"/>
  <c r="CQ13" i="17"/>
  <c r="BY13" i="17"/>
  <c r="BZ13" i="17"/>
  <c r="CO13" i="17"/>
  <c r="BX13" i="17"/>
  <c r="BW13" i="17"/>
  <c r="BR13" i="17"/>
  <c r="BS13" i="17"/>
  <c r="BP13" i="17"/>
  <c r="BQ13" i="17"/>
  <c r="BA13" i="17"/>
  <c r="AL13" i="17"/>
  <c r="AS13" i="17"/>
  <c r="AK13" i="17"/>
  <c r="BG13" i="17"/>
  <c r="BH13" i="17"/>
  <c r="AJ13" i="17"/>
  <c r="AQ13" i="17"/>
  <c r="AG13" i="17"/>
  <c r="Q13" i="17"/>
  <c r="AD13" i="17"/>
  <c r="P13" i="17"/>
  <c r="O13" i="17"/>
  <c r="U13" i="17"/>
  <c r="G13" i="17"/>
  <c r="F13" i="17"/>
  <c r="D13" i="17"/>
  <c r="C13" i="17"/>
  <c r="DB12" i="17"/>
  <c r="CQ12" i="17"/>
  <c r="BY12" i="17"/>
  <c r="BZ12" i="17"/>
  <c r="BX12" i="17"/>
  <c r="BW12" i="17"/>
  <c r="BR12" i="17"/>
  <c r="BS12" i="17"/>
  <c r="BP12" i="17"/>
  <c r="BQ12" i="17"/>
  <c r="AK12" i="17"/>
  <c r="BG12" i="17"/>
  <c r="BH12" i="17"/>
  <c r="BA12" i="17"/>
  <c r="AL12" i="17"/>
  <c r="AS12" i="17"/>
  <c r="AJ12" i="17"/>
  <c r="AQ12" i="17"/>
  <c r="G12" i="17"/>
  <c r="F12" i="17"/>
  <c r="D12" i="17"/>
  <c r="C12" i="17"/>
  <c r="DB11" i="17"/>
  <c r="CQ11" i="17"/>
  <c r="BY11" i="17"/>
  <c r="BZ11" i="17"/>
  <c r="BX11" i="17"/>
  <c r="BW11" i="17"/>
  <c r="BR11" i="17"/>
  <c r="BS11" i="17"/>
  <c r="BP11" i="17"/>
  <c r="BQ11" i="17"/>
  <c r="BA11" i="17"/>
  <c r="AL11" i="17"/>
  <c r="AS11" i="17"/>
  <c r="AK11" i="17"/>
  <c r="BG11" i="17"/>
  <c r="BH11" i="17"/>
  <c r="AJ11" i="17"/>
  <c r="BD11" i="17"/>
  <c r="AV11" i="17"/>
  <c r="AG11" i="17"/>
  <c r="Q11" i="17"/>
  <c r="AD11" i="17"/>
  <c r="P11" i="17"/>
  <c r="AB11" i="17"/>
  <c r="O11" i="17"/>
  <c r="G11" i="17"/>
  <c r="F11" i="17"/>
  <c r="D11" i="17"/>
  <c r="C11" i="17"/>
  <c r="DB10" i="17"/>
  <c r="CQ10" i="17"/>
  <c r="BY10" i="17"/>
  <c r="CB10" i="17"/>
  <c r="CI10" i="17"/>
  <c r="BX10" i="17"/>
  <c r="BW10" i="17"/>
  <c r="BR10" i="17"/>
  <c r="BS10" i="17"/>
  <c r="BP10" i="17"/>
  <c r="BQ10" i="17"/>
  <c r="BQ149" i="17"/>
  <c r="BA10" i="17"/>
  <c r="AL10" i="17"/>
  <c r="AS10" i="17"/>
  <c r="AK10" i="17"/>
  <c r="BG10" i="17"/>
  <c r="AJ10" i="17"/>
  <c r="AO10" i="17"/>
  <c r="AG10" i="17"/>
  <c r="Q10" i="17"/>
  <c r="AD10" i="17"/>
  <c r="P10" i="17"/>
  <c r="AB10" i="17"/>
  <c r="O10" i="17"/>
  <c r="U10" i="17"/>
  <c r="G10" i="17"/>
  <c r="F10" i="17"/>
  <c r="D10" i="17"/>
  <c r="C10" i="17"/>
  <c r="J6" i="17"/>
  <c r="J5" i="17"/>
  <c r="AY18" i="17"/>
  <c r="CO29" i="17"/>
  <c r="CA36" i="17"/>
  <c r="CW36" i="17"/>
  <c r="AB49" i="17"/>
  <c r="AB50" i="17"/>
  <c r="CB50" i="17"/>
  <c r="CI50" i="17"/>
  <c r="Z56" i="17"/>
  <c r="BD57" i="17"/>
  <c r="BE57" i="17"/>
  <c r="AB63" i="17"/>
  <c r="AB64" i="17"/>
  <c r="AY70" i="17"/>
  <c r="CB75" i="17"/>
  <c r="CI75" i="17"/>
  <c r="Z76" i="17"/>
  <c r="BZ112" i="17"/>
  <c r="CO112" i="17"/>
  <c r="AO116" i="17"/>
  <c r="BZ119" i="17"/>
  <c r="CG119" i="17"/>
  <c r="Z124" i="17"/>
  <c r="DA132" i="17"/>
  <c r="CR134" i="17"/>
  <c r="AY11" i="17"/>
  <c r="CA11" i="17"/>
  <c r="CW11" i="17"/>
  <c r="CX11" i="17"/>
  <c r="AO22" i="17"/>
  <c r="BZ22" i="17"/>
  <c r="CE22" i="17"/>
  <c r="AO24" i="17"/>
  <c r="AB25" i="17"/>
  <c r="S27" i="17"/>
  <c r="AD29" i="17"/>
  <c r="BZ30" i="17"/>
  <c r="CE30" i="17"/>
  <c r="Z32" i="17"/>
  <c r="CB36" i="17"/>
  <c r="CI36" i="17"/>
  <c r="AY38" i="17"/>
  <c r="BD48" i="17"/>
  <c r="BE48" i="17"/>
  <c r="AO53" i="17"/>
  <c r="CB55" i="17"/>
  <c r="CI55" i="17"/>
  <c r="AO57" i="17"/>
  <c r="AO58" i="17"/>
  <c r="S60" i="17"/>
  <c r="AD63" i="17"/>
  <c r="AO68" i="17"/>
  <c r="CA69" i="17"/>
  <c r="CW69" i="17"/>
  <c r="S72" i="17"/>
  <c r="BD72" i="17"/>
  <c r="BE72" i="17"/>
  <c r="CB76" i="17"/>
  <c r="CI76" i="17"/>
  <c r="AB79" i="17"/>
  <c r="S85" i="17"/>
  <c r="CA87" i="17"/>
  <c r="CA89" i="17"/>
  <c r="CA91" i="17"/>
  <c r="BZ94" i="17"/>
  <c r="CO94" i="17"/>
  <c r="AY103" i="17"/>
  <c r="BZ105" i="17"/>
  <c r="CO105" i="17"/>
  <c r="BI110" i="17"/>
  <c r="BZ113" i="17"/>
  <c r="CG113" i="17"/>
  <c r="CB116" i="17"/>
  <c r="CI116" i="17"/>
  <c r="CB119" i="17"/>
  <c r="CI119" i="17"/>
  <c r="AY120" i="17"/>
  <c r="CA123" i="17"/>
  <c r="Z131" i="17"/>
  <c r="AO139" i="17"/>
  <c r="AY142" i="17"/>
  <c r="AY146" i="17"/>
  <c r="Z27" i="17"/>
  <c r="CW50" i="17"/>
  <c r="CX50" i="17"/>
  <c r="AY68" i="17"/>
  <c r="Z85" i="17"/>
  <c r="CB126" i="17"/>
  <c r="CI126" i="17"/>
  <c r="S128" i="17"/>
  <c r="AO11" i="17"/>
  <c r="BE11" i="17"/>
  <c r="CB12" i="17"/>
  <c r="CI12" i="17"/>
  <c r="AO18" i="17"/>
  <c r="CA23" i="17"/>
  <c r="CW23" i="17"/>
  <c r="BD24" i="17"/>
  <c r="BE24" i="17"/>
  <c r="AD28" i="17"/>
  <c r="CB29" i="17"/>
  <c r="CI29" i="17"/>
  <c r="BE33" i="17"/>
  <c r="S35" i="17"/>
  <c r="BZ39" i="17"/>
  <c r="CA40" i="17"/>
  <c r="CW40" i="17"/>
  <c r="AY48" i="17"/>
  <c r="CA49" i="17"/>
  <c r="BZ50" i="17"/>
  <c r="CT50" i="17"/>
  <c r="BG67" i="17"/>
  <c r="BH67" i="17"/>
  <c r="CA75" i="17"/>
  <c r="Z78" i="17"/>
  <c r="CB80" i="17"/>
  <c r="CI80" i="17"/>
  <c r="CA82" i="17"/>
  <c r="CW82" i="17"/>
  <c r="Z86" i="17"/>
  <c r="CA106" i="17"/>
  <c r="CA121" i="17"/>
  <c r="Z123" i="17"/>
  <c r="AO126" i="17"/>
  <c r="BD139" i="17"/>
  <c r="BE139" i="17"/>
  <c r="CT11" i="17"/>
  <c r="CG11" i="17"/>
  <c r="BE15" i="17"/>
  <c r="AV15" i="17"/>
  <c r="BE21" i="17"/>
  <c r="AV21" i="17"/>
  <c r="BE18" i="17"/>
  <c r="AV18" i="17"/>
  <c r="BE20" i="17"/>
  <c r="BI20" i="17"/>
  <c r="AV20" i="17"/>
  <c r="CK30" i="17"/>
  <c r="CW30" i="17"/>
  <c r="CX30" i="17"/>
  <c r="BE44" i="17"/>
  <c r="AV44" i="17"/>
  <c r="BE41" i="17"/>
  <c r="AV41" i="17"/>
  <c r="BE43" i="17"/>
  <c r="BI43" i="17"/>
  <c r="AV43" i="17"/>
  <c r="BE19" i="17"/>
  <c r="AV19" i="17"/>
  <c r="BI24" i="17"/>
  <c r="BE28" i="17"/>
  <c r="BI28" i="17"/>
  <c r="AV28" i="17"/>
  <c r="BI11" i="17"/>
  <c r="W13" i="17"/>
  <c r="X13" i="17"/>
  <c r="AY10" i="17"/>
  <c r="BZ10" i="17"/>
  <c r="CT10" i="17"/>
  <c r="CB11" i="17"/>
  <c r="CI11" i="17"/>
  <c r="Z13" i="17"/>
  <c r="CA13" i="17"/>
  <c r="S14" i="17"/>
  <c r="S16" i="17"/>
  <c r="BD16" i="17"/>
  <c r="AO17" i="17"/>
  <c r="CB17" i="17"/>
  <c r="CI17" i="17"/>
  <c r="Z19" i="17"/>
  <c r="S20" i="17"/>
  <c r="AY21" i="17"/>
  <c r="AO23" i="17"/>
  <c r="CB23" i="17"/>
  <c r="CI23" i="17"/>
  <c r="AV24" i="17"/>
  <c r="W26" i="17"/>
  <c r="X26" i="17"/>
  <c r="CE26" i="17"/>
  <c r="CW28" i="17"/>
  <c r="CG30" i="17"/>
  <c r="S31" i="17"/>
  <c r="AY32" i="17"/>
  <c r="AY34" i="17"/>
  <c r="Z35" i="17"/>
  <c r="BZ35" i="17"/>
  <c r="CK35" i="17"/>
  <c r="W36" i="17"/>
  <c r="X36" i="17"/>
  <c r="CO36" i="17"/>
  <c r="CA38" i="17"/>
  <c r="CA39" i="17"/>
  <c r="CT39" i="17"/>
  <c r="CL39" i="17"/>
  <c r="BZ40" i="17"/>
  <c r="Z42" i="17"/>
  <c r="W43" i="17"/>
  <c r="X43" i="17"/>
  <c r="W44" i="17"/>
  <c r="X44" i="17"/>
  <c r="BZ47" i="17"/>
  <c r="CG47" i="17"/>
  <c r="W48" i="17"/>
  <c r="X48" i="17"/>
  <c r="AV48" i="17"/>
  <c r="BZ48" i="17"/>
  <c r="BE50" i="17"/>
  <c r="BI50" i="17"/>
  <c r="AY52" i="17"/>
  <c r="BZ53" i="17"/>
  <c r="CO53" i="17"/>
  <c r="CB53" i="17"/>
  <c r="CI53" i="17"/>
  <c r="BE70" i="17"/>
  <c r="AV70" i="17"/>
  <c r="CA10" i="17"/>
  <c r="CW10" i="17"/>
  <c r="W14" i="17"/>
  <c r="X14" i="17"/>
  <c r="AY15" i="17"/>
  <c r="Z16" i="17"/>
  <c r="BD17" i="17"/>
  <c r="AY19" i="17"/>
  <c r="Z20" i="17"/>
  <c r="AY20" i="17"/>
  <c r="AY22" i="17"/>
  <c r="Z26" i="17"/>
  <c r="AF26" i="17"/>
  <c r="BD26" i="17"/>
  <c r="BE26" i="17"/>
  <c r="W27" i="17"/>
  <c r="X27" i="17"/>
  <c r="CE27" i="17"/>
  <c r="S28" i="17"/>
  <c r="AY28" i="17"/>
  <c r="CB28" i="17"/>
  <c r="CI28" i="17"/>
  <c r="W31" i="17"/>
  <c r="X31" i="17"/>
  <c r="BI33" i="17"/>
  <c r="BZ37" i="17"/>
  <c r="BI44" i="17"/>
  <c r="BD47" i="17"/>
  <c r="AV47" i="17"/>
  <c r="AY47" i="17"/>
  <c r="CB47" i="17"/>
  <c r="CI47" i="17"/>
  <c r="Z48" i="17"/>
  <c r="CB48" i="17"/>
  <c r="CI48" i="17"/>
  <c r="W57" i="17"/>
  <c r="X57" i="17"/>
  <c r="S57" i="17"/>
  <c r="CB13" i="17"/>
  <c r="CI13" i="17"/>
  <c r="CA12" i="17"/>
  <c r="S13" i="17"/>
  <c r="Z14" i="17"/>
  <c r="CA14" i="17"/>
  <c r="CW14" i="17"/>
  <c r="AO15" i="17"/>
  <c r="CB15" i="17"/>
  <c r="CI15" i="17"/>
  <c r="AY16" i="17"/>
  <c r="Z17" i="17"/>
  <c r="S18" i="17"/>
  <c r="AO19" i="17"/>
  <c r="CB19" i="17"/>
  <c r="CI19" i="17"/>
  <c r="AO20" i="17"/>
  <c r="S21" i="17"/>
  <c r="AO21" i="17"/>
  <c r="AY23" i="17"/>
  <c r="AB27" i="17"/>
  <c r="AF27" i="17"/>
  <c r="AO28" i="17"/>
  <c r="CO30" i="17"/>
  <c r="Z31" i="17"/>
  <c r="W32" i="17"/>
  <c r="X32" i="17"/>
  <c r="AO32" i="17"/>
  <c r="BE32" i="17"/>
  <c r="AO33" i="17"/>
  <c r="BZ33" i="17"/>
  <c r="CE33" i="17"/>
  <c r="BD34" i="17"/>
  <c r="BE34" i="17"/>
  <c r="BI34" i="17"/>
  <c r="CU36" i="17"/>
  <c r="CA37" i="17"/>
  <c r="CO39" i="17"/>
  <c r="W42" i="17"/>
  <c r="X42" i="17"/>
  <c r="AE42" i="17"/>
  <c r="Z43" i="17"/>
  <c r="Z44" i="17"/>
  <c r="S45" i="17"/>
  <c r="W47" i="17"/>
  <c r="X47" i="17"/>
  <c r="W49" i="17"/>
  <c r="X49" i="17"/>
  <c r="AY49" i="17"/>
  <c r="BD49" i="17"/>
  <c r="AY50" i="17"/>
  <c r="CM50" i="17"/>
  <c r="Z52" i="17"/>
  <c r="S52" i="17"/>
  <c r="BD52" i="17"/>
  <c r="CB14" i="17"/>
  <c r="CI14" i="17"/>
  <c r="Z18" i="17"/>
  <c r="AQ20" i="17"/>
  <c r="Z21" i="17"/>
  <c r="AB32" i="17"/>
  <c r="AY33" i="17"/>
  <c r="CA33" i="17"/>
  <c r="AB35" i="17"/>
  <c r="BZ38" i="17"/>
  <c r="BI41" i="17"/>
  <c r="S43" i="17"/>
  <c r="AE43" i="17"/>
  <c r="W45" i="17"/>
  <c r="X45" i="17"/>
  <c r="BZ46" i="17"/>
  <c r="CO46" i="17"/>
  <c r="CA46" i="17"/>
  <c r="Z49" i="17"/>
  <c r="BE51" i="17"/>
  <c r="BI51" i="17"/>
  <c r="AV51" i="17"/>
  <c r="CA52" i="17"/>
  <c r="CK52" i="17"/>
  <c r="BZ52" i="17"/>
  <c r="CO52" i="17"/>
  <c r="AV55" i="17"/>
  <c r="BE62" i="17"/>
  <c r="BI62" i="17"/>
  <c r="AV62" i="17"/>
  <c r="CG79" i="17"/>
  <c r="CT79" i="17"/>
  <c r="CL79" i="17"/>
  <c r="Z58" i="17"/>
  <c r="Z63" i="17"/>
  <c r="W64" i="17"/>
  <c r="X64" i="17"/>
  <c r="Z73" i="17"/>
  <c r="CO73" i="17"/>
  <c r="CB77" i="17"/>
  <c r="CI77" i="17"/>
  <c r="Z79" i="17"/>
  <c r="CA79" i="17"/>
  <c r="CW79" i="17"/>
  <c r="CX79" i="17"/>
  <c r="BD87" i="17"/>
  <c r="AQ87" i="17"/>
  <c r="AY87" i="17"/>
  <c r="U89" i="17"/>
  <c r="S89" i="17"/>
  <c r="Z89" i="17"/>
  <c r="BZ90" i="17"/>
  <c r="CA90" i="17"/>
  <c r="CW90" i="17"/>
  <c r="U92" i="17"/>
  <c r="Z92" i="17"/>
  <c r="S92" i="17"/>
  <c r="BZ92" i="17"/>
  <c r="CO92" i="17"/>
  <c r="CA92" i="17"/>
  <c r="S94" i="17"/>
  <c r="Z94" i="17"/>
  <c r="BI111" i="17"/>
  <c r="CK126" i="17"/>
  <c r="CW126" i="17"/>
  <c r="BD53" i="17"/>
  <c r="AO56" i="17"/>
  <c r="BD56" i="17"/>
  <c r="AV56" i="17"/>
  <c r="BD58" i="17"/>
  <c r="BE58" i="17"/>
  <c r="BI58" i="17"/>
  <c r="AO59" i="17"/>
  <c r="BD59" i="17"/>
  <c r="AO60" i="17"/>
  <c r="BD60" i="17"/>
  <c r="AO61" i="17"/>
  <c r="BD61" i="17"/>
  <c r="AY62" i="17"/>
  <c r="BG63" i="17"/>
  <c r="BH63" i="17"/>
  <c r="Z64" i="17"/>
  <c r="CA65" i="17"/>
  <c r="AY66" i="17"/>
  <c r="BZ66" i="17"/>
  <c r="CE66" i="17"/>
  <c r="AB67" i="17"/>
  <c r="CB69" i="17"/>
  <c r="CI69" i="17"/>
  <c r="AO71" i="17"/>
  <c r="BD71" i="17"/>
  <c r="CA73" i="17"/>
  <c r="CW73" i="17"/>
  <c r="CM73" i="17"/>
  <c r="Z74" i="17"/>
  <c r="CB74" i="17"/>
  <c r="CI74" i="17"/>
  <c r="S75" i="17"/>
  <c r="Z77" i="17"/>
  <c r="BZ78" i="17"/>
  <c r="CO78" i="17"/>
  <c r="S79" i="17"/>
  <c r="CB79" i="17"/>
  <c r="CI79" i="17"/>
  <c r="AO81" i="17"/>
  <c r="BD81" i="17"/>
  <c r="BZ83" i="17"/>
  <c r="CO83" i="17"/>
  <c r="AQ84" i="17"/>
  <c r="W85" i="17"/>
  <c r="X85" i="17"/>
  <c r="W86" i="17"/>
  <c r="X86" i="17"/>
  <c r="BZ86" i="17"/>
  <c r="CA88" i="17"/>
  <c r="AY93" i="17"/>
  <c r="BD93" i="17"/>
  <c r="AO93" i="17"/>
  <c r="BE109" i="17"/>
  <c r="AV109" i="17"/>
  <c r="BE120" i="17"/>
  <c r="AV120" i="17"/>
  <c r="BE141" i="17"/>
  <c r="AV141" i="17"/>
  <c r="BE146" i="17"/>
  <c r="AV146" i="17"/>
  <c r="AD64" i="17"/>
  <c r="CA66" i="17"/>
  <c r="AD67" i="17"/>
  <c r="BI72" i="17"/>
  <c r="CB73" i="17"/>
  <c r="CI73" i="17"/>
  <c r="W75" i="17"/>
  <c r="X75" i="17"/>
  <c r="BI85" i="17"/>
  <c r="CB86" i="17"/>
  <c r="CI86" i="17"/>
  <c r="AO87" i="17"/>
  <c r="BV87" i="17"/>
  <c r="U88" i="17"/>
  <c r="S88" i="17"/>
  <c r="Z88" i="17"/>
  <c r="BE103" i="17"/>
  <c r="BI103" i="17"/>
  <c r="AV103" i="17"/>
  <c r="BI141" i="17"/>
  <c r="AB47" i="17"/>
  <c r="AB51" i="17"/>
  <c r="AB52" i="17"/>
  <c r="AY53" i="17"/>
  <c r="CA55" i="17"/>
  <c r="BG56" i="17"/>
  <c r="AW56" i="17"/>
  <c r="AV57" i="17"/>
  <c r="S58" i="17"/>
  <c r="Z59" i="17"/>
  <c r="Z60" i="17"/>
  <c r="Z61" i="17"/>
  <c r="AO62" i="17"/>
  <c r="S64" i="17"/>
  <c r="AO66" i="17"/>
  <c r="CB70" i="17"/>
  <c r="CI70" i="17"/>
  <c r="Z72" i="17"/>
  <c r="AV72" i="17"/>
  <c r="S73" i="17"/>
  <c r="W74" i="17"/>
  <c r="X74" i="17"/>
  <c r="AE74" i="17"/>
  <c r="Z75" i="17"/>
  <c r="W76" i="17"/>
  <c r="X76" i="17"/>
  <c r="AE76" i="17"/>
  <c r="CA76" i="17"/>
  <c r="CW76" i="17"/>
  <c r="W77" i="17"/>
  <c r="X77" i="17"/>
  <c r="AE77" i="17"/>
  <c r="CA77" i="17"/>
  <c r="BZ81" i="17"/>
  <c r="CE81" i="17"/>
  <c r="W89" i="17"/>
  <c r="X89" i="17"/>
  <c r="U90" i="17"/>
  <c r="S90" i="17"/>
  <c r="Z90" i="17"/>
  <c r="U91" i="17"/>
  <c r="Z91" i="17"/>
  <c r="S91" i="17"/>
  <c r="W92" i="17"/>
  <c r="X92" i="17"/>
  <c r="Z93" i="17"/>
  <c r="S93" i="17"/>
  <c r="W94" i="17"/>
  <c r="X94" i="17"/>
  <c r="BE129" i="17"/>
  <c r="BI129" i="17"/>
  <c r="AV129" i="17"/>
  <c r="BI139" i="17"/>
  <c r="AB94" i="17"/>
  <c r="CB95" i="17"/>
  <c r="CI95" i="17"/>
  <c r="CK96" i="17"/>
  <c r="Z98" i="17"/>
  <c r="S99" i="17"/>
  <c r="Z100" i="17"/>
  <c r="W101" i="17"/>
  <c r="X101" i="17"/>
  <c r="CE101" i="17"/>
  <c r="BZ102" i="17"/>
  <c r="S105" i="17"/>
  <c r="S107" i="17"/>
  <c r="S108" i="17"/>
  <c r="Z109" i="17"/>
  <c r="W110" i="17"/>
  <c r="X110" i="17"/>
  <c r="W111" i="17"/>
  <c r="X111" i="17"/>
  <c r="CW112" i="17"/>
  <c r="W114" i="17"/>
  <c r="X114" i="17"/>
  <c r="BZ116" i="17"/>
  <c r="AO117" i="17"/>
  <c r="BE117" i="17"/>
  <c r="AO118" i="17"/>
  <c r="AO119" i="17"/>
  <c r="CB124" i="17"/>
  <c r="CI124" i="17"/>
  <c r="AQ125" i="17"/>
  <c r="W126" i="17"/>
  <c r="X126" i="17"/>
  <c r="AY126" i="17"/>
  <c r="W131" i="17"/>
  <c r="X131" i="17"/>
  <c r="AY131" i="17"/>
  <c r="BD132" i="17"/>
  <c r="AO133" i="17"/>
  <c r="BD133" i="17"/>
  <c r="AO134" i="17"/>
  <c r="BE134" i="17"/>
  <c r="BI134" i="17"/>
  <c r="W136" i="17"/>
  <c r="X136" i="17"/>
  <c r="AO138" i="17"/>
  <c r="W140" i="17"/>
  <c r="X140" i="17"/>
  <c r="Z141" i="17"/>
  <c r="Z144" i="17"/>
  <c r="AO145" i="17"/>
  <c r="W99" i="17"/>
  <c r="X99" i="17"/>
  <c r="W105" i="17"/>
  <c r="X105" i="17"/>
  <c r="W107" i="17"/>
  <c r="X107" i="17"/>
  <c r="W108" i="17"/>
  <c r="X108" i="17"/>
  <c r="BI109" i="17"/>
  <c r="BZ118" i="17"/>
  <c r="CE118" i="17"/>
  <c r="BD119" i="17"/>
  <c r="S122" i="17"/>
  <c r="AY125" i="17"/>
  <c r="Z126" i="17"/>
  <c r="CG126" i="17"/>
  <c r="CT126" i="17"/>
  <c r="CL126" i="17"/>
  <c r="Z128" i="17"/>
  <c r="DA128" i="17"/>
  <c r="S129" i="17"/>
  <c r="DA129" i="17"/>
  <c r="S130" i="17"/>
  <c r="CR131" i="17"/>
  <c r="S138" i="17"/>
  <c r="BD138" i="17"/>
  <c r="Z140" i="17"/>
  <c r="AY141" i="17"/>
  <c r="AB93" i="17"/>
  <c r="BZ96" i="17"/>
  <c r="CO96" i="17"/>
  <c r="S98" i="17"/>
  <c r="Z99" i="17"/>
  <c r="S100" i="17"/>
  <c r="AO103" i="17"/>
  <c r="BZ103" i="17"/>
  <c r="AE104" i="17"/>
  <c r="Z105" i="17"/>
  <c r="CB105" i="17"/>
  <c r="CI105" i="17"/>
  <c r="Z107" i="17"/>
  <c r="CA107" i="17"/>
  <c r="CW107" i="17"/>
  <c r="Z108" i="17"/>
  <c r="S109" i="17"/>
  <c r="AY114" i="17"/>
  <c r="S115" i="17"/>
  <c r="BZ115" i="17"/>
  <c r="CO115" i="17"/>
  <c r="S116" i="17"/>
  <c r="AY117" i="17"/>
  <c r="BZ117" i="17"/>
  <c r="CG117" i="17"/>
  <c r="AY118" i="17"/>
  <c r="CB118" i="17"/>
  <c r="CI118" i="17"/>
  <c r="W122" i="17"/>
  <c r="X122" i="17"/>
  <c r="CW124" i="17"/>
  <c r="CX124" i="17"/>
  <c r="W129" i="17"/>
  <c r="X129" i="17"/>
  <c r="W130" i="17"/>
  <c r="X130" i="17"/>
  <c r="AY134" i="17"/>
  <c r="Z136" i="17"/>
  <c r="Z138" i="17"/>
  <c r="AV139" i="17"/>
  <c r="AO141" i="17"/>
  <c r="S144" i="17"/>
  <c r="CB96" i="17"/>
  <c r="CI96" i="17"/>
  <c r="W98" i="17"/>
  <c r="X98" i="17"/>
  <c r="W100" i="17"/>
  <c r="X100" i="17"/>
  <c r="CT101" i="17"/>
  <c r="CL101" i="17"/>
  <c r="CB103" i="17"/>
  <c r="CI103" i="17"/>
  <c r="W109" i="17"/>
  <c r="X109" i="17"/>
  <c r="S110" i="17"/>
  <c r="S111" i="17"/>
  <c r="AE111" i="17"/>
  <c r="CT113" i="17"/>
  <c r="CA115" i="17"/>
  <c r="Z116" i="17"/>
  <c r="AY116" i="17"/>
  <c r="CB117" i="17"/>
  <c r="CI117" i="17"/>
  <c r="CB120" i="17"/>
  <c r="CI120" i="17"/>
  <c r="Z122" i="17"/>
  <c r="CA122" i="17"/>
  <c r="CW122" i="17"/>
  <c r="W123" i="17"/>
  <c r="X123" i="17"/>
  <c r="W124" i="17"/>
  <c r="X124" i="17"/>
  <c r="BZ124" i="17"/>
  <c r="CO124" i="17"/>
  <c r="AO125" i="17"/>
  <c r="S126" i="17"/>
  <c r="CO126" i="17"/>
  <c r="CB127" i="17"/>
  <c r="CI127" i="17"/>
  <c r="Z129" i="17"/>
  <c r="AE129" i="17"/>
  <c r="Z130" i="17"/>
  <c r="DA130" i="17"/>
  <c r="S131" i="17"/>
  <c r="CR132" i="17"/>
  <c r="CR133" i="17"/>
  <c r="S136" i="17"/>
  <c r="CZ137" i="17"/>
  <c r="S140" i="17"/>
  <c r="W144" i="17"/>
  <c r="X144" i="17"/>
  <c r="CL10" i="17"/>
  <c r="CU10" i="17"/>
  <c r="CM18" i="17"/>
  <c r="CX18" i="17"/>
  <c r="CM15" i="17"/>
  <c r="CX15" i="17"/>
  <c r="CM19" i="17"/>
  <c r="CX19" i="17"/>
  <c r="CL11" i="17"/>
  <c r="CU11" i="17"/>
  <c r="CY11" i="17"/>
  <c r="CM16" i="17"/>
  <c r="CX16" i="17"/>
  <c r="CM17" i="17"/>
  <c r="CX17" i="17"/>
  <c r="CM11" i="17"/>
  <c r="AB13" i="17"/>
  <c r="AF13" i="17"/>
  <c r="AD17" i="17"/>
  <c r="AD19" i="17"/>
  <c r="AS20" i="17"/>
  <c r="BU22" i="17"/>
  <c r="BT22" i="17"/>
  <c r="AV23" i="17"/>
  <c r="BE23" i="17"/>
  <c r="BI23" i="17"/>
  <c r="BI26" i="17"/>
  <c r="BU30" i="17"/>
  <c r="BT30" i="17"/>
  <c r="CM36" i="17"/>
  <c r="CX36" i="17"/>
  <c r="CM40" i="17"/>
  <c r="CX40" i="17"/>
  <c r="BS149" i="17"/>
  <c r="BT149" i="17"/>
  <c r="BU10" i="17"/>
  <c r="BT10" i="17"/>
  <c r="CG10" i="17"/>
  <c r="AY12" i="17"/>
  <c r="AO12" i="17"/>
  <c r="BD12" i="17"/>
  <c r="BU13" i="17"/>
  <c r="BT13" i="17"/>
  <c r="CW13" i="17"/>
  <c r="CK13" i="17"/>
  <c r="AY14" i="17"/>
  <c r="AO14" i="17"/>
  <c r="BD14" i="17"/>
  <c r="CK15" i="17"/>
  <c r="CK16" i="17"/>
  <c r="CK17" i="17"/>
  <c r="CK18" i="17"/>
  <c r="CK19" i="17"/>
  <c r="BI21" i="17"/>
  <c r="BT21" i="17"/>
  <c r="BU21" i="17"/>
  <c r="CX22" i="17"/>
  <c r="CM22" i="17"/>
  <c r="BU23" i="17"/>
  <c r="BT23" i="17"/>
  <c r="BI27" i="17"/>
  <c r="BT31" i="17"/>
  <c r="BU31" i="17"/>
  <c r="BI32" i="17"/>
  <c r="BI15" i="17"/>
  <c r="AD18" i="17"/>
  <c r="BI18" i="17"/>
  <c r="AD20" i="17"/>
  <c r="CE10" i="17"/>
  <c r="CO10" i="17"/>
  <c r="BU11" i="17"/>
  <c r="BT11" i="17"/>
  <c r="CT12" i="17"/>
  <c r="CG12" i="17"/>
  <c r="CE12" i="17"/>
  <c r="CO12" i="17"/>
  <c r="AB14" i="17"/>
  <c r="CT14" i="17"/>
  <c r="CG14" i="17"/>
  <c r="CE14" i="17"/>
  <c r="CO14" i="17"/>
  <c r="CX23" i="17"/>
  <c r="CM23" i="17"/>
  <c r="CM24" i="17"/>
  <c r="CX24" i="17"/>
  <c r="AW30" i="17"/>
  <c r="BH30" i="17"/>
  <c r="BU38" i="17"/>
  <c r="BT38" i="17"/>
  <c r="BI42" i="17"/>
  <c r="Z11" i="17"/>
  <c r="S11" i="17"/>
  <c r="W11" i="17"/>
  <c r="X11" i="17"/>
  <c r="CT13" i="17"/>
  <c r="CG13" i="17"/>
  <c r="CE13" i="17"/>
  <c r="AD16" i="17"/>
  <c r="BI19" i="17"/>
  <c r="O149" i="17"/>
  <c r="Z10" i="17"/>
  <c r="S10" i="17"/>
  <c r="W10" i="17"/>
  <c r="AB149" i="17"/>
  <c r="CX10" i="17"/>
  <c r="CM10" i="17"/>
  <c r="U11" i="17"/>
  <c r="CE11" i="17"/>
  <c r="CO11" i="17"/>
  <c r="BU12" i="17"/>
  <c r="BT12" i="17"/>
  <c r="CW12" i="17"/>
  <c r="CK12" i="17"/>
  <c r="AE13" i="17"/>
  <c r="AY13" i="17"/>
  <c r="AY149" i="17"/>
  <c r="AO13" i="17"/>
  <c r="AO149" i="17"/>
  <c r="BD13" i="17"/>
  <c r="BU14" i="17"/>
  <c r="BT14" i="17"/>
  <c r="CB20" i="17"/>
  <c r="CI20" i="17"/>
  <c r="CA20" i="17"/>
  <c r="BZ20" i="17"/>
  <c r="AV22" i="17"/>
  <c r="BE22" i="17"/>
  <c r="BI22" i="17"/>
  <c r="AE26" i="17"/>
  <c r="CL50" i="17"/>
  <c r="CU50" i="17"/>
  <c r="CY50" i="17"/>
  <c r="CU31" i="17"/>
  <c r="AE32" i="17"/>
  <c r="AF32" i="17"/>
  <c r="CT32" i="17"/>
  <c r="Z34" i="17"/>
  <c r="S34" i="17"/>
  <c r="W34" i="17"/>
  <c r="X34" i="17"/>
  <c r="CO34" i="17"/>
  <c r="CT34" i="17"/>
  <c r="CM35" i="17"/>
  <c r="CX35" i="17"/>
  <c r="AY36" i="17"/>
  <c r="AO36" i="17"/>
  <c r="BD36" i="17"/>
  <c r="CY36" i="17"/>
  <c r="BU39" i="17"/>
  <c r="BT39" i="17"/>
  <c r="CA41" i="17"/>
  <c r="BZ41" i="17"/>
  <c r="CL49" i="17"/>
  <c r="CU49" i="17"/>
  <c r="BU62" i="17"/>
  <c r="BT62" i="17"/>
  <c r="CG31" i="17"/>
  <c r="CO31" i="17"/>
  <c r="CW31" i="17"/>
  <c r="AQ32" i="17"/>
  <c r="BB32" i="17"/>
  <c r="CW32" i="17"/>
  <c r="CK32" i="17"/>
  <c r="CR32" i="17"/>
  <c r="Z33" i="17"/>
  <c r="S33" i="17"/>
  <c r="W33" i="17"/>
  <c r="X33" i="17"/>
  <c r="AQ33" i="17"/>
  <c r="BB33" i="17"/>
  <c r="CW33" i="17"/>
  <c r="CK33" i="17"/>
  <c r="AV34" i="17"/>
  <c r="CE34" i="17"/>
  <c r="BT36" i="17"/>
  <c r="CK36" i="17"/>
  <c r="AU37" i="17"/>
  <c r="CT38" i="17"/>
  <c r="AO39" i="17"/>
  <c r="BE39" i="17"/>
  <c r="BI39" i="17"/>
  <c r="CU39" i="17"/>
  <c r="AY40" i="17"/>
  <c r="AO40" i="17"/>
  <c r="BD40" i="17"/>
  <c r="CB41" i="17"/>
  <c r="CI41" i="17"/>
  <c r="AV42" i="17"/>
  <c r="CA44" i="17"/>
  <c r="BZ44" i="17"/>
  <c r="AY46" i="17"/>
  <c r="AO46" i="17"/>
  <c r="BD46" i="17"/>
  <c r="BU47" i="17"/>
  <c r="BT47" i="17"/>
  <c r="BU50" i="17"/>
  <c r="BT50" i="17"/>
  <c r="CG50" i="17"/>
  <c r="Z51" i="17"/>
  <c r="S51" i="17"/>
  <c r="W51" i="17"/>
  <c r="X51" i="17"/>
  <c r="BT52" i="17"/>
  <c r="CW52" i="17"/>
  <c r="BG53" i="17"/>
  <c r="BH53" i="17"/>
  <c r="BI57" i="17"/>
  <c r="AV58" i="17"/>
  <c r="CG22" i="17"/>
  <c r="CT22" i="17"/>
  <c r="U23" i="17"/>
  <c r="AF24" i="17"/>
  <c r="U25" i="17"/>
  <c r="AY25" i="17"/>
  <c r="AQ25" i="17"/>
  <c r="AU26" i="17"/>
  <c r="AU149" i="17"/>
  <c r="BD25" i="17"/>
  <c r="AU27" i="17"/>
  <c r="AQ31" i="17"/>
  <c r="P149" i="17"/>
  <c r="AD149" i="17"/>
  <c r="AJ149" i="17"/>
  <c r="AQ10" i="17"/>
  <c r="BA149" i="17"/>
  <c r="BG149" i="17"/>
  <c r="AQ11" i="17"/>
  <c r="BJ11" i="17"/>
  <c r="U21" i="17"/>
  <c r="AE21" i="17"/>
  <c r="BZ21" i="17"/>
  <c r="AQ22" i="17"/>
  <c r="BJ22" i="17"/>
  <c r="CO22" i="17"/>
  <c r="W23" i="17"/>
  <c r="X23" i="17"/>
  <c r="AQ23" i="17"/>
  <c r="BV23" i="17"/>
  <c r="CK23" i="17"/>
  <c r="CT23" i="17"/>
  <c r="BZ24" i="17"/>
  <c r="CK24" i="17"/>
  <c r="BT25" i="17"/>
  <c r="CT25" i="17"/>
  <c r="AV26" i="17"/>
  <c r="BT26" i="17"/>
  <c r="CT26" i="17"/>
  <c r="AV27" i="17"/>
  <c r="BT27" i="17"/>
  <c r="CT27" i="17"/>
  <c r="BT28" i="17"/>
  <c r="AY29" i="17"/>
  <c r="AO29" i="17"/>
  <c r="BD29" i="17"/>
  <c r="BK29" i="17"/>
  <c r="CR30" i="17"/>
  <c r="BE31" i="17"/>
  <c r="BI31" i="17"/>
  <c r="Q149" i="17"/>
  <c r="AK149" i="17"/>
  <c r="AS149" i="17"/>
  <c r="BH10" i="17"/>
  <c r="BH149" i="17"/>
  <c r="CK10" i="17"/>
  <c r="CQ149" i="17"/>
  <c r="CK11" i="17"/>
  <c r="BZ15" i="17"/>
  <c r="U16" i="17"/>
  <c r="BZ16" i="17"/>
  <c r="U17" i="17"/>
  <c r="AE17" i="17"/>
  <c r="BZ17" i="17"/>
  <c r="U18" i="17"/>
  <c r="BZ18" i="17"/>
  <c r="U19" i="17"/>
  <c r="AE19" i="17"/>
  <c r="BZ19" i="17"/>
  <c r="U20" i="17"/>
  <c r="AQ21" i="17"/>
  <c r="BV21" i="17"/>
  <c r="CA21" i="17"/>
  <c r="CK22" i="17"/>
  <c r="CR22" i="17"/>
  <c r="CB24" i="17"/>
  <c r="CI24" i="17"/>
  <c r="CI149" i="17"/>
  <c r="DA152" i="17"/>
  <c r="Z25" i="17"/>
  <c r="AO25" i="17"/>
  <c r="CA25" i="17"/>
  <c r="CO25" i="17"/>
  <c r="CA26" i="17"/>
  <c r="CO26" i="17"/>
  <c r="CA27" i="17"/>
  <c r="CO27" i="17"/>
  <c r="W29" i="17"/>
  <c r="X29" i="17"/>
  <c r="U29" i="17"/>
  <c r="BT29" i="17"/>
  <c r="CT29" i="17"/>
  <c r="CG29" i="17"/>
  <c r="CT30" i="17"/>
  <c r="AY31" i="17"/>
  <c r="AL149" i="17"/>
  <c r="BD10" i="17"/>
  <c r="DB149" i="17"/>
  <c r="AQ15" i="17"/>
  <c r="AQ16" i="17"/>
  <c r="AQ17" i="17"/>
  <c r="AQ18" i="17"/>
  <c r="BB18" i="17"/>
  <c r="AQ19" i="17"/>
  <c r="S23" i="17"/>
  <c r="Z23" i="17"/>
  <c r="CG23" i="17"/>
  <c r="CO23" i="17"/>
  <c r="S25" i="17"/>
  <c r="AA149" i="17"/>
  <c r="CB25" i="17"/>
  <c r="CI25" i="17"/>
  <c r="CB26" i="17"/>
  <c r="CI26" i="17"/>
  <c r="CB27" i="17"/>
  <c r="CI27" i="17"/>
  <c r="U28" i="17"/>
  <c r="AE28" i="17"/>
  <c r="AF28" i="17"/>
  <c r="BZ28" i="17"/>
  <c r="AB29" i="17"/>
  <c r="CA29" i="17"/>
  <c r="BD30" i="17"/>
  <c r="AO30" i="17"/>
  <c r="AO31" i="17"/>
  <c r="CR31" i="17"/>
  <c r="BJ32" i="17"/>
  <c r="CO32" i="17"/>
  <c r="CG33" i="17"/>
  <c r="CG34" i="17"/>
  <c r="AO38" i="17"/>
  <c r="BE38" i="17"/>
  <c r="BI38" i="17"/>
  <c r="Z39" i="17"/>
  <c r="S39" i="17"/>
  <c r="W39" i="17"/>
  <c r="AF39" i="17"/>
  <c r="X39" i="17"/>
  <c r="AQ39" i="17"/>
  <c r="CW39" i="17"/>
  <c r="CK39" i="17"/>
  <c r="CK40" i="17"/>
  <c r="AF43" i="17"/>
  <c r="CA43" i="17"/>
  <c r="BZ43" i="17"/>
  <c r="AY45" i="17"/>
  <c r="AO45" i="17"/>
  <c r="BD45" i="17"/>
  <c r="BG45" i="17"/>
  <c r="BH45" i="17"/>
  <c r="CG46" i="17"/>
  <c r="BE47" i="17"/>
  <c r="BI47" i="17"/>
  <c r="CE47" i="17"/>
  <c r="CO47" i="17"/>
  <c r="CT47" i="17"/>
  <c r="CX47" i="17"/>
  <c r="CW48" i="17"/>
  <c r="CK48" i="17"/>
  <c r="CG49" i="17"/>
  <c r="CE49" i="17"/>
  <c r="CO49" i="17"/>
  <c r="CE50" i="17"/>
  <c r="CO50" i="17"/>
  <c r="CA54" i="17"/>
  <c r="BZ54" i="17"/>
  <c r="CB54" i="17"/>
  <c r="CI54" i="17"/>
  <c r="CM63" i="17"/>
  <c r="CX63" i="17"/>
  <c r="CG32" i="17"/>
  <c r="DA32" i="17"/>
  <c r="BU33" i="17"/>
  <c r="BT33" i="17"/>
  <c r="U34" i="17"/>
  <c r="CB34" i="17"/>
  <c r="CI34" i="17"/>
  <c r="CA34" i="17"/>
  <c r="AY35" i="17"/>
  <c r="AO35" i="17"/>
  <c r="BD35" i="17"/>
  <c r="AQ36" i="17"/>
  <c r="CW37" i="17"/>
  <c r="CK37" i="17"/>
  <c r="Z38" i="17"/>
  <c r="S38" i="17"/>
  <c r="W38" i="17"/>
  <c r="X38" i="17"/>
  <c r="AQ38" i="17"/>
  <c r="CW38" i="17"/>
  <c r="CK38" i="17"/>
  <c r="CA42" i="17"/>
  <c r="BZ42" i="17"/>
  <c r="BU45" i="17"/>
  <c r="BT45" i="17"/>
  <c r="CM45" i="17"/>
  <c r="CX45" i="17"/>
  <c r="BU46" i="17"/>
  <c r="BT46" i="17"/>
  <c r="CW46" i="17"/>
  <c r="CK46" i="17"/>
  <c r="BI48" i="17"/>
  <c r="BU49" i="17"/>
  <c r="BT49" i="17"/>
  <c r="CW49" i="17"/>
  <c r="CK49" i="17"/>
  <c r="Z50" i="17"/>
  <c r="S50" i="17"/>
  <c r="W50" i="17"/>
  <c r="X50" i="17"/>
  <c r="CB51" i="17"/>
  <c r="CI51" i="17"/>
  <c r="CA51" i="17"/>
  <c r="BZ51" i="17"/>
  <c r="AY64" i="17"/>
  <c r="CO64" i="17"/>
  <c r="CE64" i="17"/>
  <c r="AV66" i="17"/>
  <c r="BE66" i="17"/>
  <c r="BI66" i="17"/>
  <c r="BU67" i="17"/>
  <c r="BT67" i="17"/>
  <c r="CM67" i="17"/>
  <c r="CX67" i="17"/>
  <c r="CX68" i="17"/>
  <c r="CM68" i="17"/>
  <c r="CT69" i="17"/>
  <c r="CG69" i="17"/>
  <c r="CE69" i="17"/>
  <c r="CO69" i="17"/>
  <c r="BU70" i="17"/>
  <c r="BT70" i="17"/>
  <c r="AQ34" i="17"/>
  <c r="U35" i="17"/>
  <c r="AE35" i="17"/>
  <c r="CE35" i="17"/>
  <c r="S36" i="17"/>
  <c r="Z36" i="17"/>
  <c r="CE36" i="17"/>
  <c r="AO37" i="17"/>
  <c r="BD37" i="17"/>
  <c r="CE37" i="17"/>
  <c r="CE40" i="17"/>
  <c r="AO41" i="17"/>
  <c r="AY41" i="17"/>
  <c r="AO42" i="17"/>
  <c r="AY42" i="17"/>
  <c r="AO43" i="17"/>
  <c r="AY43" i="17"/>
  <c r="AO44" i="17"/>
  <c r="AY44" i="17"/>
  <c r="CE45" i="17"/>
  <c r="S46" i="17"/>
  <c r="Z46" i="17"/>
  <c r="CB46" i="17"/>
  <c r="CI46" i="17"/>
  <c r="AQ47" i="17"/>
  <c r="BJ47" i="17"/>
  <c r="U48" i="17"/>
  <c r="CE48" i="17"/>
  <c r="CB49" i="17"/>
  <c r="CI49" i="17"/>
  <c r="AQ50" i="17"/>
  <c r="BJ50" i="17"/>
  <c r="AO51" i="17"/>
  <c r="AY51" i="17"/>
  <c r="U52" i="17"/>
  <c r="CE52" i="17"/>
  <c r="CE53" i="17"/>
  <c r="BG55" i="17"/>
  <c r="AQ56" i="17"/>
  <c r="CA62" i="17"/>
  <c r="BZ62" i="17"/>
  <c r="AY63" i="17"/>
  <c r="AO63" i="17"/>
  <c r="BD63" i="17"/>
  <c r="BT65" i="17"/>
  <c r="BU65" i="17"/>
  <c r="CW65" i="17"/>
  <c r="CK65" i="17"/>
  <c r="AY67" i="17"/>
  <c r="AO67" i="17"/>
  <c r="BD67" i="17"/>
  <c r="CM69" i="17"/>
  <c r="CX69" i="17"/>
  <c r="CM74" i="17"/>
  <c r="CX74" i="17"/>
  <c r="AQ24" i="17"/>
  <c r="BK24" i="17"/>
  <c r="AQ26" i="17"/>
  <c r="BK26" i="17"/>
  <c r="AQ27" i="17"/>
  <c r="AC149" i="17"/>
  <c r="AQ28" i="17"/>
  <c r="BV28" i="17"/>
  <c r="CG35" i="17"/>
  <c r="CG36" i="17"/>
  <c r="AQ37" i="17"/>
  <c r="CG40" i="17"/>
  <c r="AQ41" i="17"/>
  <c r="AQ42" i="17"/>
  <c r="AQ43" i="17"/>
  <c r="AQ44" i="17"/>
  <c r="AB45" i="17"/>
  <c r="AE45" i="17"/>
  <c r="AF45" i="17"/>
  <c r="CG45" i="17"/>
  <c r="CT45" i="17"/>
  <c r="U46" i="17"/>
  <c r="AQ51" i="17"/>
  <c r="CG52" i="17"/>
  <c r="CT52" i="17"/>
  <c r="CT53" i="17"/>
  <c r="CG53" i="17"/>
  <c r="CT55" i="17"/>
  <c r="CG55" i="17"/>
  <c r="CE55" i="17"/>
  <c r="CA56" i="17"/>
  <c r="BZ56" i="17"/>
  <c r="CA57" i="17"/>
  <c r="BZ57" i="17"/>
  <c r="CA58" i="17"/>
  <c r="BZ58" i="17"/>
  <c r="CA59" i="17"/>
  <c r="BZ59" i="17"/>
  <c r="CA60" i="17"/>
  <c r="BZ60" i="17"/>
  <c r="CA61" i="17"/>
  <c r="BZ61" i="17"/>
  <c r="CB62" i="17"/>
  <c r="CI62" i="17"/>
  <c r="BU63" i="17"/>
  <c r="BT63" i="17"/>
  <c r="CU63" i="17"/>
  <c r="CY63" i="17"/>
  <c r="BD64" i="17"/>
  <c r="AQ64" i="17"/>
  <c r="BK64" i="17"/>
  <c r="AV68" i="17"/>
  <c r="BE68" i="17"/>
  <c r="BI68" i="17"/>
  <c r="BI70" i="17"/>
  <c r="BT71" i="17"/>
  <c r="BU71" i="17"/>
  <c r="CX73" i="17"/>
  <c r="U47" i="17"/>
  <c r="AE47" i="17"/>
  <c r="CK47" i="17"/>
  <c r="AQ48" i="17"/>
  <c r="BB48" i="17"/>
  <c r="U49" i="17"/>
  <c r="AF49" i="17"/>
  <c r="AO49" i="17"/>
  <c r="AQ52" i="17"/>
  <c r="CA53" i="17"/>
  <c r="AY54" i="17"/>
  <c r="AO54" i="17"/>
  <c r="BD54" i="17"/>
  <c r="BT55" i="17"/>
  <c r="CO55" i="17"/>
  <c r="BE56" i="17"/>
  <c r="CB56" i="17"/>
  <c r="CI56" i="17"/>
  <c r="CB57" i="17"/>
  <c r="CI57" i="17"/>
  <c r="CB58" i="17"/>
  <c r="CI58" i="17"/>
  <c r="CB59" i="17"/>
  <c r="CI59" i="17"/>
  <c r="CB60" i="17"/>
  <c r="CI60" i="17"/>
  <c r="CB61" i="17"/>
  <c r="CI61" i="17"/>
  <c r="CK63" i="17"/>
  <c r="CR63" i="17"/>
  <c r="CU64" i="17"/>
  <c r="CY64" i="17"/>
  <c r="CL64" i="17"/>
  <c r="AY65" i="17"/>
  <c r="AO65" i="17"/>
  <c r="BD65" i="17"/>
  <c r="BU68" i="17"/>
  <c r="BT68" i="17"/>
  <c r="CW70" i="17"/>
  <c r="CK70" i="17"/>
  <c r="BT72" i="17"/>
  <c r="BU72" i="17"/>
  <c r="U57" i="17"/>
  <c r="AE57" i="17"/>
  <c r="U58" i="17"/>
  <c r="U59" i="17"/>
  <c r="AE59" i="17"/>
  <c r="U60" i="17"/>
  <c r="AE60" i="17"/>
  <c r="U61" i="17"/>
  <c r="AE61" i="17"/>
  <c r="U63" i="17"/>
  <c r="CG66" i="17"/>
  <c r="CT66" i="17"/>
  <c r="U67" i="17"/>
  <c r="CK67" i="17"/>
  <c r="CR67" i="17"/>
  <c r="CG68" i="17"/>
  <c r="CT68" i="17"/>
  <c r="AQ69" i="17"/>
  <c r="CK73" i="17"/>
  <c r="CR73" i="17"/>
  <c r="AF74" i="17"/>
  <c r="BU75" i="17"/>
  <c r="BT75" i="17"/>
  <c r="CW75" i="17"/>
  <c r="CK75" i="17"/>
  <c r="CM76" i="17"/>
  <c r="CX76" i="17"/>
  <c r="AW78" i="17"/>
  <c r="BH78" i="17"/>
  <c r="CW80" i="17"/>
  <c r="CK80" i="17"/>
  <c r="BU81" i="17"/>
  <c r="BT81" i="17"/>
  <c r="AQ55" i="17"/>
  <c r="BV55" i="17"/>
  <c r="U56" i="17"/>
  <c r="AF56" i="17"/>
  <c r="AQ57" i="17"/>
  <c r="BB57" i="17"/>
  <c r="AQ58" i="17"/>
  <c r="AQ59" i="17"/>
  <c r="AQ60" i="17"/>
  <c r="AQ61" i="17"/>
  <c r="AQ62" i="17"/>
  <c r="BB62" i="17"/>
  <c r="W63" i="17"/>
  <c r="X63" i="17"/>
  <c r="CG63" i="17"/>
  <c r="BZ65" i="17"/>
  <c r="AQ66" i="17"/>
  <c r="CO66" i="17"/>
  <c r="W67" i="17"/>
  <c r="X67" i="17"/>
  <c r="CG67" i="17"/>
  <c r="CT67" i="17"/>
  <c r="DA67" i="17"/>
  <c r="AQ68" i="17"/>
  <c r="BV68" i="17"/>
  <c r="CO68" i="17"/>
  <c r="BT69" i="17"/>
  <c r="CK69" i="17"/>
  <c r="BZ71" i="17"/>
  <c r="U72" i="17"/>
  <c r="AE72" i="17"/>
  <c r="BZ72" i="17"/>
  <c r="U73" i="17"/>
  <c r="AQ75" i="17"/>
  <c r="CM79" i="17"/>
  <c r="CW83" i="17"/>
  <c r="CK83" i="17"/>
  <c r="CX86" i="17"/>
  <c r="CM86" i="17"/>
  <c r="CK68" i="17"/>
  <c r="CR68" i="17"/>
  <c r="BD69" i="17"/>
  <c r="BZ70" i="17"/>
  <c r="AQ71" i="17"/>
  <c r="CA71" i="17"/>
  <c r="AQ72" i="17"/>
  <c r="BJ72" i="17"/>
  <c r="CA72" i="17"/>
  <c r="AY73" i="17"/>
  <c r="AO73" i="17"/>
  <c r="BD73" i="17"/>
  <c r="AY74" i="17"/>
  <c r="AO74" i="17"/>
  <c r="BD74" i="17"/>
  <c r="AY75" i="17"/>
  <c r="AO75" i="17"/>
  <c r="BD75" i="17"/>
  <c r="BU78" i="17"/>
  <c r="BT78" i="17"/>
  <c r="CT82" i="17"/>
  <c r="CG82" i="17"/>
  <c r="CE82" i="17"/>
  <c r="CO82" i="17"/>
  <c r="S67" i="17"/>
  <c r="AO69" i="17"/>
  <c r="AQ70" i="17"/>
  <c r="BB70" i="17"/>
  <c r="CT73" i="17"/>
  <c r="CG73" i="17"/>
  <c r="CT74" i="17"/>
  <c r="CG74" i="17"/>
  <c r="CE74" i="17"/>
  <c r="CK74" i="17"/>
  <c r="AB75" i="17"/>
  <c r="AE75" i="17"/>
  <c r="CT75" i="17"/>
  <c r="CG75" i="17"/>
  <c r="CE75" i="17"/>
  <c r="CO75" i="17"/>
  <c r="CO76" i="17"/>
  <c r="CT76" i="17"/>
  <c r="CG76" i="17"/>
  <c r="CE76" i="17"/>
  <c r="CO77" i="17"/>
  <c r="CT77" i="17"/>
  <c r="CG77" i="17"/>
  <c r="CE77" i="17"/>
  <c r="AV78" i="17"/>
  <c r="BE78" i="17"/>
  <c r="CM82" i="17"/>
  <c r="CX82" i="17"/>
  <c r="BE84" i="17"/>
  <c r="BI84" i="17"/>
  <c r="AV84" i="17"/>
  <c r="BT76" i="17"/>
  <c r="CK76" i="17"/>
  <c r="AQ78" i="17"/>
  <c r="AY78" i="17"/>
  <c r="CG78" i="17"/>
  <c r="AQ79" i="17"/>
  <c r="CG81" i="17"/>
  <c r="CT81" i="17"/>
  <c r="AQ82" i="17"/>
  <c r="CB84" i="17"/>
  <c r="CI84" i="17"/>
  <c r="BZ84" i="17"/>
  <c r="CK86" i="17"/>
  <c r="Z87" i="17"/>
  <c r="S87" i="17"/>
  <c r="W87" i="17"/>
  <c r="X87" i="17"/>
  <c r="BU89" i="17"/>
  <c r="BT89" i="17"/>
  <c r="CW89" i="17"/>
  <c r="CK89" i="17"/>
  <c r="AB90" i="17"/>
  <c r="CT90" i="17"/>
  <c r="CG90" i="17"/>
  <c r="CE90" i="17"/>
  <c r="AY91" i="17"/>
  <c r="AO91" i="17"/>
  <c r="BD91" i="17"/>
  <c r="CW95" i="17"/>
  <c r="CM96" i="17"/>
  <c r="CX96" i="17"/>
  <c r="BU97" i="17"/>
  <c r="BT97" i="17"/>
  <c r="CM97" i="17"/>
  <c r="CX97" i="17"/>
  <c r="CT99" i="17"/>
  <c r="CG99" i="17"/>
  <c r="CE99" i="17"/>
  <c r="CO99" i="17"/>
  <c r="AF76" i="17"/>
  <c r="BD76" i="17"/>
  <c r="BD77" i="17"/>
  <c r="CA78" i="17"/>
  <c r="BT79" i="17"/>
  <c r="CO79" i="17"/>
  <c r="CU79" i="17"/>
  <c r="BD80" i="17"/>
  <c r="AQ81" i="17"/>
  <c r="CA81" i="17"/>
  <c r="CO81" i="17"/>
  <c r="BT82" i="17"/>
  <c r="CB82" i="17"/>
  <c r="CI82" i="17"/>
  <c r="CK82" i="17"/>
  <c r="BD83" i="17"/>
  <c r="CE83" i="17"/>
  <c r="S84" i="17"/>
  <c r="Z84" i="17"/>
  <c r="BU84" i="17"/>
  <c r="CA84" i="17"/>
  <c r="AY85" i="17"/>
  <c r="AO85" i="17"/>
  <c r="AV85" i="17"/>
  <c r="AE86" i="17"/>
  <c r="AF86" i="17"/>
  <c r="CE86" i="17"/>
  <c r="CO86" i="17"/>
  <c r="CT87" i="17"/>
  <c r="CG87" i="17"/>
  <c r="CE87" i="17"/>
  <c r="AY88" i="17"/>
  <c r="AO88" i="17"/>
  <c r="BD88" i="17"/>
  <c r="BU90" i="17"/>
  <c r="BT90" i="17"/>
  <c r="AB91" i="17"/>
  <c r="CT91" i="17"/>
  <c r="CG91" i="17"/>
  <c r="CE91" i="17"/>
  <c r="AY92" i="17"/>
  <c r="AO92" i="17"/>
  <c r="BD92" i="17"/>
  <c r="CW94" i="17"/>
  <c r="AD97" i="17"/>
  <c r="AY97" i="17"/>
  <c r="AO97" i="17"/>
  <c r="BD97" i="17"/>
  <c r="CX103" i="17"/>
  <c r="CM103" i="17"/>
  <c r="AO76" i="17"/>
  <c r="AY76" i="17"/>
  <c r="AO77" i="17"/>
  <c r="AY77" i="17"/>
  <c r="U78" i="17"/>
  <c r="AE78" i="17"/>
  <c r="CT78" i="17"/>
  <c r="U79" i="17"/>
  <c r="AE79" i="17"/>
  <c r="BD79" i="17"/>
  <c r="CE79" i="17"/>
  <c r="AO80" i="17"/>
  <c r="AY80" i="17"/>
  <c r="BZ80" i="17"/>
  <c r="BD82" i="17"/>
  <c r="AO83" i="17"/>
  <c r="AY83" i="17"/>
  <c r="CG83" i="17"/>
  <c r="CT83" i="17"/>
  <c r="U84" i="17"/>
  <c r="CB85" i="17"/>
  <c r="CI85" i="17"/>
  <c r="BZ85" i="17"/>
  <c r="BU87" i="17"/>
  <c r="BT87" i="17"/>
  <c r="CW87" i="17"/>
  <c r="CK87" i="17"/>
  <c r="AB88" i="17"/>
  <c r="AF88" i="17"/>
  <c r="CT88" i="17"/>
  <c r="CG88" i="17"/>
  <c r="CE88" i="17"/>
  <c r="AY89" i="17"/>
  <c r="AO89" i="17"/>
  <c r="BD89" i="17"/>
  <c r="BU91" i="17"/>
  <c r="BT91" i="17"/>
  <c r="CW91" i="17"/>
  <c r="CK91" i="17"/>
  <c r="AB92" i="17"/>
  <c r="AE92" i="17"/>
  <c r="AF92" i="17"/>
  <c r="AE98" i="17"/>
  <c r="CT98" i="17"/>
  <c r="CG98" i="17"/>
  <c r="CE98" i="17"/>
  <c r="CO98" i="17"/>
  <c r="AE100" i="17"/>
  <c r="CT100" i="17"/>
  <c r="CG100" i="17"/>
  <c r="CE100" i="17"/>
  <c r="CO100" i="17"/>
  <c r="AQ76" i="17"/>
  <c r="AQ77" i="17"/>
  <c r="AO78" i="17"/>
  <c r="CE78" i="17"/>
  <c r="AO79" i="17"/>
  <c r="AQ80" i="17"/>
  <c r="AO82" i="17"/>
  <c r="AQ83" i="17"/>
  <c r="AY84" i="17"/>
  <c r="AO84" i="17"/>
  <c r="AE85" i="17"/>
  <c r="BU85" i="17"/>
  <c r="CA85" i="17"/>
  <c r="BD86" i="17"/>
  <c r="AQ86" i="17"/>
  <c r="AY86" i="17"/>
  <c r="BK86" i="17"/>
  <c r="U87" i="17"/>
  <c r="BU88" i="17"/>
  <c r="BT88" i="17"/>
  <c r="CW88" i="17"/>
  <c r="CK88" i="17"/>
  <c r="AB89" i="17"/>
  <c r="CT89" i="17"/>
  <c r="CG89" i="17"/>
  <c r="CE89" i="17"/>
  <c r="AY90" i="17"/>
  <c r="AO90" i="17"/>
  <c r="BD90" i="17"/>
  <c r="CO90" i="17"/>
  <c r="AQ91" i="17"/>
  <c r="BU92" i="17"/>
  <c r="BT92" i="17"/>
  <c r="CW92" i="17"/>
  <c r="CK92" i="17"/>
  <c r="CB93" i="17"/>
  <c r="CI93" i="17"/>
  <c r="CA93" i="17"/>
  <c r="BZ93" i="17"/>
  <c r="CL97" i="17"/>
  <c r="CU97" i="17"/>
  <c r="CY97" i="17"/>
  <c r="CX102" i="17"/>
  <c r="CM102" i="17"/>
  <c r="AQ98" i="17"/>
  <c r="CA98" i="17"/>
  <c r="AQ99" i="17"/>
  <c r="CA99" i="17"/>
  <c r="AQ100" i="17"/>
  <c r="CA100" i="17"/>
  <c r="AQ101" i="17"/>
  <c r="AY104" i="17"/>
  <c r="AO104" i="17"/>
  <c r="BU106" i="17"/>
  <c r="BT106" i="17"/>
  <c r="CW106" i="17"/>
  <c r="CK106" i="17"/>
  <c r="AB107" i="17"/>
  <c r="AF107" i="17"/>
  <c r="CT107" i="17"/>
  <c r="CG107" i="17"/>
  <c r="CE107" i="17"/>
  <c r="AY108" i="17"/>
  <c r="AO108" i="17"/>
  <c r="BD108" i="17"/>
  <c r="BG113" i="17"/>
  <c r="BH113" i="17"/>
  <c r="AO115" i="17"/>
  <c r="AY115" i="17"/>
  <c r="CE116" i="17"/>
  <c r="CO116" i="17"/>
  <c r="CG116" i="17"/>
  <c r="CT116" i="17"/>
  <c r="Z117" i="17"/>
  <c r="S117" i="17"/>
  <c r="W117" i="17"/>
  <c r="X117" i="17"/>
  <c r="U117" i="17"/>
  <c r="AB124" i="17"/>
  <c r="AF124" i="17"/>
  <c r="CB87" i="17"/>
  <c r="CI87" i="17"/>
  <c r="CB88" i="17"/>
  <c r="CI88" i="17"/>
  <c r="CB89" i="17"/>
  <c r="CI89" i="17"/>
  <c r="CB90" i="17"/>
  <c r="CI90" i="17"/>
  <c r="CB91" i="17"/>
  <c r="CI91" i="17"/>
  <c r="CB92" i="17"/>
  <c r="CI92" i="17"/>
  <c r="AQ93" i="17"/>
  <c r="U94" i="17"/>
  <c r="BD94" i="17"/>
  <c r="CE94" i="17"/>
  <c r="S95" i="17"/>
  <c r="Z95" i="17"/>
  <c r="BD95" i="17"/>
  <c r="S96" i="17"/>
  <c r="Z96" i="17"/>
  <c r="BD96" i="17"/>
  <c r="CE96" i="17"/>
  <c r="S97" i="17"/>
  <c r="Z97" i="17"/>
  <c r="CK97" i="17"/>
  <c r="CR97" i="17"/>
  <c r="CG97" i="17"/>
  <c r="DA97" i="17"/>
  <c r="BT98" i="17"/>
  <c r="CB98" i="17"/>
  <c r="CI98" i="17"/>
  <c r="BT99" i="17"/>
  <c r="CB99" i="17"/>
  <c r="CI99" i="17"/>
  <c r="BT100" i="17"/>
  <c r="CB100" i="17"/>
  <c r="CI100" i="17"/>
  <c r="BU101" i="17"/>
  <c r="CG101" i="17"/>
  <c r="S102" i="17"/>
  <c r="AQ102" i="17"/>
  <c r="BD102" i="17"/>
  <c r="AY102" i="17"/>
  <c r="BT103" i="17"/>
  <c r="CK103" i="17"/>
  <c r="AF104" i="17"/>
  <c r="CB104" i="17"/>
  <c r="CI104" i="17"/>
  <c r="CA104" i="17"/>
  <c r="BZ104" i="17"/>
  <c r="BK105" i="17"/>
  <c r="BI105" i="17"/>
  <c r="BU107" i="17"/>
  <c r="BT107" i="17"/>
  <c r="AB108" i="17"/>
  <c r="AF108" i="17"/>
  <c r="CL108" i="17"/>
  <c r="CX108" i="17"/>
  <c r="CY108" i="17"/>
  <c r="AE110" i="17"/>
  <c r="AF110" i="17"/>
  <c r="AV111" i="17"/>
  <c r="CB111" i="17"/>
  <c r="CI111" i="17"/>
  <c r="CA111" i="17"/>
  <c r="BZ111" i="17"/>
  <c r="CM112" i="17"/>
  <c r="CX112" i="17"/>
  <c r="BU113" i="17"/>
  <c r="BT113" i="17"/>
  <c r="BE114" i="17"/>
  <c r="BI114" i="17"/>
  <c r="AV114" i="17"/>
  <c r="BD115" i="17"/>
  <c r="CW117" i="17"/>
  <c r="CK117" i="17"/>
  <c r="CW119" i="17"/>
  <c r="CK119" i="17"/>
  <c r="BG93" i="17"/>
  <c r="BH93" i="17"/>
  <c r="AO94" i="17"/>
  <c r="AY94" i="17"/>
  <c r="CG94" i="17"/>
  <c r="CT94" i="17"/>
  <c r="U95" i="17"/>
  <c r="AO95" i="17"/>
  <c r="AY95" i="17"/>
  <c r="BZ95" i="17"/>
  <c r="U96" i="17"/>
  <c r="AO96" i="17"/>
  <c r="AY96" i="17"/>
  <c r="CG96" i="17"/>
  <c r="CT96" i="17"/>
  <c r="U97" i="17"/>
  <c r="AF98" i="17"/>
  <c r="BD98" i="17"/>
  <c r="BD99" i="17"/>
  <c r="AF100" i="17"/>
  <c r="BD100" i="17"/>
  <c r="S101" i="17"/>
  <c r="Z101" i="17"/>
  <c r="BD101" i="17"/>
  <c r="U102" i="17"/>
  <c r="CK102" i="17"/>
  <c r="W103" i="17"/>
  <c r="X103" i="17"/>
  <c r="Z103" i="17"/>
  <c r="S103" i="17"/>
  <c r="CO103" i="17"/>
  <c r="CE103" i="17"/>
  <c r="BD104" i="17"/>
  <c r="CM105" i="17"/>
  <c r="CX105" i="17"/>
  <c r="AE107" i="17"/>
  <c r="BU108" i="17"/>
  <c r="BT108" i="17"/>
  <c r="AV110" i="17"/>
  <c r="CB110" i="17"/>
  <c r="CI110" i="17"/>
  <c r="CA110" i="17"/>
  <c r="BZ110" i="17"/>
  <c r="CW113" i="17"/>
  <c r="CK113" i="17"/>
  <c r="CB114" i="17"/>
  <c r="CI114" i="17"/>
  <c r="CA114" i="17"/>
  <c r="BZ114" i="17"/>
  <c r="BT115" i="17"/>
  <c r="BU115" i="17"/>
  <c r="AV116" i="17"/>
  <c r="BE116" i="17"/>
  <c r="BI116" i="17"/>
  <c r="BU117" i="17"/>
  <c r="BT117" i="17"/>
  <c r="BU119" i="17"/>
  <c r="BT119" i="17"/>
  <c r="CE120" i="17"/>
  <c r="CO120" i="17"/>
  <c r="CG120" i="17"/>
  <c r="CT120" i="17"/>
  <c r="AY121" i="17"/>
  <c r="AO121" i="17"/>
  <c r="BD121" i="17"/>
  <c r="AQ121" i="17"/>
  <c r="CM124" i="17"/>
  <c r="BE130" i="17"/>
  <c r="BI130" i="17"/>
  <c r="AV130" i="17"/>
  <c r="CL134" i="17"/>
  <c r="CU134" i="17"/>
  <c r="CY134" i="17"/>
  <c r="U93" i="17"/>
  <c r="AE93" i="17"/>
  <c r="AQ94" i="17"/>
  <c r="BK94" i="17"/>
  <c r="AQ95" i="17"/>
  <c r="AQ96" i="17"/>
  <c r="W97" i="17"/>
  <c r="X97" i="17"/>
  <c r="CZ97" i="17"/>
  <c r="AO98" i="17"/>
  <c r="AO99" i="17"/>
  <c r="AO100" i="17"/>
  <c r="AO101" i="17"/>
  <c r="BK101" i="17"/>
  <c r="CA101" i="17"/>
  <c r="W102" i="17"/>
  <c r="X102" i="17"/>
  <c r="AO102" i="17"/>
  <c r="CO102" i="17"/>
  <c r="AQ104" i="17"/>
  <c r="BK104" i="17"/>
  <c r="AF105" i="17"/>
  <c r="CT106" i="17"/>
  <c r="CG106" i="17"/>
  <c r="CE106" i="17"/>
  <c r="AY107" i="17"/>
  <c r="AO107" i="17"/>
  <c r="BD107" i="17"/>
  <c r="CO107" i="17"/>
  <c r="AE108" i="17"/>
  <c r="AQ108" i="17"/>
  <c r="CB109" i="17"/>
  <c r="CI109" i="17"/>
  <c r="CA109" i="17"/>
  <c r="BZ109" i="17"/>
  <c r="CL113" i="17"/>
  <c r="CU113" i="17"/>
  <c r="AS114" i="17"/>
  <c r="AQ115" i="17"/>
  <c r="BK115" i="17"/>
  <c r="CW115" i="17"/>
  <c r="CK115" i="17"/>
  <c r="BI120" i="17"/>
  <c r="BU123" i="17"/>
  <c r="BT123" i="17"/>
  <c r="CW123" i="17"/>
  <c r="CK123" i="17"/>
  <c r="CE105" i="17"/>
  <c r="S106" i="17"/>
  <c r="Z106" i="17"/>
  <c r="BB106" i="17"/>
  <c r="CB106" i="17"/>
  <c r="CI106" i="17"/>
  <c r="CB107" i="17"/>
  <c r="CI107" i="17"/>
  <c r="CG108" i="17"/>
  <c r="CK108" i="17"/>
  <c r="DA108" i="17"/>
  <c r="AO109" i="17"/>
  <c r="AY109" i="17"/>
  <c r="AO110" i="17"/>
  <c r="AY110" i="17"/>
  <c r="AO111" i="17"/>
  <c r="AY111" i="17"/>
  <c r="BD112" i="17"/>
  <c r="CE112" i="17"/>
  <c r="S113" i="17"/>
  <c r="Z113" i="17"/>
  <c r="CO113" i="17"/>
  <c r="Z114" i="17"/>
  <c r="AO114" i="17"/>
  <c r="U115" i="17"/>
  <c r="CE115" i="17"/>
  <c r="CT115" i="17"/>
  <c r="BI117" i="17"/>
  <c r="CE117" i="17"/>
  <c r="Z118" i="17"/>
  <c r="S118" i="17"/>
  <c r="W118" i="17"/>
  <c r="X118" i="17"/>
  <c r="BU118" i="17"/>
  <c r="BT118" i="17"/>
  <c r="CW118" i="17"/>
  <c r="CK118" i="17"/>
  <c r="CE119" i="17"/>
  <c r="CO119" i="17"/>
  <c r="Z120" i="17"/>
  <c r="S120" i="17"/>
  <c r="W120" i="17"/>
  <c r="X120" i="17"/>
  <c r="CT121" i="17"/>
  <c r="CG121" i="17"/>
  <c r="CE121" i="17"/>
  <c r="AY122" i="17"/>
  <c r="AO122" i="17"/>
  <c r="BD122" i="17"/>
  <c r="BE126" i="17"/>
  <c r="BI126" i="17"/>
  <c r="CX143" i="17"/>
  <c r="CY143" i="17"/>
  <c r="CM143" i="17"/>
  <c r="BJ105" i="17"/>
  <c r="BV105" i="17"/>
  <c r="CG105" i="17"/>
  <c r="CT105" i="17"/>
  <c r="U106" i="17"/>
  <c r="AQ109" i="17"/>
  <c r="AQ110" i="17"/>
  <c r="AQ111" i="17"/>
  <c r="AO112" i="17"/>
  <c r="AY112" i="17"/>
  <c r="CG112" i="17"/>
  <c r="CT112" i="17"/>
  <c r="U113" i="17"/>
  <c r="AO113" i="17"/>
  <c r="BD113" i="17"/>
  <c r="CE113" i="17"/>
  <c r="S114" i="17"/>
  <c r="AQ114" i="17"/>
  <c r="W115" i="17"/>
  <c r="X115" i="17"/>
  <c r="CG115" i="17"/>
  <c r="U116" i="17"/>
  <c r="AE116" i="17"/>
  <c r="CT117" i="17"/>
  <c r="BE118" i="17"/>
  <c r="BI118" i="17"/>
  <c r="CO118" i="17"/>
  <c r="Z119" i="17"/>
  <c r="S119" i="17"/>
  <c r="W119" i="17"/>
  <c r="X119" i="17"/>
  <c r="CT119" i="17"/>
  <c r="BU121" i="17"/>
  <c r="BT121" i="17"/>
  <c r="CW121" i="17"/>
  <c r="CK121" i="17"/>
  <c r="AB122" i="17"/>
  <c r="AE122" i="17"/>
  <c r="CT122" i="17"/>
  <c r="CG122" i="17"/>
  <c r="CE122" i="17"/>
  <c r="AY123" i="17"/>
  <c r="AO123" i="17"/>
  <c r="BD123" i="17"/>
  <c r="AE124" i="17"/>
  <c r="AV125" i="17"/>
  <c r="BE128" i="17"/>
  <c r="BI128" i="17"/>
  <c r="AV128" i="17"/>
  <c r="Z133" i="17"/>
  <c r="S133" i="17"/>
  <c r="W133" i="17"/>
  <c r="X133" i="17"/>
  <c r="U133" i="17"/>
  <c r="Z134" i="17"/>
  <c r="S134" i="17"/>
  <c r="W134" i="17"/>
  <c r="X134" i="17"/>
  <c r="U134" i="17"/>
  <c r="AQ103" i="17"/>
  <c r="BK103" i="17"/>
  <c r="BJ106" i="17"/>
  <c r="CR108" i="17"/>
  <c r="AQ112" i="17"/>
  <c r="AQ113" i="17"/>
  <c r="BU116" i="17"/>
  <c r="BT116" i="17"/>
  <c r="CW116" i="17"/>
  <c r="CK116" i="17"/>
  <c r="BU120" i="17"/>
  <c r="BT120" i="17"/>
  <c r="CW120" i="17"/>
  <c r="CK120" i="17"/>
  <c r="BU122" i="17"/>
  <c r="BT122" i="17"/>
  <c r="AB123" i="17"/>
  <c r="AE123" i="17"/>
  <c r="CT123" i="17"/>
  <c r="CG123" i="17"/>
  <c r="CE123" i="17"/>
  <c r="AQ124" i="17"/>
  <c r="AY124" i="17"/>
  <c r="AO124" i="17"/>
  <c r="BD124" i="17"/>
  <c r="AS125" i="17"/>
  <c r="CB125" i="17"/>
  <c r="CI125" i="17"/>
  <c r="CA125" i="17"/>
  <c r="BZ125" i="17"/>
  <c r="CX126" i="17"/>
  <c r="CM126" i="17"/>
  <c r="CZ126" i="17"/>
  <c r="CM129" i="17"/>
  <c r="CX129" i="17"/>
  <c r="BU131" i="17"/>
  <c r="BT131" i="17"/>
  <c r="AB136" i="17"/>
  <c r="BT137" i="17"/>
  <c r="BU137" i="17"/>
  <c r="AY143" i="17"/>
  <c r="AO143" i="17"/>
  <c r="BD143" i="17"/>
  <c r="AQ143" i="17"/>
  <c r="AQ116" i="17"/>
  <c r="BK116" i="17"/>
  <c r="AQ117" i="17"/>
  <c r="BK117" i="17"/>
  <c r="AQ118" i="17"/>
  <c r="BK118" i="17"/>
  <c r="AQ119" i="17"/>
  <c r="AQ120" i="17"/>
  <c r="BB120" i="17"/>
  <c r="CB121" i="17"/>
  <c r="CI121" i="17"/>
  <c r="CB122" i="17"/>
  <c r="CI122" i="17"/>
  <c r="CB123" i="17"/>
  <c r="CI123" i="17"/>
  <c r="CE124" i="17"/>
  <c r="S125" i="17"/>
  <c r="Z125" i="17"/>
  <c r="AQ126" i="17"/>
  <c r="BK126" i="17"/>
  <c r="CR126" i="17"/>
  <c r="Z127" i="17"/>
  <c r="S127" i="17"/>
  <c r="W127" i="17"/>
  <c r="X127" i="17"/>
  <c r="CW127" i="17"/>
  <c r="AF130" i="17"/>
  <c r="CX130" i="17"/>
  <c r="CY130" i="17"/>
  <c r="BU132" i="17"/>
  <c r="BT132" i="17"/>
  <c r="BU133" i="17"/>
  <c r="BT133" i="17"/>
  <c r="CZ134" i="17"/>
  <c r="CY135" i="17"/>
  <c r="BT143" i="17"/>
  <c r="BU143" i="17"/>
  <c r="CR144" i="17"/>
  <c r="CG124" i="17"/>
  <c r="CT124" i="17"/>
  <c r="U125" i="17"/>
  <c r="CM128" i="17"/>
  <c r="CX128" i="17"/>
  <c r="CY128" i="17"/>
  <c r="CM130" i="17"/>
  <c r="CR137" i="17"/>
  <c r="CU126" i="17"/>
  <c r="CY126" i="17"/>
  <c r="DA126" i="17"/>
  <c r="AY127" i="17"/>
  <c r="AO127" i="17"/>
  <c r="BD127" i="17"/>
  <c r="CY129" i="17"/>
  <c r="AE131" i="17"/>
  <c r="AF131" i="17"/>
  <c r="BE131" i="17"/>
  <c r="BI131" i="17"/>
  <c r="DA131" i="17"/>
  <c r="Z132" i="17"/>
  <c r="S132" i="17"/>
  <c r="W132" i="17"/>
  <c r="X132" i="17"/>
  <c r="AQ134" i="17"/>
  <c r="BV134" i="17"/>
  <c r="BU146" i="17"/>
  <c r="BT146" i="17"/>
  <c r="U128" i="17"/>
  <c r="AF128" i="17"/>
  <c r="AO128" i="17"/>
  <c r="AQ128" i="17"/>
  <c r="AY128" i="17"/>
  <c r="BK128" i="17"/>
  <c r="CL128" i="17"/>
  <c r="CZ128" i="17"/>
  <c r="CR128" i="17"/>
  <c r="AO129" i="17"/>
  <c r="AQ129" i="17"/>
  <c r="AY129" i="17"/>
  <c r="BK129" i="17"/>
  <c r="CL129" i="17"/>
  <c r="CZ129" i="17"/>
  <c r="CR129" i="17"/>
  <c r="AO130" i="17"/>
  <c r="AY130" i="17"/>
  <c r="CL130" i="17"/>
  <c r="CZ130" i="17"/>
  <c r="CR130" i="17"/>
  <c r="AQ131" i="17"/>
  <c r="BK131" i="17"/>
  <c r="AQ132" i="17"/>
  <c r="AQ133" i="17"/>
  <c r="BV133" i="17"/>
  <c r="BJ134" i="17"/>
  <c r="BB136" i="17"/>
  <c r="DA136" i="17"/>
  <c r="BJ137" i="17"/>
  <c r="CY137" i="17"/>
  <c r="U138" i="17"/>
  <c r="AB138" i="17"/>
  <c r="AF138" i="17"/>
  <c r="DA138" i="17"/>
  <c r="CZ138" i="17"/>
  <c r="AB140" i="17"/>
  <c r="AE140" i="17"/>
  <c r="CR140" i="17"/>
  <c r="CX140" i="17"/>
  <c r="CY140" i="17"/>
  <c r="BT144" i="17"/>
  <c r="BU144" i="17"/>
  <c r="BZ127" i="17"/>
  <c r="AQ130" i="17"/>
  <c r="CZ131" i="17"/>
  <c r="CZ132" i="17"/>
  <c r="CZ133" i="17"/>
  <c r="DA134" i="17"/>
  <c r="AY135" i="17"/>
  <c r="AO135" i="17"/>
  <c r="BD135" i="17"/>
  <c r="CR135" i="17"/>
  <c r="DA135" i="17"/>
  <c r="CZ135" i="17"/>
  <c r="BU136" i="17"/>
  <c r="BT136" i="17"/>
  <c r="CL136" i="17"/>
  <c r="CZ136" i="17"/>
  <c r="U139" i="17"/>
  <c r="AY140" i="17"/>
  <c r="AO140" i="17"/>
  <c r="BD140" i="17"/>
  <c r="BU141" i="17"/>
  <c r="BT141" i="17"/>
  <c r="Z142" i="17"/>
  <c r="S142" i="17"/>
  <c r="W142" i="17"/>
  <c r="X142" i="17"/>
  <c r="BG142" i="17"/>
  <c r="BH142" i="17"/>
  <c r="BI142" i="17"/>
  <c r="CX142" i="17"/>
  <c r="CY142" i="17"/>
  <c r="CM142" i="17"/>
  <c r="AY144" i="17"/>
  <c r="AO144" i="17"/>
  <c r="AQ144" i="17"/>
  <c r="BD144" i="17"/>
  <c r="BI146" i="17"/>
  <c r="CR146" i="17"/>
  <c r="DA146" i="17"/>
  <c r="CZ146" i="17"/>
  <c r="Z137" i="17"/>
  <c r="S137" i="17"/>
  <c r="W137" i="17"/>
  <c r="X137" i="17"/>
  <c r="BB137" i="17"/>
  <c r="BK137" i="17"/>
  <c r="Z139" i="17"/>
  <c r="S139" i="17"/>
  <c r="W139" i="17"/>
  <c r="X139" i="17"/>
  <c r="CR139" i="17"/>
  <c r="DA142" i="17"/>
  <c r="DA143" i="17"/>
  <c r="AB144" i="17"/>
  <c r="DA148" i="17"/>
  <c r="CZ148" i="17"/>
  <c r="CR148" i="17"/>
  <c r="AQ139" i="17"/>
  <c r="BV139" i="17"/>
  <c r="U141" i="17"/>
  <c r="CR143" i="17"/>
  <c r="DA145" i="17"/>
  <c r="CR145" i="17"/>
  <c r="CZ145" i="17"/>
  <c r="CY146" i="17"/>
  <c r="W147" i="17"/>
  <c r="X147" i="17"/>
  <c r="Z147" i="17"/>
  <c r="S147" i="17"/>
  <c r="BB147" i="17"/>
  <c r="BK147" i="17"/>
  <c r="BU147" i="17"/>
  <c r="BT147" i="17"/>
  <c r="CY148" i="17"/>
  <c r="AQ138" i="17"/>
  <c r="BK138" i="17"/>
  <c r="CR141" i="17"/>
  <c r="AQ142" i="17"/>
  <c r="BV142" i="17"/>
  <c r="CZ142" i="17"/>
  <c r="CZ143" i="17"/>
  <c r="BT145" i="17"/>
  <c r="CY145" i="17"/>
  <c r="Z146" i="17"/>
  <c r="S146" i="17"/>
  <c r="W146" i="17"/>
  <c r="X146" i="17"/>
  <c r="BV147" i="17"/>
  <c r="AQ141" i="17"/>
  <c r="BB141" i="17"/>
  <c r="BD145" i="17"/>
  <c r="AQ146" i="17"/>
  <c r="BV146" i="17"/>
  <c r="DA147" i="17"/>
  <c r="S148" i="17"/>
  <c r="Z148" i="17"/>
  <c r="BD148" i="17"/>
  <c r="U148" i="17"/>
  <c r="AO148" i="17"/>
  <c r="AY148" i="17"/>
  <c r="AQ145" i="17"/>
  <c r="AQ148" i="17"/>
  <c r="BK134" i="17"/>
  <c r="AF73" i="17"/>
  <c r="BJ66" i="17"/>
  <c r="AF77" i="17"/>
  <c r="AE64" i="17"/>
  <c r="AF64" i="17"/>
  <c r="BV59" i="17"/>
  <c r="AF42" i="17"/>
  <c r="AE31" i="17"/>
  <c r="AF31" i="17"/>
  <c r="BK146" i="17"/>
  <c r="BK130" i="17"/>
  <c r="BK140" i="17"/>
  <c r="AE138" i="17"/>
  <c r="BK127" i="17"/>
  <c r="BB20" i="17"/>
  <c r="AE27" i="17"/>
  <c r="AE103" i="17"/>
  <c r="BK63" i="17"/>
  <c r="AF140" i="17"/>
  <c r="BJ125" i="17"/>
  <c r="AE136" i="17"/>
  <c r="AE105" i="17"/>
  <c r="AF141" i="17"/>
  <c r="AE126" i="17"/>
  <c r="BB118" i="17"/>
  <c r="AE109" i="17"/>
  <c r="AE90" i="17"/>
  <c r="CE39" i="17"/>
  <c r="CR39" i="17"/>
  <c r="CG39" i="17"/>
  <c r="BK133" i="17"/>
  <c r="BK67" i="17"/>
  <c r="AE44" i="17"/>
  <c r="AF115" i="17"/>
  <c r="CG102" i="17"/>
  <c r="CT102" i="17"/>
  <c r="CW66" i="17"/>
  <c r="CK66" i="17"/>
  <c r="CR66" i="17"/>
  <c r="BE53" i="17"/>
  <c r="BI53" i="17"/>
  <c r="AV53" i="17"/>
  <c r="CT48" i="17"/>
  <c r="CO48" i="17"/>
  <c r="CX28" i="17"/>
  <c r="CM28" i="17"/>
  <c r="AE147" i="17"/>
  <c r="AE141" i="17"/>
  <c r="BB131" i="17"/>
  <c r="AF129" i="17"/>
  <c r="AF125" i="17"/>
  <c r="BB134" i="17"/>
  <c r="BJ118" i="17"/>
  <c r="BK125" i="17"/>
  <c r="AF133" i="17"/>
  <c r="BB116" i="17"/>
  <c r="AE118" i="17"/>
  <c r="BK121" i="17"/>
  <c r="CK107" i="17"/>
  <c r="AF94" i="17"/>
  <c r="AE89" i="17"/>
  <c r="CE92" i="17"/>
  <c r="AE91" i="17"/>
  <c r="BK82" i="17"/>
  <c r="BK75" i="17"/>
  <c r="BV53" i="17"/>
  <c r="CG48" i="17"/>
  <c r="BK27" i="17"/>
  <c r="BH56" i="17"/>
  <c r="BK51" i="17"/>
  <c r="AE48" i="17"/>
  <c r="AF36" i="17"/>
  <c r="BB34" i="17"/>
  <c r="CT46" i="17"/>
  <c r="BJ33" i="17"/>
  <c r="AF25" i="17"/>
  <c r="AF44" i="17"/>
  <c r="CO33" i="17"/>
  <c r="AF10" i="17"/>
  <c r="CT103" i="17"/>
  <c r="CG103" i="17"/>
  <c r="AE130" i="17"/>
  <c r="CW55" i="17"/>
  <c r="CK55" i="17"/>
  <c r="BE71" i="17"/>
  <c r="BI71" i="17"/>
  <c r="AV71" i="17"/>
  <c r="BJ71" i="17"/>
  <c r="BE60" i="17"/>
  <c r="BI60" i="17"/>
  <c r="AV60" i="17"/>
  <c r="BB60" i="17"/>
  <c r="CE38" i="17"/>
  <c r="CR38" i="17"/>
  <c r="CO38" i="17"/>
  <c r="CG38" i="17"/>
  <c r="BE17" i="17"/>
  <c r="BI17" i="17"/>
  <c r="AV17" i="17"/>
  <c r="BB17" i="17"/>
  <c r="CG118" i="17"/>
  <c r="CT118" i="17"/>
  <c r="BE132" i="17"/>
  <c r="BI132" i="17"/>
  <c r="AV132" i="17"/>
  <c r="BB132" i="17"/>
  <c r="AE99" i="17"/>
  <c r="CW77" i="17"/>
  <c r="CK77" i="17"/>
  <c r="BB146" i="17"/>
  <c r="AF146" i="17"/>
  <c r="AE144" i="17"/>
  <c r="CK122" i="17"/>
  <c r="AE119" i="17"/>
  <c r="AE114" i="17"/>
  <c r="AF113" i="17"/>
  <c r="AF126" i="17"/>
  <c r="AF109" i="17"/>
  <c r="AF101" i="17"/>
  <c r="BK96" i="17"/>
  <c r="BK95" i="17"/>
  <c r="AF102" i="17"/>
  <c r="AE95" i="17"/>
  <c r="BV93" i="17"/>
  <c r="AF111" i="17"/>
  <c r="AF87" i="17"/>
  <c r="BV86" i="17"/>
  <c r="CG92" i="17"/>
  <c r="CK79" i="17"/>
  <c r="CK90" i="17"/>
  <c r="BK81" i="17"/>
  <c r="AF90" i="17"/>
  <c r="BK55" i="17"/>
  <c r="AE63" i="17"/>
  <c r="AF63" i="17"/>
  <c r="BK59" i="17"/>
  <c r="BI56" i="17"/>
  <c r="BJ48" i="17"/>
  <c r="BJ56" i="17"/>
  <c r="BK47" i="17"/>
  <c r="AE46" i="17"/>
  <c r="BK41" i="17"/>
  <c r="AF34" i="17"/>
  <c r="BK33" i="17"/>
  <c r="BB47" i="17"/>
  <c r="AE20" i="17"/>
  <c r="AE18" i="17"/>
  <c r="BV20" i="17"/>
  <c r="DA22" i="17"/>
  <c r="BK53" i="17"/>
  <c r="BK40" i="17"/>
  <c r="CR33" i="17"/>
  <c r="BV32" i="17"/>
  <c r="BV33" i="17"/>
  <c r="CK14" i="17"/>
  <c r="AF14" i="17"/>
  <c r="BK20" i="17"/>
  <c r="BE138" i="17"/>
  <c r="BI138" i="17"/>
  <c r="AV138" i="17"/>
  <c r="BE133" i="17"/>
  <c r="BI133" i="17"/>
  <c r="AV133" i="17"/>
  <c r="BB133" i="17"/>
  <c r="CG86" i="17"/>
  <c r="CT86" i="17"/>
  <c r="BK87" i="17"/>
  <c r="BE52" i="17"/>
  <c r="BI52" i="17"/>
  <c r="AV52" i="17"/>
  <c r="BB52" i="17"/>
  <c r="CG37" i="17"/>
  <c r="CT37" i="17"/>
  <c r="CO37" i="17"/>
  <c r="CT35" i="17"/>
  <c r="CO35" i="17"/>
  <c r="BB138" i="17"/>
  <c r="AF139" i="17"/>
  <c r="AE127" i="17"/>
  <c r="AF136" i="17"/>
  <c r="BK124" i="17"/>
  <c r="AE134" i="17"/>
  <c r="BK111" i="17"/>
  <c r="AE120" i="17"/>
  <c r="CO117" i="17"/>
  <c r="BK108" i="17"/>
  <c r="CE102" i="17"/>
  <c r="CR102" i="17"/>
  <c r="AF99" i="17"/>
  <c r="CU101" i="17"/>
  <c r="AE96" i="17"/>
  <c r="AF117" i="17"/>
  <c r="AF85" i="17"/>
  <c r="CT92" i="17"/>
  <c r="AF78" i="17"/>
  <c r="AE73" i="17"/>
  <c r="BB66" i="17"/>
  <c r="BB58" i="17"/>
  <c r="AF58" i="17"/>
  <c r="BK56" i="17"/>
  <c r="AE52" i="17"/>
  <c r="BK37" i="17"/>
  <c r="AE38" i="17"/>
  <c r="BK36" i="17"/>
  <c r="CT33" i="17"/>
  <c r="DA33" i="17"/>
  <c r="CE46" i="17"/>
  <c r="CM30" i="17"/>
  <c r="BB19" i="17"/>
  <c r="BB15" i="17"/>
  <c r="AE16" i="17"/>
  <c r="CR23" i="17"/>
  <c r="BJ20" i="17"/>
  <c r="AE14" i="17"/>
  <c r="BE119" i="17"/>
  <c r="BI119" i="17"/>
  <c r="AV119" i="17"/>
  <c r="BJ119" i="17"/>
  <c r="BE93" i="17"/>
  <c r="BI93" i="17"/>
  <c r="AV93" i="17"/>
  <c r="BE81" i="17"/>
  <c r="BI81" i="17"/>
  <c r="AV81" i="17"/>
  <c r="BE61" i="17"/>
  <c r="BI61" i="17"/>
  <c r="AV61" i="17"/>
  <c r="BB61" i="17"/>
  <c r="BE59" i="17"/>
  <c r="BI59" i="17"/>
  <c r="AV59" i="17"/>
  <c r="BJ59" i="17"/>
  <c r="BE87" i="17"/>
  <c r="BI87" i="17"/>
  <c r="AV87" i="17"/>
  <c r="BB87" i="17"/>
  <c r="BE49" i="17"/>
  <c r="BI49" i="17"/>
  <c r="AV49" i="17"/>
  <c r="CT40" i="17"/>
  <c r="CO40" i="17"/>
  <c r="BE16" i="17"/>
  <c r="BI16" i="17"/>
  <c r="AV16" i="17"/>
  <c r="BJ16" i="17"/>
  <c r="AF144" i="17"/>
  <c r="BV141" i="17"/>
  <c r="BB139" i="17"/>
  <c r="AE137" i="17"/>
  <c r="BE144" i="17"/>
  <c r="BI144" i="17"/>
  <c r="AV144" i="17"/>
  <c r="AE142" i="17"/>
  <c r="BV135" i="17"/>
  <c r="BK142" i="17"/>
  <c r="AE132" i="17"/>
  <c r="BK132" i="17"/>
  <c r="BE143" i="17"/>
  <c r="BI143" i="17"/>
  <c r="AV143" i="17"/>
  <c r="CW125" i="17"/>
  <c r="CK125" i="17"/>
  <c r="BE124" i="17"/>
  <c r="BI124" i="17"/>
  <c r="AV124" i="17"/>
  <c r="AF123" i="17"/>
  <c r="AF122" i="17"/>
  <c r="AF116" i="17"/>
  <c r="BV113" i="17"/>
  <c r="BV132" i="17"/>
  <c r="BV126" i="17"/>
  <c r="BB117" i="17"/>
  <c r="BE112" i="17"/>
  <c r="BI112" i="17"/>
  <c r="AV112" i="17"/>
  <c r="BB110" i="17"/>
  <c r="BV110" i="17"/>
  <c r="BJ110" i="17"/>
  <c r="CM123" i="17"/>
  <c r="CX123" i="17"/>
  <c r="BK119" i="17"/>
  <c r="AE115" i="17"/>
  <c r="CW109" i="17"/>
  <c r="CK109" i="17"/>
  <c r="BV107" i="17"/>
  <c r="CL106" i="17"/>
  <c r="CU106" i="17"/>
  <c r="BV99" i="17"/>
  <c r="CR120" i="17"/>
  <c r="DA120" i="17"/>
  <c r="AV102" i="17"/>
  <c r="BE102" i="17"/>
  <c r="BI102" i="17"/>
  <c r="AE97" i="17"/>
  <c r="AF97" i="17"/>
  <c r="CR116" i="17"/>
  <c r="DA116" i="17"/>
  <c r="CR107" i="17"/>
  <c r="DA107" i="17"/>
  <c r="CW98" i="17"/>
  <c r="CK98" i="17"/>
  <c r="BE90" i="17"/>
  <c r="BI90" i="17"/>
  <c r="AV90" i="17"/>
  <c r="BJ90" i="17"/>
  <c r="BV79" i="17"/>
  <c r="CL100" i="17"/>
  <c r="CU100" i="17"/>
  <c r="BB93" i="17"/>
  <c r="CL92" i="17"/>
  <c r="CU92" i="17"/>
  <c r="CM91" i="17"/>
  <c r="CX91" i="17"/>
  <c r="CR88" i="17"/>
  <c r="DA88" i="17"/>
  <c r="BV83" i="17"/>
  <c r="BV80" i="17"/>
  <c r="BV77" i="17"/>
  <c r="BE97" i="17"/>
  <c r="BI97" i="17"/>
  <c r="AV97" i="17"/>
  <c r="CM94" i="17"/>
  <c r="CX94" i="17"/>
  <c r="AF91" i="17"/>
  <c r="BV88" i="17"/>
  <c r="BK88" i="17"/>
  <c r="CL87" i="17"/>
  <c r="CU87" i="17"/>
  <c r="CW84" i="17"/>
  <c r="CK84" i="17"/>
  <c r="AE84" i="17"/>
  <c r="BE77" i="17"/>
  <c r="BI77" i="17"/>
  <c r="AV77" i="17"/>
  <c r="BB77" i="17"/>
  <c r="BE91" i="17"/>
  <c r="BI91" i="17"/>
  <c r="AV91" i="17"/>
  <c r="AE88" i="17"/>
  <c r="BV81" i="17"/>
  <c r="CR77" i="17"/>
  <c r="DA77" i="17"/>
  <c r="CR76" i="17"/>
  <c r="DA76" i="17"/>
  <c r="AF75" i="17"/>
  <c r="AE94" i="17"/>
  <c r="BK83" i="17"/>
  <c r="CL82" i="17"/>
  <c r="CU82" i="17"/>
  <c r="CY82" i="17"/>
  <c r="BV74" i="17"/>
  <c r="BV73" i="17"/>
  <c r="CW71" i="17"/>
  <c r="CK71" i="17"/>
  <c r="BE69" i="17"/>
  <c r="BI69" i="17"/>
  <c r="AV69" i="17"/>
  <c r="CT65" i="17"/>
  <c r="CG65" i="17"/>
  <c r="CE65" i="17"/>
  <c r="CO65" i="17"/>
  <c r="BK80" i="17"/>
  <c r="CM75" i="17"/>
  <c r="CX75" i="17"/>
  <c r="BJ68" i="17"/>
  <c r="DA66" i="17"/>
  <c r="BJ61" i="17"/>
  <c r="BJ57" i="17"/>
  <c r="BK71" i="17"/>
  <c r="DA68" i="17"/>
  <c r="BV65" i="17"/>
  <c r="BK65" i="17"/>
  <c r="BK61" i="17"/>
  <c r="BK57" i="17"/>
  <c r="BV54" i="17"/>
  <c r="BV49" i="17"/>
  <c r="BJ49" i="17"/>
  <c r="BB49" i="17"/>
  <c r="BK49" i="17"/>
  <c r="BK70" i="17"/>
  <c r="BK62" i="17"/>
  <c r="CO60" i="17"/>
  <c r="CT60" i="17"/>
  <c r="CG60" i="17"/>
  <c r="CE60" i="17"/>
  <c r="CW59" i="17"/>
  <c r="CK59" i="17"/>
  <c r="BV58" i="17"/>
  <c r="CO56" i="17"/>
  <c r="CT56" i="17"/>
  <c r="CG56" i="17"/>
  <c r="CE56" i="17"/>
  <c r="CU52" i="17"/>
  <c r="CL52" i="17"/>
  <c r="CU45" i="17"/>
  <c r="CY45" i="17"/>
  <c r="CL45" i="17"/>
  <c r="BE63" i="17"/>
  <c r="BI63" i="17"/>
  <c r="AV63" i="17"/>
  <c r="BJ63" i="17"/>
  <c r="CW62" i="17"/>
  <c r="CK62" i="17"/>
  <c r="CR52" i="17"/>
  <c r="DA52" i="17"/>
  <c r="BK50" i="17"/>
  <c r="BV44" i="17"/>
  <c r="BJ44" i="17"/>
  <c r="BB44" i="17"/>
  <c r="BV42" i="17"/>
  <c r="BJ42" i="17"/>
  <c r="BB42" i="17"/>
  <c r="CR37" i="17"/>
  <c r="DA37" i="17"/>
  <c r="BK72" i="17"/>
  <c r="CR69" i="17"/>
  <c r="DA69" i="17"/>
  <c r="AF59" i="17"/>
  <c r="CO51" i="17"/>
  <c r="CT51" i="17"/>
  <c r="CG51" i="17"/>
  <c r="CE51" i="17"/>
  <c r="CX49" i="17"/>
  <c r="CM49" i="17"/>
  <c r="CW42" i="17"/>
  <c r="CK42" i="17"/>
  <c r="BE35" i="17"/>
  <c r="BI35" i="17"/>
  <c r="AV35" i="17"/>
  <c r="BJ35" i="17"/>
  <c r="CL33" i="17"/>
  <c r="CU33" i="17"/>
  <c r="BV64" i="17"/>
  <c r="AF60" i="17"/>
  <c r="BV52" i="17"/>
  <c r="BV50" i="17"/>
  <c r="AE49" i="17"/>
  <c r="CU47" i="17"/>
  <c r="CY47" i="17"/>
  <c r="CL47" i="17"/>
  <c r="BV45" i="17"/>
  <c r="CX39" i="17"/>
  <c r="CM39" i="17"/>
  <c r="CZ39" i="17"/>
  <c r="CK29" i="17"/>
  <c r="CR29" i="17"/>
  <c r="CW29" i="17"/>
  <c r="DA23" i="17"/>
  <c r="CO18" i="17"/>
  <c r="CT18" i="17"/>
  <c r="CG18" i="17"/>
  <c r="CE18" i="17"/>
  <c r="BJ17" i="17"/>
  <c r="CU25" i="17"/>
  <c r="CL25" i="17"/>
  <c r="BV24" i="17"/>
  <c r="BK23" i="17"/>
  <c r="BK22" i="17"/>
  <c r="BJ21" i="17"/>
  <c r="BK11" i="17"/>
  <c r="BK28" i="17"/>
  <c r="BE25" i="17"/>
  <c r="BI25" i="17"/>
  <c r="AV25" i="17"/>
  <c r="BJ23" i="17"/>
  <c r="BV22" i="17"/>
  <c r="BV56" i="17"/>
  <c r="BV46" i="17"/>
  <c r="BK46" i="17"/>
  <c r="CW44" i="17"/>
  <c r="CK44" i="17"/>
  <c r="AE33" i="17"/>
  <c r="CX32" i="17"/>
  <c r="CM32" i="17"/>
  <c r="CX31" i="17"/>
  <c r="CM31" i="17"/>
  <c r="CO41" i="17"/>
  <c r="CT41" i="17"/>
  <c r="CG41" i="17"/>
  <c r="CE41" i="17"/>
  <c r="CU34" i="17"/>
  <c r="CL34" i="17"/>
  <c r="CY31" i="17"/>
  <c r="BK19" i="17"/>
  <c r="BK15" i="17"/>
  <c r="Z149" i="17"/>
  <c r="CR13" i="17"/>
  <c r="DA13" i="17"/>
  <c r="AE11" i="17"/>
  <c r="BJ24" i="17"/>
  <c r="BB22" i="17"/>
  <c r="BV17" i="17"/>
  <c r="CR14" i="17"/>
  <c r="DA14" i="17"/>
  <c r="CL12" i="17"/>
  <c r="CU12" i="17"/>
  <c r="BB21" i="17"/>
  <c r="AF17" i="17"/>
  <c r="BV148" i="17"/>
  <c r="BE140" i="17"/>
  <c r="BI140" i="17"/>
  <c r="AV140" i="17"/>
  <c r="CO127" i="17"/>
  <c r="CT127" i="17"/>
  <c r="CG127" i="17"/>
  <c r="CE127" i="17"/>
  <c r="CU124" i="17"/>
  <c r="CY124" i="17"/>
  <c r="CL124" i="17"/>
  <c r="BK141" i="17"/>
  <c r="BV143" i="17"/>
  <c r="BB143" i="17"/>
  <c r="BJ143" i="17"/>
  <c r="BV124" i="17"/>
  <c r="BJ124" i="17"/>
  <c r="BB124" i="17"/>
  <c r="CR123" i="17"/>
  <c r="DA123" i="17"/>
  <c r="CR122" i="17"/>
  <c r="DA122" i="17"/>
  <c r="CR118" i="17"/>
  <c r="DA118" i="17"/>
  <c r="CL117" i="17"/>
  <c r="CU117" i="17"/>
  <c r="BV112" i="17"/>
  <c r="BJ112" i="17"/>
  <c r="BB112" i="17"/>
  <c r="BJ132" i="17"/>
  <c r="BB126" i="17"/>
  <c r="CR121" i="17"/>
  <c r="DA121" i="17"/>
  <c r="CR119" i="17"/>
  <c r="DA119" i="17"/>
  <c r="CX118" i="17"/>
  <c r="CM118" i="17"/>
  <c r="CR117" i="17"/>
  <c r="DA117" i="17"/>
  <c r="BB114" i="17"/>
  <c r="BJ114" i="17"/>
  <c r="BV114" i="17"/>
  <c r="AE106" i="17"/>
  <c r="BK114" i="17"/>
  <c r="CW101" i="17"/>
  <c r="CK101" i="17"/>
  <c r="CR101" i="17"/>
  <c r="BV98" i="17"/>
  <c r="BK139" i="17"/>
  <c r="CL120" i="17"/>
  <c r="CU120" i="17"/>
  <c r="CO110" i="17"/>
  <c r="CT110" i="17"/>
  <c r="CG110" i="17"/>
  <c r="CE110" i="17"/>
  <c r="BE104" i="17"/>
  <c r="BI104" i="17"/>
  <c r="AV104" i="17"/>
  <c r="BJ104" i="17"/>
  <c r="BE99" i="17"/>
  <c r="BI99" i="17"/>
  <c r="AV99" i="17"/>
  <c r="BJ99" i="17"/>
  <c r="BV96" i="17"/>
  <c r="BV95" i="17"/>
  <c r="CX117" i="17"/>
  <c r="CM117" i="17"/>
  <c r="CM107" i="17"/>
  <c r="CX107" i="17"/>
  <c r="CR96" i="17"/>
  <c r="DA96" i="17"/>
  <c r="BB125" i="17"/>
  <c r="CL116" i="17"/>
  <c r="CU116" i="17"/>
  <c r="BE108" i="17"/>
  <c r="BI108" i="17"/>
  <c r="AV108" i="17"/>
  <c r="BB108" i="17"/>
  <c r="BV104" i="17"/>
  <c r="CW99" i="17"/>
  <c r="CK99" i="17"/>
  <c r="CR99" i="17"/>
  <c r="BK98" i="17"/>
  <c r="BV90" i="17"/>
  <c r="BB90" i="17"/>
  <c r="CL89" i="17"/>
  <c r="CU89" i="17"/>
  <c r="CM88" i="17"/>
  <c r="CX88" i="17"/>
  <c r="CL98" i="17"/>
  <c r="CU98" i="17"/>
  <c r="AF93" i="17"/>
  <c r="BE89" i="17"/>
  <c r="BI89" i="17"/>
  <c r="AV89" i="17"/>
  <c r="CU83" i="17"/>
  <c r="CL83" i="17"/>
  <c r="BE82" i="17"/>
  <c r="BI82" i="17"/>
  <c r="AV82" i="17"/>
  <c r="CU78" i="17"/>
  <c r="CL78" i="17"/>
  <c r="BB97" i="17"/>
  <c r="BV97" i="17"/>
  <c r="BJ97" i="17"/>
  <c r="CR91" i="17"/>
  <c r="DA91" i="17"/>
  <c r="CR83" i="17"/>
  <c r="DA83" i="17"/>
  <c r="BE80" i="17"/>
  <c r="BI80" i="17"/>
  <c r="AV80" i="17"/>
  <c r="BJ80" i="17"/>
  <c r="CW78" i="17"/>
  <c r="CK78" i="17"/>
  <c r="CR78" i="17"/>
  <c r="DA99" i="17"/>
  <c r="BV91" i="17"/>
  <c r="BJ91" i="17"/>
  <c r="BB91" i="17"/>
  <c r="CL90" i="17"/>
  <c r="CU90" i="17"/>
  <c r="CM89" i="17"/>
  <c r="CX89" i="17"/>
  <c r="AF79" i="17"/>
  <c r="CR75" i="17"/>
  <c r="DA75" i="17"/>
  <c r="CL74" i="17"/>
  <c r="CU74" i="17"/>
  <c r="CY74" i="17"/>
  <c r="BV69" i="17"/>
  <c r="BJ69" i="17"/>
  <c r="BB69" i="17"/>
  <c r="CO72" i="17"/>
  <c r="CT72" i="17"/>
  <c r="CG72" i="17"/>
  <c r="CE72" i="17"/>
  <c r="CO71" i="17"/>
  <c r="CT71" i="17"/>
  <c r="CG71" i="17"/>
  <c r="CE71" i="17"/>
  <c r="CU67" i="17"/>
  <c r="CY67" i="17"/>
  <c r="CL67" i="17"/>
  <c r="CZ67" i="17"/>
  <c r="DA63" i="17"/>
  <c r="CZ63" i="17"/>
  <c r="CL68" i="17"/>
  <c r="CZ68" i="17"/>
  <c r="CU68" i="17"/>
  <c r="CY68" i="17"/>
  <c r="CO61" i="17"/>
  <c r="CT61" i="17"/>
  <c r="CG61" i="17"/>
  <c r="CE61" i="17"/>
  <c r="CW60" i="17"/>
  <c r="CK60" i="17"/>
  <c r="CO57" i="17"/>
  <c r="CT57" i="17"/>
  <c r="CG57" i="17"/>
  <c r="CE57" i="17"/>
  <c r="CW56" i="17"/>
  <c r="CK56" i="17"/>
  <c r="CR55" i="17"/>
  <c r="DA55" i="17"/>
  <c r="CL53" i="17"/>
  <c r="CU53" i="17"/>
  <c r="BB68" i="17"/>
  <c r="BV63" i="17"/>
  <c r="BV62" i="17"/>
  <c r="AE56" i="17"/>
  <c r="BE37" i="17"/>
  <c r="BI37" i="17"/>
  <c r="AV37" i="17"/>
  <c r="CZ64" i="17"/>
  <c r="CR64" i="17"/>
  <c r="DA64" i="17"/>
  <c r="AE58" i="17"/>
  <c r="CW51" i="17"/>
  <c r="CK51" i="17"/>
  <c r="AE50" i="17"/>
  <c r="AF50" i="17"/>
  <c r="CX37" i="17"/>
  <c r="CM37" i="17"/>
  <c r="BV35" i="17"/>
  <c r="BB35" i="17"/>
  <c r="BJ34" i="17"/>
  <c r="AF52" i="17"/>
  <c r="CL46" i="17"/>
  <c r="CU46" i="17"/>
  <c r="BB38" i="17"/>
  <c r="BV38" i="17"/>
  <c r="BJ38" i="17"/>
  <c r="BJ31" i="17"/>
  <c r="BV31" i="17"/>
  <c r="BB31" i="17"/>
  <c r="BV30" i="17"/>
  <c r="BB27" i="17"/>
  <c r="BD149" i="17"/>
  <c r="AV10" i="17"/>
  <c r="BE10" i="17"/>
  <c r="CL30" i="17"/>
  <c r="CZ30" i="17"/>
  <c r="CU30" i="17"/>
  <c r="CY30" i="17"/>
  <c r="AE29" i="17"/>
  <c r="AF29" i="17"/>
  <c r="CW27" i="17"/>
  <c r="CK27" i="17"/>
  <c r="CW26" i="17"/>
  <c r="CK26" i="17"/>
  <c r="CW25" i="17"/>
  <c r="CK25" i="17"/>
  <c r="CO19" i="17"/>
  <c r="CT19" i="17"/>
  <c r="CG19" i="17"/>
  <c r="CE19" i="17"/>
  <c r="BJ18" i="17"/>
  <c r="CO15" i="17"/>
  <c r="CO149" i="17"/>
  <c r="CT15" i="17"/>
  <c r="CG15" i="17"/>
  <c r="CG149" i="17"/>
  <c r="CM152" i="17"/>
  <c r="CE15" i="17"/>
  <c r="BE29" i="17"/>
  <c r="BI29" i="17"/>
  <c r="AV29" i="17"/>
  <c r="CR27" i="17"/>
  <c r="CR25" i="17"/>
  <c r="BB56" i="17"/>
  <c r="CM52" i="17"/>
  <c r="CX52" i="17"/>
  <c r="AE51" i="17"/>
  <c r="AF51" i="17"/>
  <c r="CY39" i="17"/>
  <c r="BB39" i="17"/>
  <c r="BJ39" i="17"/>
  <c r="BV39" i="17"/>
  <c r="BK39" i="17"/>
  <c r="CX33" i="17"/>
  <c r="CM33" i="17"/>
  <c r="BB50" i="17"/>
  <c r="BV48" i="17"/>
  <c r="CW41" i="17"/>
  <c r="CK41" i="17"/>
  <c r="BE36" i="17"/>
  <c r="BI36" i="17"/>
  <c r="AV36" i="17"/>
  <c r="AE34" i="17"/>
  <c r="CO20" i="17"/>
  <c r="CT20" i="17"/>
  <c r="CG20" i="17"/>
  <c r="CE20" i="17"/>
  <c r="BK18" i="17"/>
  <c r="BE13" i="17"/>
  <c r="BI13" i="17"/>
  <c r="AV13" i="17"/>
  <c r="AW149" i="17"/>
  <c r="BK21" i="17"/>
  <c r="BV16" i="17"/>
  <c r="CR10" i="17"/>
  <c r="DA10" i="17"/>
  <c r="CZ10" i="17"/>
  <c r="AF18" i="17"/>
  <c r="BK32" i="17"/>
  <c r="AF21" i="17"/>
  <c r="BE14" i="17"/>
  <c r="BI14" i="17"/>
  <c r="AV14" i="17"/>
  <c r="BE12" i="17"/>
  <c r="BI12" i="17"/>
  <c r="AV12" i="17"/>
  <c r="AF19" i="17"/>
  <c r="CY10" i="17"/>
  <c r="AV145" i="17"/>
  <c r="BJ145" i="17"/>
  <c r="BE145" i="17"/>
  <c r="BI145" i="17"/>
  <c r="AE148" i="17"/>
  <c r="BJ141" i="17"/>
  <c r="BV145" i="17"/>
  <c r="BE148" i="17"/>
  <c r="BI148" i="17"/>
  <c r="AV148" i="17"/>
  <c r="BB148" i="17"/>
  <c r="BB142" i="17"/>
  <c r="BJ138" i="17"/>
  <c r="AE139" i="17"/>
  <c r="AF137" i="17"/>
  <c r="BB144" i="17"/>
  <c r="BV144" i="17"/>
  <c r="BJ144" i="17"/>
  <c r="AF142" i="17"/>
  <c r="BJ140" i="17"/>
  <c r="BV140" i="17"/>
  <c r="BB140" i="17"/>
  <c r="BV138" i="17"/>
  <c r="BK135" i="17"/>
  <c r="BJ142" i="17"/>
  <c r="BJ133" i="17"/>
  <c r="AF132" i="17"/>
  <c r="BE127" i="17"/>
  <c r="BI127" i="17"/>
  <c r="AV127" i="17"/>
  <c r="BK144" i="17"/>
  <c r="BV125" i="17"/>
  <c r="AE125" i="17"/>
  <c r="BJ116" i="17"/>
  <c r="BV116" i="17"/>
  <c r="BK143" i="17"/>
  <c r="BK120" i="17"/>
  <c r="BV103" i="17"/>
  <c r="BJ103" i="17"/>
  <c r="BB103" i="17"/>
  <c r="AE133" i="17"/>
  <c r="BE123" i="17"/>
  <c r="BI123" i="17"/>
  <c r="AV123" i="17"/>
  <c r="BV118" i="17"/>
  <c r="BJ117" i="17"/>
  <c r="DA113" i="17"/>
  <c r="CR113" i="17"/>
  <c r="CU112" i="17"/>
  <c r="CY112" i="17"/>
  <c r="CL112" i="17"/>
  <c r="CU105" i="17"/>
  <c r="CY105" i="17"/>
  <c r="CL105" i="17"/>
  <c r="CZ105" i="17"/>
  <c r="BJ126" i="17"/>
  <c r="BE122" i="17"/>
  <c r="BI122" i="17"/>
  <c r="AV122" i="17"/>
  <c r="BV119" i="17"/>
  <c r="BV117" i="17"/>
  <c r="CU115" i="17"/>
  <c r="CL115" i="17"/>
  <c r="AE113" i="17"/>
  <c r="BB111" i="17"/>
  <c r="BV111" i="17"/>
  <c r="BJ111" i="17"/>
  <c r="BB109" i="17"/>
  <c r="BV109" i="17"/>
  <c r="BJ109" i="17"/>
  <c r="CR105" i="17"/>
  <c r="DA105" i="17"/>
  <c r="CX115" i="17"/>
  <c r="CM115" i="17"/>
  <c r="BK110" i="17"/>
  <c r="CZ108" i="17"/>
  <c r="CR106" i="17"/>
  <c r="DA106" i="17"/>
  <c r="BV102" i="17"/>
  <c r="BJ102" i="17"/>
  <c r="BB102" i="17"/>
  <c r="BV101" i="17"/>
  <c r="BE121" i="17"/>
  <c r="BI121" i="17"/>
  <c r="AV121" i="17"/>
  <c r="CT114" i="17"/>
  <c r="CE114" i="17"/>
  <c r="CG114" i="17"/>
  <c r="CO114" i="17"/>
  <c r="CX113" i="17"/>
  <c r="CY113" i="17"/>
  <c r="CM113" i="17"/>
  <c r="CZ113" i="17"/>
  <c r="CW110" i="17"/>
  <c r="CK110" i="17"/>
  <c r="CR103" i="17"/>
  <c r="DA103" i="17"/>
  <c r="AE101" i="17"/>
  <c r="CU96" i="17"/>
  <c r="CY96" i="17"/>
  <c r="CL96" i="17"/>
  <c r="CZ96" i="17"/>
  <c r="BV94" i="17"/>
  <c r="BE115" i="17"/>
  <c r="BI115" i="17"/>
  <c r="AV115" i="17"/>
  <c r="CO111" i="17"/>
  <c r="CT111" i="17"/>
  <c r="CG111" i="17"/>
  <c r="CE111" i="17"/>
  <c r="CO104" i="17"/>
  <c r="CT104" i="17"/>
  <c r="CG104" i="17"/>
  <c r="CE104" i="17"/>
  <c r="BK102" i="17"/>
  <c r="BE96" i="17"/>
  <c r="BI96" i="17"/>
  <c r="AV96" i="17"/>
  <c r="BJ96" i="17"/>
  <c r="BE95" i="17"/>
  <c r="BI95" i="17"/>
  <c r="AV95" i="17"/>
  <c r="BJ95" i="17"/>
  <c r="CR94" i="17"/>
  <c r="DA94" i="17"/>
  <c r="AE117" i="17"/>
  <c r="BV108" i="17"/>
  <c r="BJ108" i="17"/>
  <c r="CL107" i="17"/>
  <c r="CZ107" i="17"/>
  <c r="CU107" i="17"/>
  <c r="CY107" i="17"/>
  <c r="CM106" i="17"/>
  <c r="CZ106" i="17"/>
  <c r="CX106" i="17"/>
  <c r="CW100" i="17"/>
  <c r="CK100" i="17"/>
  <c r="CR100" i="17"/>
  <c r="BK99" i="17"/>
  <c r="CO93" i="17"/>
  <c r="CT93" i="17"/>
  <c r="CG93" i="17"/>
  <c r="CE93" i="17"/>
  <c r="CM92" i="17"/>
  <c r="CZ92" i="17"/>
  <c r="CX92" i="17"/>
  <c r="AF89" i="17"/>
  <c r="AV86" i="17"/>
  <c r="BB86" i="17"/>
  <c r="BE86" i="17"/>
  <c r="BI86" i="17"/>
  <c r="BV82" i="17"/>
  <c r="BJ82" i="17"/>
  <c r="BB82" i="17"/>
  <c r="BB78" i="17"/>
  <c r="BV78" i="17"/>
  <c r="BJ78" i="17"/>
  <c r="BJ93" i="17"/>
  <c r="CR92" i="17"/>
  <c r="DA92" i="17"/>
  <c r="BV89" i="17"/>
  <c r="BJ89" i="17"/>
  <c r="BB89" i="17"/>
  <c r="BK89" i="17"/>
  <c r="CL88" i="17"/>
  <c r="CZ88" i="17"/>
  <c r="CU88" i="17"/>
  <c r="CY88" i="17"/>
  <c r="CM87" i="17"/>
  <c r="CX87" i="17"/>
  <c r="CT85" i="17"/>
  <c r="CG85" i="17"/>
  <c r="CO85" i="17"/>
  <c r="CE85" i="17"/>
  <c r="CO80" i="17"/>
  <c r="CT80" i="17"/>
  <c r="CG80" i="17"/>
  <c r="CE80" i="17"/>
  <c r="CR79" i="17"/>
  <c r="DA79" i="17"/>
  <c r="CZ79" i="17"/>
  <c r="BV76" i="17"/>
  <c r="BE92" i="17"/>
  <c r="BI92" i="17"/>
  <c r="AV92" i="17"/>
  <c r="CR87" i="17"/>
  <c r="DA87" i="17"/>
  <c r="CZ87" i="17"/>
  <c r="CR86" i="17"/>
  <c r="DA86" i="17"/>
  <c r="BB85" i="17"/>
  <c r="BV85" i="17"/>
  <c r="BJ85" i="17"/>
  <c r="BK85" i="17"/>
  <c r="AF84" i="17"/>
  <c r="BE83" i="17"/>
  <c r="BI83" i="17"/>
  <c r="AV83" i="17"/>
  <c r="BJ83" i="17"/>
  <c r="CY79" i="17"/>
  <c r="BK78" i="17"/>
  <c r="BE76" i="17"/>
  <c r="BI76" i="17"/>
  <c r="AV76" i="17"/>
  <c r="BJ76" i="17"/>
  <c r="CM95" i="17"/>
  <c r="CX95" i="17"/>
  <c r="AE87" i="17"/>
  <c r="CT84" i="17"/>
  <c r="CG84" i="17"/>
  <c r="CE84" i="17"/>
  <c r="CO84" i="17"/>
  <c r="CL81" i="17"/>
  <c r="CU81" i="17"/>
  <c r="BK79" i="17"/>
  <c r="BI78" i="17"/>
  <c r="CU77" i="17"/>
  <c r="CL77" i="17"/>
  <c r="CU76" i="17"/>
  <c r="CY76" i="17"/>
  <c r="CL76" i="17"/>
  <c r="CZ76" i="17"/>
  <c r="BJ86" i="17"/>
  <c r="CR82" i="17"/>
  <c r="DA82" i="17"/>
  <c r="CZ82" i="17"/>
  <c r="BE75" i="17"/>
  <c r="BI75" i="17"/>
  <c r="AV75" i="17"/>
  <c r="BK74" i="17"/>
  <c r="BK73" i="17"/>
  <c r="CW72" i="17"/>
  <c r="CK72" i="17"/>
  <c r="CO70" i="17"/>
  <c r="CT70" i="17"/>
  <c r="CG70" i="17"/>
  <c r="CE70" i="17"/>
  <c r="BV72" i="17"/>
  <c r="BV71" i="17"/>
  <c r="BK66" i="17"/>
  <c r="BK76" i="17"/>
  <c r="AF72" i="17"/>
  <c r="BJ60" i="17"/>
  <c r="BJ58" i="17"/>
  <c r="BB72" i="17"/>
  <c r="CM70" i="17"/>
  <c r="CX70" i="17"/>
  <c r="BV66" i="17"/>
  <c r="BK60" i="17"/>
  <c r="BK58" i="17"/>
  <c r="BK54" i="17"/>
  <c r="CK53" i="17"/>
  <c r="CW53" i="17"/>
  <c r="BB71" i="17"/>
  <c r="AV64" i="17"/>
  <c r="BJ64" i="17"/>
  <c r="BE64" i="17"/>
  <c r="BI64" i="17"/>
  <c r="CW61" i="17"/>
  <c r="CK61" i="17"/>
  <c r="BV60" i="17"/>
  <c r="CO58" i="17"/>
  <c r="CT58" i="17"/>
  <c r="CG58" i="17"/>
  <c r="CE58" i="17"/>
  <c r="CW57" i="17"/>
  <c r="CK57" i="17"/>
  <c r="BJ52" i="17"/>
  <c r="AF46" i="17"/>
  <c r="BV70" i="17"/>
  <c r="BE67" i="17"/>
  <c r="BI67" i="17"/>
  <c r="AV67" i="17"/>
  <c r="AW55" i="17"/>
  <c r="BJ55" i="17"/>
  <c r="BH55" i="17"/>
  <c r="BI55" i="17"/>
  <c r="CZ45" i="17"/>
  <c r="CR45" i="17"/>
  <c r="DA45" i="17"/>
  <c r="BV43" i="17"/>
  <c r="BJ43" i="17"/>
  <c r="BB43" i="17"/>
  <c r="BV41" i="17"/>
  <c r="BJ41" i="17"/>
  <c r="BB41" i="17"/>
  <c r="BV37" i="17"/>
  <c r="BJ37" i="17"/>
  <c r="BB37" i="17"/>
  <c r="AE36" i="17"/>
  <c r="DA73" i="17"/>
  <c r="CL69" i="17"/>
  <c r="CZ69" i="17"/>
  <c r="CU69" i="17"/>
  <c r="CY69" i="17"/>
  <c r="CM46" i="17"/>
  <c r="CX46" i="17"/>
  <c r="BK44" i="17"/>
  <c r="CX38" i="17"/>
  <c r="CM38" i="17"/>
  <c r="BB64" i="17"/>
  <c r="CO54" i="17"/>
  <c r="CT54" i="17"/>
  <c r="CG54" i="17"/>
  <c r="CE54" i="17"/>
  <c r="CR49" i="17"/>
  <c r="DA49" i="17"/>
  <c r="CZ49" i="17"/>
  <c r="CM48" i="17"/>
  <c r="CX48" i="17"/>
  <c r="DA47" i="17"/>
  <c r="CZ47" i="17"/>
  <c r="CR47" i="17"/>
  <c r="AF47" i="17"/>
  <c r="CO43" i="17"/>
  <c r="CT43" i="17"/>
  <c r="CG43" i="17"/>
  <c r="CE43" i="17"/>
  <c r="DA38" i="17"/>
  <c r="BE30" i="17"/>
  <c r="BI30" i="17"/>
  <c r="AV30" i="17"/>
  <c r="BJ30" i="17"/>
  <c r="CO28" i="17"/>
  <c r="CG28" i="17"/>
  <c r="CE28" i="17"/>
  <c r="CT28" i="17"/>
  <c r="AE25" i="17"/>
  <c r="AE23" i="17"/>
  <c r="DA29" i="17"/>
  <c r="BJ27" i="17"/>
  <c r="BJ26" i="17"/>
  <c r="BV25" i="17"/>
  <c r="BJ25" i="17"/>
  <c r="BB25" i="17"/>
  <c r="BB24" i="17"/>
  <c r="CW21" i="17"/>
  <c r="CK21" i="17"/>
  <c r="BJ19" i="17"/>
  <c r="CO16" i="17"/>
  <c r="CT16" i="17"/>
  <c r="CG16" i="17"/>
  <c r="CE16" i="17"/>
  <c r="CE149" i="17"/>
  <c r="BJ15" i="17"/>
  <c r="BV29" i="17"/>
  <c r="BJ29" i="17"/>
  <c r="BB29" i="17"/>
  <c r="CU27" i="17"/>
  <c r="CL27" i="17"/>
  <c r="CL23" i="17"/>
  <c r="CZ23" i="17"/>
  <c r="CU23" i="17"/>
  <c r="CY23" i="17"/>
  <c r="CO21" i="17"/>
  <c r="CT21" i="17"/>
  <c r="CG21" i="17"/>
  <c r="CE21" i="17"/>
  <c r="AQ149" i="17"/>
  <c r="BJ10" i="17"/>
  <c r="BV10" i="17"/>
  <c r="DA25" i="17"/>
  <c r="CL22" i="17"/>
  <c r="CZ22" i="17"/>
  <c r="CU22" i="17"/>
  <c r="CY22" i="17"/>
  <c r="AF57" i="17"/>
  <c r="BE40" i="17"/>
  <c r="BI40" i="17"/>
  <c r="AV40" i="17"/>
  <c r="DA39" i="17"/>
  <c r="CL38" i="17"/>
  <c r="CZ38" i="17"/>
  <c r="CU38" i="17"/>
  <c r="BK34" i="17"/>
  <c r="AF33" i="17"/>
  <c r="CZ31" i="17"/>
  <c r="DA31" i="17"/>
  <c r="CY49" i="17"/>
  <c r="AF48" i="17"/>
  <c r="BV36" i="17"/>
  <c r="BJ36" i="17"/>
  <c r="BB36" i="17"/>
  <c r="BK35" i="17"/>
  <c r="BV34" i="17"/>
  <c r="BB23" i="17"/>
  <c r="CW20" i="17"/>
  <c r="CK20" i="17"/>
  <c r="CK149" i="17"/>
  <c r="BK17" i="17"/>
  <c r="CM14" i="17"/>
  <c r="CX14" i="17"/>
  <c r="BV13" i="17"/>
  <c r="BJ13" i="17"/>
  <c r="BB13" i="17"/>
  <c r="BK13" i="17"/>
  <c r="CM12" i="17"/>
  <c r="CZ12" i="17"/>
  <c r="CX12" i="17"/>
  <c r="CR11" i="17"/>
  <c r="DA11" i="17"/>
  <c r="CZ11" i="17"/>
  <c r="W149" i="17"/>
  <c r="X10" i="17"/>
  <c r="X149" i="17"/>
  <c r="AF16" i="17"/>
  <c r="CL13" i="17"/>
  <c r="CU13" i="17"/>
  <c r="AF11" i="17"/>
  <c r="AF149" i="17"/>
  <c r="BV19" i="17"/>
  <c r="BV15" i="17"/>
  <c r="CL14" i="17"/>
  <c r="CU14" i="17"/>
  <c r="CY14" i="17"/>
  <c r="CR12" i="17"/>
  <c r="DA12" i="17"/>
  <c r="AF20" i="17"/>
  <c r="BV14" i="17"/>
  <c r="BJ14" i="17"/>
  <c r="BB14" i="17"/>
  <c r="BK14" i="17"/>
  <c r="CM13" i="17"/>
  <c r="CX13" i="17"/>
  <c r="BV12" i="17"/>
  <c r="BJ12" i="17"/>
  <c r="BB12" i="17"/>
  <c r="BK12" i="17"/>
  <c r="BK145" i="17"/>
  <c r="AF148" i="17"/>
  <c r="BJ146" i="17"/>
  <c r="AE146" i="17"/>
  <c r="AF147" i="17"/>
  <c r="BK148" i="17"/>
  <c r="BJ139" i="17"/>
  <c r="BE135" i="17"/>
  <c r="BI135" i="17"/>
  <c r="AV135" i="17"/>
  <c r="BB135" i="17"/>
  <c r="BJ131" i="17"/>
  <c r="BV131" i="17"/>
  <c r="BB130" i="17"/>
  <c r="BV130" i="17"/>
  <c r="BJ130" i="17"/>
  <c r="BB129" i="17"/>
  <c r="BV129" i="17"/>
  <c r="BJ129" i="17"/>
  <c r="BB128" i="17"/>
  <c r="BV128" i="17"/>
  <c r="BJ128" i="17"/>
  <c r="BV127" i="17"/>
  <c r="BJ127" i="17"/>
  <c r="BB127" i="17"/>
  <c r="AE128" i="17"/>
  <c r="BB145" i="17"/>
  <c r="CM127" i="17"/>
  <c r="CX127" i="17"/>
  <c r="AF127" i="17"/>
  <c r="CZ124" i="17"/>
  <c r="CR124" i="17"/>
  <c r="DA124" i="17"/>
  <c r="BJ120" i="17"/>
  <c r="BV120" i="17"/>
  <c r="CO125" i="17"/>
  <c r="CT125" i="17"/>
  <c r="CG125" i="17"/>
  <c r="CE125" i="17"/>
  <c r="CL123" i="17"/>
  <c r="CZ123" i="17"/>
  <c r="CU123" i="17"/>
  <c r="CY123" i="17"/>
  <c r="CM122" i="17"/>
  <c r="CX122" i="17"/>
  <c r="CX120" i="17"/>
  <c r="CM120" i="17"/>
  <c r="BB119" i="17"/>
  <c r="CX116" i="17"/>
  <c r="CM116" i="17"/>
  <c r="AF134" i="17"/>
  <c r="BV123" i="17"/>
  <c r="BJ123" i="17"/>
  <c r="BB123" i="17"/>
  <c r="BK123" i="17"/>
  <c r="CL122" i="17"/>
  <c r="CZ122" i="17"/>
  <c r="CU122" i="17"/>
  <c r="CY122" i="17"/>
  <c r="CM121" i="17"/>
  <c r="CX121" i="17"/>
  <c r="CL119" i="17"/>
  <c r="CM119" i="17"/>
  <c r="CZ119" i="17"/>
  <c r="CU119" i="17"/>
  <c r="AF119" i="17"/>
  <c r="BE113" i="17"/>
  <c r="BI113" i="17"/>
  <c r="AV113" i="17"/>
  <c r="BB113" i="17"/>
  <c r="BV122" i="17"/>
  <c r="BJ122" i="17"/>
  <c r="BB122" i="17"/>
  <c r="BK122" i="17"/>
  <c r="CL121" i="17"/>
  <c r="CU121" i="17"/>
  <c r="CY121" i="17"/>
  <c r="AF120" i="17"/>
  <c r="AF118" i="17"/>
  <c r="DA115" i="17"/>
  <c r="CZ115" i="17"/>
  <c r="CR115" i="17"/>
  <c r="CZ112" i="17"/>
  <c r="CR112" i="17"/>
  <c r="DA112" i="17"/>
  <c r="AF106" i="17"/>
  <c r="AF114" i="17"/>
  <c r="CO109" i="17"/>
  <c r="CT109" i="17"/>
  <c r="CG109" i="17"/>
  <c r="CE109" i="17"/>
  <c r="BE107" i="17"/>
  <c r="BI107" i="17"/>
  <c r="AV107" i="17"/>
  <c r="BJ107" i="17"/>
  <c r="BV100" i="17"/>
  <c r="BV121" i="17"/>
  <c r="BJ121" i="17"/>
  <c r="BB121" i="17"/>
  <c r="CW114" i="17"/>
  <c r="CK114" i="17"/>
  <c r="BK112" i="17"/>
  <c r="AF103" i="17"/>
  <c r="BE101" i="17"/>
  <c r="BI101" i="17"/>
  <c r="AV101" i="17"/>
  <c r="BB101" i="17"/>
  <c r="BE100" i="17"/>
  <c r="BI100" i="17"/>
  <c r="AV100" i="17"/>
  <c r="BB100" i="17"/>
  <c r="BE98" i="17"/>
  <c r="BI98" i="17"/>
  <c r="AV98" i="17"/>
  <c r="BJ98" i="17"/>
  <c r="CO95" i="17"/>
  <c r="CT95" i="17"/>
  <c r="CG95" i="17"/>
  <c r="CE95" i="17"/>
  <c r="CU94" i="17"/>
  <c r="CY94" i="17"/>
  <c r="CL94" i="17"/>
  <c r="CZ94" i="17"/>
  <c r="BK93" i="17"/>
  <c r="CX119" i="17"/>
  <c r="BK113" i="17"/>
  <c r="CW111" i="17"/>
  <c r="CK111" i="17"/>
  <c r="CW104" i="17"/>
  <c r="CK104" i="17"/>
  <c r="AE102" i="17"/>
  <c r="AF96" i="17"/>
  <c r="AF95" i="17"/>
  <c r="BE94" i="17"/>
  <c r="BI94" i="17"/>
  <c r="AV94" i="17"/>
  <c r="BB94" i="17"/>
  <c r="BB115" i="17"/>
  <c r="BV115" i="17"/>
  <c r="BJ115" i="17"/>
  <c r="BK109" i="17"/>
  <c r="BK100" i="17"/>
  <c r="CW93" i="17"/>
  <c r="CK93" i="17"/>
  <c r="CR89" i="17"/>
  <c r="DA89" i="17"/>
  <c r="CZ89" i="17"/>
  <c r="CW85" i="17"/>
  <c r="CK85" i="17"/>
  <c r="BB84" i="17"/>
  <c r="BV84" i="17"/>
  <c r="BJ84" i="17"/>
  <c r="BK84" i="17"/>
  <c r="CR98" i="17"/>
  <c r="DA98" i="17"/>
  <c r="BK91" i="17"/>
  <c r="BE79" i="17"/>
  <c r="BI79" i="17"/>
  <c r="AV79" i="17"/>
  <c r="BJ79" i="17"/>
  <c r="BK107" i="17"/>
  <c r="BK97" i="17"/>
  <c r="BV92" i="17"/>
  <c r="BJ92" i="17"/>
  <c r="BB92" i="17"/>
  <c r="BK92" i="17"/>
  <c r="CL91" i="17"/>
  <c r="CZ91" i="17"/>
  <c r="CU91" i="17"/>
  <c r="CY91" i="17"/>
  <c r="CM90" i="17"/>
  <c r="CZ90" i="17"/>
  <c r="CX90" i="17"/>
  <c r="BE88" i="17"/>
  <c r="BI88" i="17"/>
  <c r="AV88" i="17"/>
  <c r="BJ88" i="17"/>
  <c r="CW81" i="17"/>
  <c r="CK81" i="17"/>
  <c r="CL99" i="17"/>
  <c r="CU99" i="17"/>
  <c r="CR90" i="17"/>
  <c r="DA90" i="17"/>
  <c r="CL75" i="17"/>
  <c r="CZ75" i="17"/>
  <c r="CU75" i="17"/>
  <c r="CY75" i="17"/>
  <c r="CR74" i="17"/>
  <c r="DA74" i="17"/>
  <c r="CZ74" i="17"/>
  <c r="CU73" i="17"/>
  <c r="CY73" i="17"/>
  <c r="CL73" i="17"/>
  <c r="CZ73" i="17"/>
  <c r="AE67" i="17"/>
  <c r="AF67" i="17"/>
  <c r="BV75" i="17"/>
  <c r="BJ75" i="17"/>
  <c r="BB75" i="17"/>
  <c r="BE74" i="17"/>
  <c r="BI74" i="17"/>
  <c r="AV74" i="17"/>
  <c r="BJ74" i="17"/>
  <c r="BE73" i="17"/>
  <c r="BI73" i="17"/>
  <c r="AV73" i="17"/>
  <c r="BJ73" i="17"/>
  <c r="BJ70" i="17"/>
  <c r="BK90" i="17"/>
  <c r="CM83" i="17"/>
  <c r="CZ83" i="17"/>
  <c r="CX83" i="17"/>
  <c r="BK68" i="17"/>
  <c r="BB55" i="17"/>
  <c r="CM80" i="17"/>
  <c r="CX80" i="17"/>
  <c r="BK77" i="17"/>
  <c r="BK69" i="17"/>
  <c r="CL66" i="17"/>
  <c r="CU66" i="17"/>
  <c r="BJ62" i="17"/>
  <c r="BE65" i="17"/>
  <c r="BI65" i="17"/>
  <c r="AV65" i="17"/>
  <c r="BB65" i="17"/>
  <c r="BE54" i="17"/>
  <c r="BI54" i="17"/>
  <c r="AV54" i="17"/>
  <c r="BJ54" i="17"/>
  <c r="BV61" i="17"/>
  <c r="CO59" i="17"/>
  <c r="CT59" i="17"/>
  <c r="CG59" i="17"/>
  <c r="CE59" i="17"/>
  <c r="CW58" i="17"/>
  <c r="CK58" i="17"/>
  <c r="BV57" i="17"/>
  <c r="CL55" i="17"/>
  <c r="CU55" i="17"/>
  <c r="BJ28" i="17"/>
  <c r="BB28" i="17"/>
  <c r="BB67" i="17"/>
  <c r="BV67" i="17"/>
  <c r="BJ67" i="17"/>
  <c r="CM65" i="17"/>
  <c r="CX65" i="17"/>
  <c r="CO62" i="17"/>
  <c r="CT62" i="17"/>
  <c r="CG62" i="17"/>
  <c r="CE62" i="17"/>
  <c r="CR53" i="17"/>
  <c r="DA53" i="17"/>
  <c r="BB51" i="17"/>
  <c r="BV51" i="17"/>
  <c r="BJ51" i="17"/>
  <c r="CR48" i="17"/>
  <c r="DA48" i="17"/>
  <c r="CR40" i="17"/>
  <c r="DA40" i="17"/>
  <c r="CR36" i="17"/>
  <c r="DA36" i="17"/>
  <c r="CZ36" i="17"/>
  <c r="CR35" i="17"/>
  <c r="DA35" i="17"/>
  <c r="BK52" i="17"/>
  <c r="CO42" i="17"/>
  <c r="CT42" i="17"/>
  <c r="CG42" i="17"/>
  <c r="CE42" i="17"/>
  <c r="AF38" i="17"/>
  <c r="CW34" i="17"/>
  <c r="CK34" i="17"/>
  <c r="CR34" i="17"/>
  <c r="CW54" i="17"/>
  <c r="CK54" i="17"/>
  <c r="CR50" i="17"/>
  <c r="DA50" i="17"/>
  <c r="CZ50" i="17"/>
  <c r="BV47" i="17"/>
  <c r="CR46" i="17"/>
  <c r="DA46" i="17"/>
  <c r="CZ46" i="17"/>
  <c r="BE45" i="17"/>
  <c r="BI45" i="17"/>
  <c r="AV45" i="17"/>
  <c r="BJ45" i="17"/>
  <c r="CW43" i="17"/>
  <c r="CK43" i="17"/>
  <c r="AE39" i="17"/>
  <c r="CZ33" i="17"/>
  <c r="DA30" i="17"/>
  <c r="BB26" i="17"/>
  <c r="CU29" i="17"/>
  <c r="CL29" i="17"/>
  <c r="BV27" i="17"/>
  <c r="BV26" i="17"/>
  <c r="CO17" i="17"/>
  <c r="CT17" i="17"/>
  <c r="CT149" i="17"/>
  <c r="CG17" i="17"/>
  <c r="CE17" i="17"/>
  <c r="CU26" i="17"/>
  <c r="CL26" i="17"/>
  <c r="CO24" i="17"/>
  <c r="CE24" i="17"/>
  <c r="CT24" i="17"/>
  <c r="CG24" i="17"/>
  <c r="BK10" i="17"/>
  <c r="BK30" i="17"/>
  <c r="BK25" i="17"/>
  <c r="AF61" i="17"/>
  <c r="BK48" i="17"/>
  <c r="BE46" i="17"/>
  <c r="BI46" i="17"/>
  <c r="AV46" i="17"/>
  <c r="BJ46" i="17"/>
  <c r="CO44" i="17"/>
  <c r="CT44" i="17"/>
  <c r="CG44" i="17"/>
  <c r="CE44" i="17"/>
  <c r="BK42" i="17"/>
  <c r="BV40" i="17"/>
  <c r="BJ40" i="17"/>
  <c r="BB40" i="17"/>
  <c r="BK38" i="17"/>
  <c r="BK31" i="17"/>
  <c r="BK43" i="17"/>
  <c r="AF35" i="17"/>
  <c r="CL32" i="17"/>
  <c r="CZ32" i="17"/>
  <c r="CU32" i="17"/>
  <c r="CY32" i="17"/>
  <c r="BK16" i="17"/>
  <c r="BV11" i="17"/>
  <c r="S149" i="17"/>
  <c r="U149" i="17"/>
  <c r="AF23" i="17"/>
  <c r="BV18" i="17"/>
  <c r="BB11" i="17"/>
  <c r="BK45" i="17"/>
  <c r="CZ13" i="17"/>
  <c r="BB59" i="17"/>
  <c r="BJ87" i="17"/>
  <c r="CZ52" i="17"/>
  <c r="CL35" i="17"/>
  <c r="CZ35" i="17"/>
  <c r="CU35" i="17"/>
  <c r="CY35" i="17"/>
  <c r="DA26" i="17"/>
  <c r="CZ120" i="17"/>
  <c r="CZ117" i="17"/>
  <c r="CL103" i="17"/>
  <c r="CZ103" i="17"/>
  <c r="CU103" i="17"/>
  <c r="CY103" i="17"/>
  <c r="CZ116" i="17"/>
  <c r="BJ77" i="17"/>
  <c r="DA102" i="17"/>
  <c r="CL40" i="17"/>
  <c r="CZ40" i="17"/>
  <c r="CU40" i="17"/>
  <c r="CY40" i="17"/>
  <c r="CL37" i="17"/>
  <c r="CZ37" i="17"/>
  <c r="CU37" i="17"/>
  <c r="CY37" i="17"/>
  <c r="BB16" i="17"/>
  <c r="CM77" i="17"/>
  <c r="CZ77" i="17"/>
  <c r="CX77" i="17"/>
  <c r="CY77" i="17"/>
  <c r="CL118" i="17"/>
  <c r="CZ118" i="17"/>
  <c r="CU118" i="17"/>
  <c r="CY118" i="17"/>
  <c r="CM55" i="17"/>
  <c r="CZ55" i="17"/>
  <c r="CX55" i="17"/>
  <c r="CY55" i="17"/>
  <c r="CL48" i="17"/>
  <c r="CZ48" i="17"/>
  <c r="CU48" i="17"/>
  <c r="CY48" i="17"/>
  <c r="CX66" i="17"/>
  <c r="CY66" i="17"/>
  <c r="CM66" i="17"/>
  <c r="CZ66" i="17"/>
  <c r="CZ121" i="17"/>
  <c r="CZ14" i="17"/>
  <c r="DA100" i="17"/>
  <c r="DA27" i="17"/>
  <c r="BB63" i="17"/>
  <c r="BJ148" i="17"/>
  <c r="BB81" i="17"/>
  <c r="BJ81" i="17"/>
  <c r="CU86" i="17"/>
  <c r="CY86" i="17"/>
  <c r="CL86" i="17"/>
  <c r="CZ86" i="17"/>
  <c r="BJ53" i="17"/>
  <c r="BB53" i="17"/>
  <c r="CU102" i="17"/>
  <c r="CY102" i="17"/>
  <c r="CL102" i="17"/>
  <c r="CZ102" i="17"/>
  <c r="CM151" i="17"/>
  <c r="CM153" i="17"/>
  <c r="CX81" i="17"/>
  <c r="CM81" i="17"/>
  <c r="CZ81" i="17"/>
  <c r="CM85" i="17"/>
  <c r="CX85" i="17"/>
  <c r="BJ100" i="17"/>
  <c r="DA109" i="17"/>
  <c r="CR109" i="17"/>
  <c r="CR44" i="17"/>
  <c r="DA44" i="17"/>
  <c r="CU24" i="17"/>
  <c r="CY24" i="17"/>
  <c r="CL24" i="17"/>
  <c r="CR62" i="17"/>
  <c r="DA62" i="17"/>
  <c r="DA59" i="17"/>
  <c r="CR59" i="17"/>
  <c r="CM93" i="17"/>
  <c r="CX93" i="17"/>
  <c r="CM104" i="17"/>
  <c r="CX104" i="17"/>
  <c r="CU125" i="17"/>
  <c r="CL125" i="17"/>
  <c r="CY13" i="17"/>
  <c r="CY38" i="17"/>
  <c r="DA21" i="17"/>
  <c r="CR21" i="17"/>
  <c r="DA43" i="17"/>
  <c r="CR43" i="17"/>
  <c r="DA58" i="17"/>
  <c r="CR58" i="17"/>
  <c r="CM72" i="17"/>
  <c r="CX72" i="17"/>
  <c r="CY81" i="17"/>
  <c r="BB76" i="17"/>
  <c r="CU80" i="17"/>
  <c r="CY80" i="17"/>
  <c r="CL80" i="17"/>
  <c r="DA93" i="17"/>
  <c r="CR93" i="17"/>
  <c r="BJ94" i="17"/>
  <c r="BJ101" i="17"/>
  <c r="DA20" i="17"/>
  <c r="CR20" i="17"/>
  <c r="CM41" i="17"/>
  <c r="CX41" i="17"/>
  <c r="CR26" i="17"/>
  <c r="CU15" i="17"/>
  <c r="CY15" i="17"/>
  <c r="CL15" i="17"/>
  <c r="CX25" i="17"/>
  <c r="CM25" i="17"/>
  <c r="CZ25" i="17"/>
  <c r="CX27" i="17"/>
  <c r="CY27" i="17"/>
  <c r="CM27" i="17"/>
  <c r="CZ27" i="17"/>
  <c r="BE149" i="17"/>
  <c r="BI10" i="17"/>
  <c r="BI149" i="17"/>
  <c r="CM56" i="17"/>
  <c r="CX56" i="17"/>
  <c r="BB104" i="17"/>
  <c r="BB96" i="17"/>
  <c r="CY117" i="17"/>
  <c r="CR127" i="17"/>
  <c r="DA127" i="17"/>
  <c r="DA34" i="17"/>
  <c r="CM44" i="17"/>
  <c r="CX44" i="17"/>
  <c r="CM29" i="17"/>
  <c r="CZ29" i="17"/>
  <c r="CX29" i="17"/>
  <c r="CY29" i="17"/>
  <c r="BB45" i="17"/>
  <c r="CM42" i="17"/>
  <c r="CX42" i="17"/>
  <c r="CY52" i="17"/>
  <c r="DA60" i="17"/>
  <c r="CR60" i="17"/>
  <c r="BJ65" i="17"/>
  <c r="CL65" i="17"/>
  <c r="CU65" i="17"/>
  <c r="CY65" i="17"/>
  <c r="CM71" i="17"/>
  <c r="CX71" i="17"/>
  <c r="BB74" i="17"/>
  <c r="BB83" i="17"/>
  <c r="CY92" i="17"/>
  <c r="BJ113" i="17"/>
  <c r="BJ135" i="17"/>
  <c r="DA101" i="17"/>
  <c r="CR17" i="17"/>
  <c r="DA17" i="17"/>
  <c r="CR95" i="17"/>
  <c r="DA95" i="17"/>
  <c r="BV149" i="17"/>
  <c r="BW151" i="17"/>
  <c r="CR16" i="17"/>
  <c r="DA16" i="17"/>
  <c r="CU28" i="17"/>
  <c r="CY28" i="17"/>
  <c r="CL28" i="17"/>
  <c r="CR54" i="17"/>
  <c r="DA54" i="17"/>
  <c r="CU70" i="17"/>
  <c r="CY70" i="17"/>
  <c r="CL70" i="17"/>
  <c r="CU84" i="17"/>
  <c r="CL84" i="17"/>
  <c r="CU85" i="17"/>
  <c r="CY85" i="17"/>
  <c r="CL85" i="17"/>
  <c r="CZ85" i="17"/>
  <c r="DA104" i="17"/>
  <c r="CR104" i="17"/>
  <c r="DA111" i="17"/>
  <c r="CR111" i="17"/>
  <c r="CM110" i="17"/>
  <c r="CX110" i="17"/>
  <c r="CU19" i="17"/>
  <c r="CY19" i="17"/>
  <c r="CL19" i="17"/>
  <c r="AV149" i="17"/>
  <c r="BB30" i="17"/>
  <c r="CY46" i="17"/>
  <c r="CM51" i="17"/>
  <c r="CX51" i="17"/>
  <c r="DA57" i="17"/>
  <c r="CR57" i="17"/>
  <c r="CU61" i="17"/>
  <c r="CL61" i="17"/>
  <c r="DA71" i="17"/>
  <c r="CR71" i="17"/>
  <c r="DA72" i="17"/>
  <c r="CR72" i="17"/>
  <c r="CY90" i="17"/>
  <c r="DA78" i="17"/>
  <c r="CM99" i="17"/>
  <c r="CZ99" i="17"/>
  <c r="CX99" i="17"/>
  <c r="CY99" i="17"/>
  <c r="BB95" i="17"/>
  <c r="CU110" i="17"/>
  <c r="CL110" i="17"/>
  <c r="CY12" i="17"/>
  <c r="CU41" i="17"/>
  <c r="CY41" i="17"/>
  <c r="CL41" i="17"/>
  <c r="CY25" i="17"/>
  <c r="CU18" i="17"/>
  <c r="CY18" i="17"/>
  <c r="CL18" i="17"/>
  <c r="CU51" i="17"/>
  <c r="CL51" i="17"/>
  <c r="CZ51" i="17"/>
  <c r="DA56" i="17"/>
  <c r="CR56" i="17"/>
  <c r="BB73" i="17"/>
  <c r="BB80" i="17"/>
  <c r="BB79" i="17"/>
  <c r="BB99" i="17"/>
  <c r="BB107" i="17"/>
  <c r="CM109" i="17"/>
  <c r="CX109" i="17"/>
  <c r="CM125" i="17"/>
  <c r="CX125" i="17"/>
  <c r="BB10" i="17"/>
  <c r="BB149" i="17"/>
  <c r="CZ24" i="17"/>
  <c r="DA24" i="17"/>
  <c r="CR24" i="17"/>
  <c r="CM54" i="17"/>
  <c r="CX54" i="17"/>
  <c r="CR42" i="17"/>
  <c r="DA42" i="17"/>
  <c r="CU109" i="17"/>
  <c r="CY109" i="17"/>
  <c r="CL109" i="17"/>
  <c r="AE10" i="17"/>
  <c r="AE149" i="17"/>
  <c r="CU44" i="17"/>
  <c r="CY44" i="17"/>
  <c r="CL44" i="17"/>
  <c r="CZ44" i="17"/>
  <c r="BK149" i="17"/>
  <c r="CM43" i="17"/>
  <c r="CX43" i="17"/>
  <c r="CU62" i="17"/>
  <c r="CL62" i="17"/>
  <c r="CU59" i="17"/>
  <c r="CL59" i="17"/>
  <c r="CR81" i="17"/>
  <c r="DA81" i="17"/>
  <c r="CM111" i="17"/>
  <c r="CX111" i="17"/>
  <c r="CM114" i="17"/>
  <c r="CX114" i="17"/>
  <c r="CY119" i="17"/>
  <c r="DA125" i="17"/>
  <c r="CZ125" i="17"/>
  <c r="CR125" i="17"/>
  <c r="BJ149" i="17"/>
  <c r="BM152" i="17"/>
  <c r="CU21" i="17"/>
  <c r="CL21" i="17"/>
  <c r="CZ28" i="17"/>
  <c r="CR28" i="17"/>
  <c r="DA28" i="17"/>
  <c r="CU43" i="17"/>
  <c r="CY43" i="17"/>
  <c r="CL43" i="17"/>
  <c r="CU58" i="17"/>
  <c r="CL58" i="17"/>
  <c r="CM61" i="17"/>
  <c r="CX61" i="17"/>
  <c r="CM53" i="17"/>
  <c r="CZ53" i="17"/>
  <c r="CX53" i="17"/>
  <c r="CZ80" i="17"/>
  <c r="CR80" i="17"/>
  <c r="DA80" i="17"/>
  <c r="DA85" i="17"/>
  <c r="CR85" i="17"/>
  <c r="CU93" i="17"/>
  <c r="CY93" i="17"/>
  <c r="CL93" i="17"/>
  <c r="CZ93" i="17"/>
  <c r="CM100" i="17"/>
  <c r="CZ100" i="17"/>
  <c r="CX100" i="17"/>
  <c r="DA114" i="17"/>
  <c r="CR114" i="17"/>
  <c r="CY115" i="17"/>
  <c r="CU20" i="17"/>
  <c r="CL20" i="17"/>
  <c r="CZ15" i="17"/>
  <c r="CR15" i="17"/>
  <c r="DA15" i="17"/>
  <c r="CX26" i="17"/>
  <c r="CY26" i="17"/>
  <c r="CM26" i="17"/>
  <c r="CZ26" i="17"/>
  <c r="CY53" i="17"/>
  <c r="CM60" i="17"/>
  <c r="CX60" i="17"/>
  <c r="CM78" i="17"/>
  <c r="CZ78" i="17"/>
  <c r="CX78" i="17"/>
  <c r="CY78" i="17"/>
  <c r="CY89" i="17"/>
  <c r="BB98" i="17"/>
  <c r="CX101" i="17"/>
  <c r="CY101" i="17"/>
  <c r="CM101" i="17"/>
  <c r="CZ101" i="17"/>
  <c r="CU127" i="17"/>
  <c r="CY127" i="17"/>
  <c r="CL127" i="17"/>
  <c r="CZ127" i="17"/>
  <c r="BB46" i="17"/>
  <c r="CM62" i="17"/>
  <c r="CX62" i="17"/>
  <c r="CU60" i="17"/>
  <c r="CL60" i="17"/>
  <c r="CZ60" i="17"/>
  <c r="BB54" i="17"/>
  <c r="DA65" i="17"/>
  <c r="CR65" i="17"/>
  <c r="CZ65" i="17"/>
  <c r="CM84" i="17"/>
  <c r="CX84" i="17"/>
  <c r="BB88" i="17"/>
  <c r="CU17" i="17"/>
  <c r="CY17" i="17"/>
  <c r="CL17" i="17"/>
  <c r="CZ17" i="17"/>
  <c r="CM34" i="17"/>
  <c r="CZ34" i="17"/>
  <c r="CX34" i="17"/>
  <c r="CY34" i="17"/>
  <c r="CU42" i="17"/>
  <c r="CY42" i="17"/>
  <c r="CL42" i="17"/>
  <c r="CZ42" i="17"/>
  <c r="CM58" i="17"/>
  <c r="CX58" i="17"/>
  <c r="CU95" i="17"/>
  <c r="CY95" i="17"/>
  <c r="CL95" i="17"/>
  <c r="CZ95" i="17"/>
  <c r="CM20" i="17"/>
  <c r="CM149" i="17"/>
  <c r="CX20" i="17"/>
  <c r="CX149" i="17"/>
  <c r="CW149" i="17"/>
  <c r="DA153" i="17"/>
  <c r="CU16" i="17"/>
  <c r="CY16" i="17"/>
  <c r="CL16" i="17"/>
  <c r="CZ16" i="17"/>
  <c r="CM21" i="17"/>
  <c r="CX21" i="17"/>
  <c r="CU54" i="17"/>
  <c r="CL54" i="17"/>
  <c r="CZ54" i="17"/>
  <c r="CM57" i="17"/>
  <c r="CX57" i="17"/>
  <c r="CZ70" i="17"/>
  <c r="CR70" i="17"/>
  <c r="DA70" i="17"/>
  <c r="DA84" i="17"/>
  <c r="CR84" i="17"/>
  <c r="CZ84" i="17"/>
  <c r="CU104" i="17"/>
  <c r="CY104" i="17"/>
  <c r="CL104" i="17"/>
  <c r="CZ104" i="17"/>
  <c r="CU111" i="17"/>
  <c r="CY111" i="17"/>
  <c r="CL111" i="17"/>
  <c r="CZ111" i="17"/>
  <c r="CL114" i="17"/>
  <c r="CU114" i="17"/>
  <c r="CY114" i="17"/>
  <c r="CZ19" i="17"/>
  <c r="CR19" i="17"/>
  <c r="CR149" i="17"/>
  <c r="CR151" i="17"/>
  <c r="DA19" i="17"/>
  <c r="CU57" i="17"/>
  <c r="CL57" i="17"/>
  <c r="CZ57" i="17"/>
  <c r="CZ61" i="17"/>
  <c r="DA61" i="17"/>
  <c r="CR61" i="17"/>
  <c r="CU71" i="17"/>
  <c r="CY71" i="17"/>
  <c r="CL71" i="17"/>
  <c r="CZ71" i="17"/>
  <c r="CU72" i="17"/>
  <c r="CY72" i="17"/>
  <c r="CL72" i="17"/>
  <c r="CZ72" i="17"/>
  <c r="CY83" i="17"/>
  <c r="CY116" i="17"/>
  <c r="DA110" i="17"/>
  <c r="CZ110" i="17"/>
  <c r="CR110" i="17"/>
  <c r="CY120" i="17"/>
  <c r="CZ41" i="17"/>
  <c r="CR41" i="17"/>
  <c r="DA41" i="17"/>
  <c r="CZ18" i="17"/>
  <c r="CR18" i="17"/>
  <c r="DA18" i="17"/>
  <c r="DA149" i="17"/>
  <c r="DA151" i="17"/>
  <c r="DA154" i="17"/>
  <c r="CY33" i="17"/>
  <c r="DA51" i="17"/>
  <c r="CR51" i="17"/>
  <c r="CU56" i="17"/>
  <c r="CY56" i="17"/>
  <c r="CL56" i="17"/>
  <c r="CZ56" i="17"/>
  <c r="CM59" i="17"/>
  <c r="CX59" i="17"/>
  <c r="CY87" i="17"/>
  <c r="CY100" i="17"/>
  <c r="CM98" i="17"/>
  <c r="CZ98" i="17"/>
  <c r="CX98" i="17"/>
  <c r="CY98" i="17"/>
  <c r="CY106" i="17"/>
  <c r="CZ109" i="17"/>
  <c r="CY20" i="17"/>
  <c r="CZ21" i="17"/>
  <c r="CZ114" i="17"/>
  <c r="CY61" i="17"/>
  <c r="CZ58" i="17"/>
  <c r="CZ59" i="17"/>
  <c r="CY58" i="17"/>
  <c r="CZ20" i="17"/>
  <c r="CZ43" i="17"/>
  <c r="CZ62" i="17"/>
  <c r="CZ149" i="17"/>
  <c r="CY54" i="17"/>
  <c r="CY21" i="17"/>
  <c r="CY149" i="17"/>
  <c r="CW151" i="17"/>
  <c r="CW152" i="17"/>
  <c r="CL149" i="17"/>
  <c r="CY125" i="17"/>
  <c r="CY59" i="17"/>
  <c r="CY60" i="17"/>
  <c r="CY51" i="17"/>
  <c r="CY110" i="17"/>
  <c r="CY84" i="17"/>
  <c r="CU149" i="17"/>
  <c r="CY57" i="17"/>
  <c r="CY62" i="17"/>
  <c r="DA155" i="17"/>
  <c r="G97" i="15"/>
  <c r="B10" i="15"/>
  <c r="B11" i="15"/>
  <c r="B12" i="15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/>
  <c r="B57" i="15" s="1"/>
  <c r="B58" i="15" s="1"/>
  <c r="B59" i="15" s="1"/>
  <c r="B60" i="15"/>
  <c r="B61" i="15" s="1"/>
  <c r="B62" i="15" s="1"/>
  <c r="B63" i="15" s="1"/>
  <c r="B64" i="15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M32" i="15" l="1"/>
  <c r="M97" i="15" s="1"/>
  <c r="M100" i="15" s="1"/>
</calcChain>
</file>

<file path=xl/comments1.xml><?xml version="1.0" encoding="utf-8"?>
<comments xmlns="http://schemas.openxmlformats.org/spreadsheetml/2006/main">
  <authors>
    <author>Olivia</author>
    <author xml:space="preserve">Olivia De La Rosa Godoy  </author>
    <author>Admin</author>
  </authors>
  <commentList>
    <comment ref="AG9" authorId="0" shapeId="0">
      <text>
        <r>
          <rPr>
            <b/>
            <sz val="9"/>
            <color indexed="81"/>
            <rFont val="Tahoma"/>
            <family val="2"/>
          </rPr>
          <t>No incluye 2017/2018</t>
        </r>
        <r>
          <rPr>
            <sz val="9"/>
            <color indexed="81"/>
            <rFont val="Tahoma"/>
            <family val="2"/>
          </rPr>
          <t xml:space="preserve">
Incluye del 2007/2008 al 2016/2017</t>
        </r>
      </text>
    </comment>
    <comment ref="CP9" authorId="1" shapeId="0">
      <text>
        <r>
          <rPr>
            <b/>
            <sz val="9"/>
            <color indexed="81"/>
            <rFont val="Tahoma"/>
            <family val="2"/>
          </rPr>
          <t>Este monto no entra en estadisticas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 xml:space="preserve">Se aplico beca a partir de Enero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6" authorId="0" shapeId="0">
      <text>
        <r>
          <rPr>
            <b/>
            <sz val="9"/>
            <color indexed="81"/>
            <rFont val="Tahoma"/>
            <family val="2"/>
          </rPr>
          <t xml:space="preserve">100% de Ago-Dic
Cancelada de Ene-May
</t>
        </r>
      </text>
    </comment>
    <comment ref="AC27" authorId="0" shapeId="0">
      <text>
        <r>
          <rPr>
            <b/>
            <sz val="9"/>
            <color indexed="81"/>
            <rFont val="Tahoma"/>
            <family val="2"/>
          </rPr>
          <t>100% de Ago-Dic
Cancelada de Ene-May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Se aplico apartir de enero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M36" authorId="2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En la solicitud piden 90% pero el 70% lo otorga la Comunidad, por lo cual solo pongo el 30% igual que el ciclo actual
</t>
        </r>
      </text>
    </comment>
  </commentList>
</comments>
</file>

<file path=xl/comments2.xml><?xml version="1.0" encoding="utf-8"?>
<comments xmlns="http://schemas.openxmlformats.org/spreadsheetml/2006/main">
  <authors>
    <author>Martha Aurora Gomez Mozcoso</author>
  </authors>
  <commentList>
    <comment ref="I14" authorId="0" shapeId="0">
      <text>
        <r>
          <rPr>
            <b/>
            <sz val="9"/>
            <color indexed="81"/>
            <rFont val="Tahoma"/>
            <family val="2"/>
          </rPr>
          <t>Martha Aurora Gomez Mozcoso:</t>
        </r>
        <r>
          <rPr>
            <sz val="9"/>
            <color indexed="81"/>
            <rFont val="Tahoma"/>
            <family val="2"/>
          </rPr>
          <t xml:space="preserve">
Otros Ingresos NO Comité pro viajes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Martha Aurora Gomez Mozcoso:</t>
        </r>
        <r>
          <rPr>
            <sz val="9"/>
            <color indexed="81"/>
            <rFont val="Tahoma"/>
            <family val="2"/>
          </rPr>
          <t xml:space="preserve">
Dinero deviuelto a los alumnos
</t>
        </r>
      </text>
    </comment>
  </commentList>
</comments>
</file>

<file path=xl/sharedStrings.xml><?xml version="1.0" encoding="utf-8"?>
<sst xmlns="http://schemas.openxmlformats.org/spreadsheetml/2006/main" count="2528" uniqueCount="1495">
  <si>
    <t>Grado</t>
  </si>
  <si>
    <t>Comunidad</t>
  </si>
  <si>
    <t>Nombre del Alumno</t>
  </si>
  <si>
    <t>Total</t>
  </si>
  <si>
    <t>Nombre del Padre</t>
  </si>
  <si>
    <t>Nombre de la Madre</t>
  </si>
  <si>
    <t>Gemelos</t>
  </si>
  <si>
    <t>No.</t>
  </si>
  <si>
    <t>Fam.</t>
  </si>
  <si>
    <t>Fec.Nac</t>
  </si>
  <si>
    <t>Num_hijo</t>
  </si>
  <si>
    <t>Sexo</t>
  </si>
  <si>
    <t>Grupo</t>
  </si>
  <si>
    <t>Becados</t>
  </si>
  <si>
    <t>Solicitudes de Beca</t>
  </si>
  <si>
    <t xml:space="preserve">Posibles solicitantes </t>
  </si>
  <si>
    <t>OBSERVACIONES</t>
  </si>
  <si>
    <t>ACUERDO</t>
  </si>
  <si>
    <t>Costo de viaje Terrestre</t>
  </si>
  <si>
    <t>Viaje Aéreo</t>
  </si>
  <si>
    <t>Beca</t>
  </si>
  <si>
    <t>Pendiente de Pago</t>
  </si>
  <si>
    <t>Colegio Hebreo Maguen David, AC</t>
  </si>
  <si>
    <t>Alta</t>
  </si>
  <si>
    <t>Baja</t>
  </si>
  <si>
    <t>Base de Alumnos Viaje a Israel 2018-2019</t>
  </si>
  <si>
    <t>Abadi Cherem Jacobo</t>
  </si>
  <si>
    <t>Abadi Kahan Laura</t>
  </si>
  <si>
    <t>Abiad Romano Miriam</t>
  </si>
  <si>
    <t>Achar Husny Marlyn</t>
  </si>
  <si>
    <t>Achar Saad Mograbi Salomon</t>
  </si>
  <si>
    <t>Alazraki Chalon Daniela</t>
  </si>
  <si>
    <t>Amkie Lobaton Jose</t>
  </si>
  <si>
    <t>Amkie Marcos Zury</t>
  </si>
  <si>
    <t>Araf Zayat Aaron</t>
  </si>
  <si>
    <t>Attie Zonana Sylvia</t>
  </si>
  <si>
    <t>Bazbaz Dly Raquel</t>
  </si>
  <si>
    <t>Benarroch Bittan Aquiba Yudah</t>
  </si>
  <si>
    <t>Benarroch Serfaty Aquiba Samuel</t>
  </si>
  <si>
    <t>Betech Harari David</t>
  </si>
  <si>
    <t>Buzali Mustri Marcos</t>
  </si>
  <si>
    <t>Caltum Kassin Marcos</t>
  </si>
  <si>
    <t>Cattan Levy Isaac</t>
  </si>
  <si>
    <t>Chayo Darwich Diana</t>
  </si>
  <si>
    <t>Chayo Mizrahi Polette</t>
  </si>
  <si>
    <t>Cherem Haiat Elias</t>
  </si>
  <si>
    <t>Cherem Masri Mily</t>
  </si>
  <si>
    <t>Chiver Masri Jaime</t>
  </si>
  <si>
    <t>Chomer Cassab Emilia</t>
  </si>
  <si>
    <t>Cohen Askenazi Raul</t>
  </si>
  <si>
    <t>Cojab Mizrahi Daniela</t>
  </si>
  <si>
    <t>Dabbah Jasqui Elizabeth</t>
  </si>
  <si>
    <t>Dabbah Zonana Jose</t>
  </si>
  <si>
    <t>Dana Ades Marcos</t>
  </si>
  <si>
    <t>Dichi Palombo Elias</t>
  </si>
  <si>
    <t>Djamus Birch David</t>
  </si>
  <si>
    <t>Elfon Shaooli Janet</t>
  </si>
  <si>
    <t>Gittler Sitton Mery</t>
  </si>
  <si>
    <t>Haber Orfali Daniela</t>
  </si>
  <si>
    <t>Halabe Nadjar Jacobo</t>
  </si>
  <si>
    <t>Hamui Botton Michelle</t>
  </si>
  <si>
    <t>Hamui Sutton Arlette</t>
  </si>
  <si>
    <t>Hanono Saba Isaac</t>
  </si>
  <si>
    <t>Harari Bazbaz Nora</t>
  </si>
  <si>
    <t>Harari Cheja Miriam</t>
  </si>
  <si>
    <t>Harari Dabbah Efraim</t>
  </si>
  <si>
    <t>Harari Dayan Moises</t>
  </si>
  <si>
    <t>Harari Djaddah Evelyn</t>
  </si>
  <si>
    <t>Harari Levy Nora</t>
  </si>
  <si>
    <t>Harari Misri Miguel</t>
  </si>
  <si>
    <t>Harari Sacal Tania</t>
  </si>
  <si>
    <t>Ison Misrahi Salomon</t>
  </si>
  <si>
    <t>Jasqui Sitton Jacobo</t>
  </si>
  <si>
    <t>Kababie Atach Sharon</t>
  </si>
  <si>
    <t>Kanan Farca Rebeca</t>
  </si>
  <si>
    <t>Kanan Masri Isaac</t>
  </si>
  <si>
    <t>Laban Abadi Mery</t>
  </si>
  <si>
    <t>Laniado Ginde Moises</t>
  </si>
  <si>
    <t>Leon Jalife Michelle</t>
  </si>
  <si>
    <t>Levy Dabbah Deborah</t>
  </si>
  <si>
    <t>Levy Juszkiewicz Elias</t>
  </si>
  <si>
    <t>Mann Galante Raquel</t>
  </si>
  <si>
    <t>Masri Arakindji Gabriel</t>
  </si>
  <si>
    <t>Matian Saba Sion</t>
  </si>
  <si>
    <t>Matian Zonana Shelly</t>
  </si>
  <si>
    <t>Micha Calderon Isaac</t>
  </si>
  <si>
    <t>Michan Laniado Abraham</t>
  </si>
  <si>
    <t>Mochon Greenspun Vicky</t>
  </si>
  <si>
    <t>Nagar Amkie Isaac</t>
  </si>
  <si>
    <t>Nahmad Guindi Sharon</t>
  </si>
  <si>
    <t>Nahmad Haras Jose</t>
  </si>
  <si>
    <t>Penhos Shamah Elias</t>
  </si>
  <si>
    <t>Penhos Shueke David</t>
  </si>
  <si>
    <t>Sabban Cohen Yael</t>
  </si>
  <si>
    <t>Sacal Haiat Gabriela</t>
  </si>
  <si>
    <t>Salame Orfali Emily</t>
  </si>
  <si>
    <t>Shamosh Dichi Ana</t>
  </si>
  <si>
    <t>Shamosh Tuachi Tania</t>
  </si>
  <si>
    <t>Shayo Dayan Shelly</t>
  </si>
  <si>
    <t>Shmuel Askenazi Daniela</t>
  </si>
  <si>
    <t>Sirazi Zaga Alice</t>
  </si>
  <si>
    <t>Tuachi Dayan Celia</t>
  </si>
  <si>
    <t>Tuachi Kurelwowsky Raquel</t>
  </si>
  <si>
    <t>Tuachi Pasol Jessica</t>
  </si>
  <si>
    <t>Wellman Mustri Shelly</t>
  </si>
  <si>
    <t>Zaga Levy Isaac</t>
  </si>
  <si>
    <t>Zapan Mussali Tania</t>
  </si>
  <si>
    <t>Zetune Moreinis Sabrina Esther</t>
  </si>
  <si>
    <t>Zonana Schatz Amelie</t>
  </si>
  <si>
    <t>Zonana Zagha Janette</t>
  </si>
  <si>
    <t>1er. Pago</t>
  </si>
  <si>
    <t>2o. Pago</t>
  </si>
  <si>
    <t>3er. Pago</t>
  </si>
  <si>
    <t>Prórroga</t>
  </si>
  <si>
    <t>1er. Pago 4 de marzo autorizó Aurora Gómez</t>
  </si>
  <si>
    <t>Rosenfeld Eluani Emily</t>
  </si>
  <si>
    <t>No alumnos del Colegio</t>
  </si>
  <si>
    <t>Nuevo ingreso Agosto 2019</t>
  </si>
  <si>
    <t>Ison Nehmad Gladys</t>
  </si>
  <si>
    <t>Colegio Hebreo Maguen David, A.C.
Eventos comité Pro viaje 2017-2018</t>
  </si>
  <si>
    <t>|</t>
  </si>
  <si>
    <t>Fecha</t>
  </si>
  <si>
    <t>CONCEPTO</t>
  </si>
  <si>
    <t>Real</t>
  </si>
  <si>
    <t>Otros Ing</t>
  </si>
  <si>
    <t>Hafrashat Jalá</t>
  </si>
  <si>
    <t>Jalá Hagulá</t>
  </si>
  <si>
    <t>Venta Jalot</t>
  </si>
  <si>
    <t>Pista</t>
  </si>
  <si>
    <t>Donativos</t>
  </si>
  <si>
    <t>Recetarios</t>
  </si>
  <si>
    <t>Regaías Futbol</t>
  </si>
  <si>
    <t>Carrera</t>
  </si>
  <si>
    <t>Kermes</t>
  </si>
  <si>
    <t>Patrocinio Ficeín efectivo</t>
  </si>
  <si>
    <t>Otros</t>
  </si>
  <si>
    <t>Sub total</t>
  </si>
  <si>
    <t>Programación de Ingresos:</t>
  </si>
  <si>
    <t>Informativo</t>
  </si>
  <si>
    <t>Sobrante de Millas/Nataly Nessim</t>
  </si>
  <si>
    <t>Donativo Sra. Ginna Zonana</t>
  </si>
  <si>
    <t>Donativo Yosi Esquenazi</t>
  </si>
  <si>
    <t>Donativo José Gershberg</t>
  </si>
  <si>
    <t>Alumna</t>
  </si>
  <si>
    <t>Benarroch Serfaty Simi Shirel</t>
  </si>
  <si>
    <t>Fondo de becas Efecivo</t>
  </si>
  <si>
    <t>Becas Otorgadas</t>
  </si>
  <si>
    <t>Becas pendientes de autorizar</t>
  </si>
  <si>
    <t>Nessim Tawil Nataly</t>
  </si>
  <si>
    <t>Tawil Amita Vicky</t>
  </si>
  <si>
    <t>León Azkenazi</t>
  </si>
  <si>
    <t xml:space="preserve">Devolución </t>
  </si>
  <si>
    <t>Fondo de Becas</t>
  </si>
  <si>
    <t>Especie:</t>
  </si>
  <si>
    <t>2 Boletos de avión 100%</t>
  </si>
  <si>
    <t>Nataly Nessim</t>
  </si>
  <si>
    <t>Weintraub Ben Zion</t>
  </si>
  <si>
    <t>Colegio Hebreo maguen David, A.C.</t>
  </si>
  <si>
    <t>Becas y Ayudas 2018-2019</t>
  </si>
  <si>
    <t>% de familias que requieren algún apoyo (total 575)</t>
  </si>
  <si>
    <t>Pendientes de resolución por la comunidad</t>
  </si>
  <si>
    <t>% de alumnos becados (total 1167)</t>
  </si>
  <si>
    <t>Pendientes de resolución por el colegio</t>
  </si>
  <si>
    <t>Comunidad Maguen David</t>
  </si>
  <si>
    <t>Colegio</t>
  </si>
  <si>
    <t>UNAM</t>
  </si>
  <si>
    <t>Incluye beca UNAM</t>
  </si>
  <si>
    <t>Ocultar</t>
  </si>
  <si>
    <t>Ciclo 2016-2017</t>
  </si>
  <si>
    <t>Transporte</t>
  </si>
  <si>
    <t>mail_Padre</t>
  </si>
  <si>
    <t>Celular_Padre</t>
  </si>
  <si>
    <t>mail_Madre</t>
  </si>
  <si>
    <t>Celular_Madre</t>
  </si>
  <si>
    <t>No. Familias becados</t>
  </si>
  <si>
    <t>Num. Familia</t>
  </si>
  <si>
    <t>Familia</t>
  </si>
  <si>
    <t>Matriz2016-2017</t>
  </si>
  <si>
    <t>Monto Colegiatura</t>
  </si>
  <si>
    <t>Monto Reinscripción</t>
  </si>
  <si>
    <t>Monto Canasta</t>
  </si>
  <si>
    <t>% Beca Colegio 16-17</t>
  </si>
  <si>
    <t>Cantidad Beca Colegio 16-17</t>
  </si>
  <si>
    <t>% Beca Prestación 16-17</t>
  </si>
  <si>
    <t>Cantidad Beca Prestación 16-17</t>
  </si>
  <si>
    <t>% Beca Comunidad 16-17</t>
  </si>
  <si>
    <t>Cantidad Beca Comunidad 16-17</t>
  </si>
  <si>
    <t>25% Beca Comunidad 16-18</t>
  </si>
  <si>
    <t>% Beca UNAM 16-17</t>
  </si>
  <si>
    <t>Cantidad Beca UNAM 16-18</t>
  </si>
  <si>
    <r>
      <rPr>
        <b/>
        <strike/>
        <sz val="12"/>
        <rFont val="Tahoma"/>
        <family val="2"/>
      </rPr>
      <t xml:space="preserve">% </t>
    </r>
    <r>
      <rPr>
        <b/>
        <sz val="12"/>
        <rFont val="Tahoma"/>
        <family val="2"/>
      </rPr>
      <t>Beca Reinscripción 16-17</t>
    </r>
  </si>
  <si>
    <r>
      <rPr>
        <b/>
        <strike/>
        <sz val="12"/>
        <rFont val="Tahoma"/>
        <family val="2"/>
      </rPr>
      <t>Cantidad</t>
    </r>
    <r>
      <rPr>
        <b/>
        <sz val="12"/>
        <rFont val="Tahoma"/>
        <family val="2"/>
      </rPr>
      <t xml:space="preserve"> Reinscripción 16-17</t>
    </r>
  </si>
  <si>
    <t>% Beca Canasta 16-17</t>
  </si>
  <si>
    <t>Cantidad Beca Canasta 16-17</t>
  </si>
  <si>
    <t>Monto Becado 16-17</t>
  </si>
  <si>
    <t>Monto Pagado X Alumno 16-17</t>
  </si>
  <si>
    <t>Antigüedad (Ciclos atrás)</t>
  </si>
  <si>
    <t>Matriz 2017-2018</t>
  </si>
  <si>
    <t>Grado 17-18</t>
  </si>
  <si>
    <t xml:space="preserve">Monto Colegiatura </t>
  </si>
  <si>
    <t>Reinscripción</t>
  </si>
  <si>
    <t>Canasta</t>
  </si>
  <si>
    <t>% Solicitado Beca Colegio</t>
  </si>
  <si>
    <t>% AutorizadoBeca Colegiatura 17-18</t>
  </si>
  <si>
    <t>Cantidad Beca Colegiatura 17-18</t>
  </si>
  <si>
    <t>% Beca Prestacion 17-18</t>
  </si>
  <si>
    <t>Cantidad Beca Prestacion 17-18</t>
  </si>
  <si>
    <t>% Beca Canasta 17-18</t>
  </si>
  <si>
    <t>Cantidad Beca Canasta 17-18</t>
  </si>
  <si>
    <t>% Beca Reinscripciones 18-19</t>
  </si>
  <si>
    <t>Cantidad Beca Reinscripciones 18-19</t>
  </si>
  <si>
    <t>25 % Cantidad Beca Comunidad Colegiatura 17-18</t>
  </si>
  <si>
    <t>30% Cantidad Beca Reinscripciones Comunidad 18-19</t>
  </si>
  <si>
    <t>% Beca UNAM 17-18</t>
  </si>
  <si>
    <t>Cantidad Beca UNAM Colegiatura17-18</t>
  </si>
  <si>
    <t>% Beca Reinscripciones UNAM 17-18</t>
  </si>
  <si>
    <t>Cantidad Beca Reinscripciones UNAM 17-18</t>
  </si>
  <si>
    <t>Cantidad Becada por el Colegio</t>
  </si>
  <si>
    <t>% Beca Comunidad 17-18</t>
  </si>
  <si>
    <t>Cantidad Beca Comunidad Colegiatura 17-18</t>
  </si>
  <si>
    <t>75% Cantidad Beca Comunidad Colegiatura 17-18</t>
  </si>
  <si>
    <t>% Beca Reinscripciones Comunidad 18-19</t>
  </si>
  <si>
    <t>Cantidad Beca Reinscripciones Comunidad 18-19</t>
  </si>
  <si>
    <t>70% Cantidad Beca Reinscripciones 18-19</t>
  </si>
  <si>
    <t>Cantidad  a recibir de la Comunidad</t>
  </si>
  <si>
    <t>Monto Becado 17-18 (no percibe el Colegio)</t>
  </si>
  <si>
    <t>Monto Pagado X Alumno 17-18</t>
  </si>
  <si>
    <t>Monto Pagado X Otro</t>
  </si>
  <si>
    <t>Observaciones</t>
  </si>
  <si>
    <t>ACUERDOS</t>
  </si>
  <si>
    <t>Columna1</t>
  </si>
  <si>
    <t>Colegio+Prestaciones+UNAM</t>
  </si>
  <si>
    <t>Monto</t>
  </si>
  <si>
    <t>Comunidad2</t>
  </si>
  <si>
    <t>Monto3</t>
  </si>
  <si>
    <t>25% de Monto</t>
  </si>
  <si>
    <t>75% de Monto</t>
  </si>
  <si>
    <t>especial</t>
  </si>
  <si>
    <t>Matriz 2</t>
  </si>
  <si>
    <t>Matriz 2018-2019</t>
  </si>
  <si>
    <t>Grado 18-19</t>
  </si>
  <si>
    <t>Monto Colegiatura 2018-2019</t>
  </si>
  <si>
    <t>Reinscripción 2019-2020</t>
  </si>
  <si>
    <t>Canasta 2018-2019</t>
  </si>
  <si>
    <t>% Solicitado Beca Colegio 2018-2019</t>
  </si>
  <si>
    <t>% AutorizadoBeca Colegiatura 18-19</t>
  </si>
  <si>
    <t>Cantidad Beca Colegiatura 18-19</t>
  </si>
  <si>
    <t>% Beca Prestacion 18-19</t>
  </si>
  <si>
    <t>Cantidad Beca Prestacion 18-19</t>
  </si>
  <si>
    <t>% Beca Canasta 18-19</t>
  </si>
  <si>
    <t>Cantidad Beca Canasta 18-19</t>
  </si>
  <si>
    <t>% Beca Reinscripciones 19-20</t>
  </si>
  <si>
    <t>Cantidad Beca Reinscripciones 19-20</t>
  </si>
  <si>
    <t>25 % Cantidad Beca Comunidad Colegiatura 19-20</t>
  </si>
  <si>
    <t>25% Cantidad Beca Reinscripciones Comunidad 19-20</t>
  </si>
  <si>
    <t>% Beca UNAM 18-19</t>
  </si>
  <si>
    <t>Cantidad Beca UNAM Colegiatura 18-19</t>
  </si>
  <si>
    <t>% Beca Reinscripciones UNAM 18-19</t>
  </si>
  <si>
    <t>Cantidad Beca Reinscripciones UNAM 18-19</t>
  </si>
  <si>
    <t>Cantidad Becada por el Colegio sin Prestaciones</t>
  </si>
  <si>
    <t>% Beca Comunidad 18-19</t>
  </si>
  <si>
    <t>Cantidad Beca Comunidad Colegiatura 18-19</t>
  </si>
  <si>
    <t>75% Cantidad Beca Comunidad Colegiatura 18-19</t>
  </si>
  <si>
    <t>% Beca Reinscripciones Comunidad 19-20</t>
  </si>
  <si>
    <t>Cantidad Beca Reinscripciones Comunidad 19-20</t>
  </si>
  <si>
    <t>75% Cantidad Beca Reinscripciones 19-20</t>
  </si>
  <si>
    <t xml:space="preserve">Cantidad  a recibir de la Comunidad </t>
  </si>
  <si>
    <t>Monto Becado 18-19 (no percibe el Colegio)</t>
  </si>
  <si>
    <t>Monto Becado X Alumno 18-19</t>
  </si>
  <si>
    <t>Trasporte</t>
  </si>
  <si>
    <t>Abadi Marcus Isaac*</t>
  </si>
  <si>
    <t>Zonana Memun Margie</t>
  </si>
  <si>
    <t>Abadi Zonana</t>
  </si>
  <si>
    <t>MAGUEN DAVID</t>
  </si>
  <si>
    <t>Abadi Zonana Antonio</t>
  </si>
  <si>
    <t>B M 40% 2 Secun</t>
  </si>
  <si>
    <t>2o. de Secundaria</t>
  </si>
  <si>
    <t>B Pt. 40% 3 Secun</t>
  </si>
  <si>
    <t>3o. de Secundaria</t>
  </si>
  <si>
    <t>Pago Anual *</t>
  </si>
  <si>
    <t>Abadi Zonana Marcos</t>
  </si>
  <si>
    <t>B M 40% 2 Prima</t>
  </si>
  <si>
    <t>2o. de Primaria</t>
  </si>
  <si>
    <t>B Pt. 40% 3 Prima</t>
  </si>
  <si>
    <t>3o. de Primaria</t>
  </si>
  <si>
    <t>Ades Guindi Alberto</t>
  </si>
  <si>
    <t>Djemal Cassab Margaret</t>
  </si>
  <si>
    <t>Ades Djemal</t>
  </si>
  <si>
    <t>Ades Djemal Laila</t>
  </si>
  <si>
    <t>Nueva</t>
  </si>
  <si>
    <t>B UNAM 80% 1 CCH</t>
  </si>
  <si>
    <t>1er Semestre Bachillerato</t>
  </si>
  <si>
    <t>Aflalo Benzaquen Jacky</t>
  </si>
  <si>
    <t>Rajchenberg Beniamini Tamy</t>
  </si>
  <si>
    <t>Aflalo Rajchenberg</t>
  </si>
  <si>
    <t>Aflalo Rajchenberg Samuel</t>
  </si>
  <si>
    <t>B Col 30% Kinder Grande</t>
  </si>
  <si>
    <t>Kinder Grande</t>
  </si>
  <si>
    <t>B Col 30% Prepr</t>
  </si>
  <si>
    <t>Preprimaria</t>
  </si>
  <si>
    <t>Citarlo en agosto - beca provisional- un niño en guarderia y la esposa no trabaja</t>
  </si>
  <si>
    <t>Amon Cojab Benjamin</t>
  </si>
  <si>
    <t>Hini Chacalo Raquel</t>
  </si>
  <si>
    <t>Amon Hini</t>
  </si>
  <si>
    <t>Amon Hini Sara</t>
  </si>
  <si>
    <t>Bc Col 30 CMD 70 1 Prima</t>
  </si>
  <si>
    <t>1o. de Primaria</t>
  </si>
  <si>
    <t>Bc Col 30 CMD 70 2 Prima</t>
  </si>
  <si>
    <t>No se beca canasta ni reinscripción, esposa no trabaja,  revisar con la comunidad</t>
  </si>
  <si>
    <t>Aruh Nagar Gad</t>
  </si>
  <si>
    <t>Perez Schipper Doris</t>
  </si>
  <si>
    <t>Aruh Perez</t>
  </si>
  <si>
    <t>SEFARADI</t>
  </si>
  <si>
    <t>Aruh Perez Jenny</t>
  </si>
  <si>
    <t>B Col 35% Kinder Chico</t>
  </si>
  <si>
    <t>Kinder Chico</t>
  </si>
  <si>
    <t>Se le informa la 1a. Semana de septiembre / revisar con Linda Chayo</t>
  </si>
  <si>
    <t>Ashkenazi Tavashi Yehoshua</t>
  </si>
  <si>
    <t>Berkman Michan Miriam</t>
  </si>
  <si>
    <t>Ashkenazi Berkman</t>
  </si>
  <si>
    <t>Ashkenazi Berkman Lucy Leah</t>
  </si>
  <si>
    <t>Bc COL 15 CMD 50 Preprimaria</t>
  </si>
  <si>
    <t>Bc COL 15 CMD 50 1 Prima</t>
  </si>
  <si>
    <t>Si la comunidad da el mismo % nosotros tabién</t>
  </si>
  <si>
    <t>Ashkenazi Berkman Raquel</t>
  </si>
  <si>
    <t>Askenazi Marcus Eduardo</t>
  </si>
  <si>
    <t>Cojab Araf Lilian</t>
  </si>
  <si>
    <t>Askenazi Cojab</t>
  </si>
  <si>
    <t>Askenazi Cojab Elias</t>
  </si>
  <si>
    <t>Bc COL 25 CMD 50 4 Prima</t>
  </si>
  <si>
    <t>4o. de Primaria</t>
  </si>
  <si>
    <t>Bc COL 25 CMD 50 5 Prima</t>
  </si>
  <si>
    <t>5o. de Primaria</t>
  </si>
  <si>
    <t>Pendiente al resultado de la comunidad y con el mismo % de beca</t>
  </si>
  <si>
    <t>Askenazi Cojab Linda</t>
  </si>
  <si>
    <t>Bc COL 25 CMD 50 6 Prima</t>
  </si>
  <si>
    <t>6o. de Primaria</t>
  </si>
  <si>
    <t>Bc COL 25 CMD 50 1 Secun</t>
  </si>
  <si>
    <t>1o. de Secundaria</t>
  </si>
  <si>
    <t>Askenazi Cojab Ramon</t>
  </si>
  <si>
    <t>Bc COL 25 CMD 50 Prepr</t>
  </si>
  <si>
    <t>Bc COL 25 CMD 50 1 Prima</t>
  </si>
  <si>
    <t>Attie Sutton Raul *</t>
  </si>
  <si>
    <t>Harari Helfon Lety</t>
  </si>
  <si>
    <t>Attie Harari</t>
  </si>
  <si>
    <t>Attie Harari Moises</t>
  </si>
  <si>
    <t>B M 40% 3 Secun</t>
  </si>
  <si>
    <t>B Pt. 40% 1 CCH</t>
  </si>
  <si>
    <t>Attie Harari Rossy</t>
  </si>
  <si>
    <t>Basson Darwish Isaac</t>
  </si>
  <si>
    <t>Amkie Kattan Tanya</t>
  </si>
  <si>
    <t>Basson Amkie</t>
  </si>
  <si>
    <t>Basson Amkie Elias</t>
  </si>
  <si>
    <t>Bc Col 30 CMD 40 2 Secun</t>
  </si>
  <si>
    <t>Bc Col 30 CMD 50 3 Secun</t>
  </si>
  <si>
    <t>Comunidad, se responde en agosto</t>
  </si>
  <si>
    <t>Behar Sidauy Marcos</t>
  </si>
  <si>
    <t>Harari Mansur Sarah*</t>
  </si>
  <si>
    <t>Behar Harari</t>
  </si>
  <si>
    <t>Behar Harari Tania</t>
  </si>
  <si>
    <t>B M 25% Prerpimaria</t>
  </si>
  <si>
    <t>B Pt. 25% 1 Prima</t>
  </si>
  <si>
    <t>Ben Zion Zonana Ezra*</t>
  </si>
  <si>
    <t>Cassab Cohen Leila</t>
  </si>
  <si>
    <t>Ben Zión Cassab</t>
  </si>
  <si>
    <t>Ben Zion Cassab Aharon</t>
  </si>
  <si>
    <t>Bc COL 50 CMD 50 Prepr</t>
  </si>
  <si>
    <t>Bc COL 60 CMD 40 1 Prima</t>
  </si>
  <si>
    <t>Tenía 50% de comunidad y 50% colegio; este año la comunidad no ha entregado beca de la familia</t>
  </si>
  <si>
    <t>Ben Zión Cassab Raquel</t>
  </si>
  <si>
    <t>Bc COL 50 CMD 50 4 Prima</t>
  </si>
  <si>
    <t>Bc COL 60 CMD 40 5 Prima</t>
  </si>
  <si>
    <t>No becar reinscripcion, ir a la comunidad</t>
  </si>
  <si>
    <t>Falta que la comunidad entregue la beca</t>
  </si>
  <si>
    <t>Ben Zion Cassab Sarah</t>
  </si>
  <si>
    <t>Bc COL 50 CMD 50 K chico</t>
  </si>
  <si>
    <t>Bc COL 60 CMD 40 K Grande</t>
  </si>
  <si>
    <t>Betech Dabbah Isidoro</t>
  </si>
  <si>
    <t>Malach Cohen Sofia</t>
  </si>
  <si>
    <t>Betech Malach</t>
  </si>
  <si>
    <t>Betech Malach Jack</t>
  </si>
  <si>
    <t>Bc COL 40 CMD 40 4 Prima</t>
  </si>
  <si>
    <t>Ene-May</t>
  </si>
  <si>
    <t>Betech Malach Ramon</t>
  </si>
  <si>
    <t>Bc Col 40 CMD 40 3 Secun</t>
  </si>
  <si>
    <t>Bettech Bochi David</t>
  </si>
  <si>
    <t>Gaon Raz Liat</t>
  </si>
  <si>
    <t>Bettish Gaon</t>
  </si>
  <si>
    <t>Bettish Gaon Mor Bat Shva</t>
  </si>
  <si>
    <t>Bc COL 30 CMD 70 6 Prima *</t>
  </si>
  <si>
    <t>Birch Morse</t>
  </si>
  <si>
    <t>Birch Morse Jacobo</t>
  </si>
  <si>
    <t>Birch Morse Vivian</t>
  </si>
  <si>
    <t>Btesh Zonana Jacobo</t>
  </si>
  <si>
    <t>Senado Cain Vivian</t>
  </si>
  <si>
    <t>Btesh Senado</t>
  </si>
  <si>
    <t>Btesh Senado Michelle</t>
  </si>
  <si>
    <t>B CMD 50% 3 Prima</t>
  </si>
  <si>
    <t>B CMD 50% 4 Prima</t>
  </si>
  <si>
    <t>Chalon Askenazi Raul</t>
  </si>
  <si>
    <t>Hop Dumani Adela*</t>
  </si>
  <si>
    <t>Chalon Hop</t>
  </si>
  <si>
    <t>Chalon Hop Jacobo</t>
  </si>
  <si>
    <t>Bc M 40 CMD 50 4 Prima</t>
  </si>
  <si>
    <t>Bc COL 40 CMD 50 5 Prima</t>
  </si>
  <si>
    <t>No se beca reinscripcion ni canasta</t>
  </si>
  <si>
    <t>Chalon Hop Mily</t>
  </si>
  <si>
    <t>Bc M 40 CMD 50 1 CCH</t>
  </si>
  <si>
    <t>Bc COL 40 CMD 50 2 CCH</t>
  </si>
  <si>
    <t>3er Semestre Bachillerato</t>
  </si>
  <si>
    <t>Cherem Picciotto Jose</t>
  </si>
  <si>
    <t>Capon Shamosh Henriette</t>
  </si>
  <si>
    <t>Cherem Capon</t>
  </si>
  <si>
    <t>Cherem Capon Elias</t>
  </si>
  <si>
    <t>Bc Col 30 CMD 70 5 Prima</t>
  </si>
  <si>
    <t>Bc Col 30 CMD 70 6 Prima</t>
  </si>
  <si>
    <t>Comunidad, se responde en agosto, esposa no trabaja</t>
  </si>
  <si>
    <t>Cohen Kanan Elias</t>
  </si>
  <si>
    <t>Askenazi Sutton Leticia *</t>
  </si>
  <si>
    <t>Cohen Askenazi</t>
  </si>
  <si>
    <t>MONTE SINAI</t>
  </si>
  <si>
    <t>B Col 100% 2 Secun*</t>
  </si>
  <si>
    <t>Ago-Dic Renovada de Ene-May</t>
  </si>
  <si>
    <t>Cohen Credi Rina</t>
  </si>
  <si>
    <t xml:space="preserve">Cohen Credi </t>
  </si>
  <si>
    <t>Cohen Credi Miriam</t>
  </si>
  <si>
    <t>B CMD 80% 1 Prima</t>
  </si>
  <si>
    <t>B CMD 80% 2 Prima</t>
  </si>
  <si>
    <t>Cohen Motola Daniel</t>
  </si>
  <si>
    <t>Wlodawer Charaf Debora</t>
  </si>
  <si>
    <t>Cohen Wlodawer</t>
  </si>
  <si>
    <t>Cohen Wlodawer Lily</t>
  </si>
  <si>
    <t>B M 40% 4 Prima</t>
  </si>
  <si>
    <t>B Pt. 40% 5 Prima</t>
  </si>
  <si>
    <t>Cohen Wlodawer Rebeca</t>
  </si>
  <si>
    <t>B Pt. 40% 1 Secun</t>
  </si>
  <si>
    <t>Esses Zaga Rafael</t>
  </si>
  <si>
    <t>Arakanchi Mustri Fortuna</t>
  </si>
  <si>
    <t>Esses Arakanchi</t>
  </si>
  <si>
    <t>Esses Arakanchi Ivonne</t>
  </si>
  <si>
    <t>B CMD 60% Kinder Grande</t>
  </si>
  <si>
    <t>Esses Arakanchi León</t>
  </si>
  <si>
    <t>B CMD 60% 2 Prima</t>
  </si>
  <si>
    <t>B CMD 60% 3 Prima</t>
  </si>
  <si>
    <t>Enviar a la comunidad</t>
  </si>
  <si>
    <t>Guindi Nakach Albert*</t>
  </si>
  <si>
    <t>Elabos Cassin Natalia</t>
  </si>
  <si>
    <t>Guindi Elabos</t>
  </si>
  <si>
    <t>Guindi Elabos Moises</t>
  </si>
  <si>
    <t>Bc COL 10 CMD 40 3 Prima</t>
  </si>
  <si>
    <t>Bc Col 10 CMD 60 4 Prima</t>
  </si>
  <si>
    <t>Ver con la comunidad y se queda con el mismo %</t>
  </si>
  <si>
    <t>Guindi Elabos Ruthy</t>
  </si>
  <si>
    <t>Bc COL 10 CMD 40 5 Prima</t>
  </si>
  <si>
    <t>Bc COL 10 CMD 60 6 Prima</t>
  </si>
  <si>
    <t>Guindi Elabos Sofia</t>
  </si>
  <si>
    <t>Hamui Saad Elias</t>
  </si>
  <si>
    <t>Botton Harari Raquel*</t>
  </si>
  <si>
    <t>Hamui Botton</t>
  </si>
  <si>
    <t>Hamui Botton Sharon</t>
  </si>
  <si>
    <t>B UNAM 80% 2 CCH</t>
  </si>
  <si>
    <t>Hamui Harari Elias</t>
  </si>
  <si>
    <t>Cohen Mohana Antonia</t>
  </si>
  <si>
    <t>Hamui Cohen</t>
  </si>
  <si>
    <t>Hamui Cohen Anthony</t>
  </si>
  <si>
    <t>Bc COL 30 CMD 60 3 Secun</t>
  </si>
  <si>
    <t>Bc COL 30 CMD 60 1 CCH*</t>
  </si>
  <si>
    <t>Revisar con la comunidad y el mismo % beca,  que paguen las 3 canastas</t>
  </si>
  <si>
    <t>Puede pagar reinscripción</t>
  </si>
  <si>
    <t>40/40/100</t>
  </si>
  <si>
    <t>Hamui Cohen Esther</t>
  </si>
  <si>
    <t>Bc COL 30 CMD 60 5 Prima</t>
  </si>
  <si>
    <t>Bc COL 30 CMD 60 6 Prima*</t>
  </si>
  <si>
    <t>Hamui Cohen Moises</t>
  </si>
  <si>
    <t>B Col 100% Kinder Chico</t>
  </si>
  <si>
    <t>B Col 100% Kinder Grande *</t>
  </si>
  <si>
    <t>Hanono Harari Edward</t>
  </si>
  <si>
    <t>Saba Btesh Raquel</t>
  </si>
  <si>
    <t>Hanono Saba</t>
  </si>
  <si>
    <t>B Col 100% 1 Secun</t>
  </si>
  <si>
    <t>Bc COL 50 CMD 50 2 Secun</t>
  </si>
  <si>
    <t>No  se beca canasta ni reinscripcion, y se reivsa con comunidad</t>
  </si>
  <si>
    <t>Hanono Saba Jack</t>
  </si>
  <si>
    <t>Bc COL 50 CMD 50 3 Secun</t>
  </si>
  <si>
    <t>Hanono Saba Simon</t>
  </si>
  <si>
    <t>Husni Laniado Teofilo</t>
  </si>
  <si>
    <t>Bettech Shamosh Nelly</t>
  </si>
  <si>
    <t>Husni Bettech</t>
  </si>
  <si>
    <t>Husni Bettech Gloria</t>
  </si>
  <si>
    <t>B Col 65% 5 Prima</t>
  </si>
  <si>
    <t>Se autoriza sólo por éste ciclo, y tienen que acercarse a la comunuidad.</t>
  </si>
  <si>
    <t>La comunidad negó la Beca y necesitan un 65% en colegiaturascon ambas hijas,  para pagar $15,700 mensuales</t>
  </si>
  <si>
    <t>Husni Bettech Vida</t>
  </si>
  <si>
    <t>Iyune Faena Aaron</t>
  </si>
  <si>
    <t>Dan Sztankeler Yael</t>
  </si>
  <si>
    <t>Iyune Dan</t>
  </si>
  <si>
    <t>Iyune Dan Gabriel</t>
  </si>
  <si>
    <t>B CMD 100% Maternal*</t>
  </si>
  <si>
    <t>Maternal</t>
  </si>
  <si>
    <t>Iyune Dan Raquel</t>
  </si>
  <si>
    <t>B CMD 100% Preprimaria</t>
  </si>
  <si>
    <t>B CMD 100% 1 Prima *</t>
  </si>
  <si>
    <t>Jano Ourfal Moises</t>
  </si>
  <si>
    <t>Feldman Chomer Miriam R.</t>
  </si>
  <si>
    <t>Jano Feldman</t>
  </si>
  <si>
    <t>Jano Feldman Alberto</t>
  </si>
  <si>
    <t>B Col 37.88% 3 Prima</t>
  </si>
  <si>
    <t>B Col 20% 4 Prima</t>
  </si>
  <si>
    <t>Jano Feldman Gabriela</t>
  </si>
  <si>
    <t>B Col 37.88% 6 Prima</t>
  </si>
  <si>
    <t>B Col 20% 1 Secun</t>
  </si>
  <si>
    <t>Jano Feldman Ivanna</t>
  </si>
  <si>
    <t>Jano Feldman Odette</t>
  </si>
  <si>
    <t>Jano Feldman Tamara</t>
  </si>
  <si>
    <t>B Col 37.88% 2 Secun</t>
  </si>
  <si>
    <t>B Col 20% 3 Secun</t>
  </si>
  <si>
    <t>Bajar la beca al 20%, citarlo en agosto, ultimo año de beca</t>
  </si>
  <si>
    <t>Jasqui Tawil Abud</t>
  </si>
  <si>
    <t>Metta Romano Zequi</t>
  </si>
  <si>
    <t>Jasqui Metta</t>
  </si>
  <si>
    <t>Jasqui Metta Elias</t>
  </si>
  <si>
    <t>B CMD 80% 1 CCH</t>
  </si>
  <si>
    <t>Recibo de Donativo, cubre todo el ciclo</t>
  </si>
  <si>
    <t>Kanan Choco Fredy</t>
  </si>
  <si>
    <t>Farca Amiga Liz*</t>
  </si>
  <si>
    <t>Kanan Farca</t>
  </si>
  <si>
    <t>Kanan Farca Alberto</t>
  </si>
  <si>
    <t>Kanan Farca Sharon Esther</t>
  </si>
  <si>
    <t>Kassin Tawil Leon</t>
  </si>
  <si>
    <t>Kababie Halabe Paulina *</t>
  </si>
  <si>
    <t>Kassin Kababie</t>
  </si>
  <si>
    <t>Kassin Kababie Ana</t>
  </si>
  <si>
    <t>Khodari Saadia Jacques</t>
  </si>
  <si>
    <t>Sasson Romano Orit</t>
  </si>
  <si>
    <t>Khodari Sasson</t>
  </si>
  <si>
    <t>Khodari Sasson Gabriel</t>
  </si>
  <si>
    <t>B Col 50% 1 Secun*</t>
  </si>
  <si>
    <t>Pendiente más información  de la beca que tuvo su hija del colegio/ Lila no requiere de los servicios por el momento</t>
  </si>
  <si>
    <t>Laniado Lobaton Salvador</t>
  </si>
  <si>
    <t>Abud Harari Sofia</t>
  </si>
  <si>
    <t>Laniado Abud</t>
  </si>
  <si>
    <t>Laniado Abud Paulette</t>
  </si>
  <si>
    <t>5to Semestre Bachillerato</t>
  </si>
  <si>
    <t>Laniado Shamosh Salomon</t>
  </si>
  <si>
    <t>Levy Dichi Sara</t>
  </si>
  <si>
    <t>Laniado Levy</t>
  </si>
  <si>
    <t>Laniado Levy Yadah</t>
  </si>
  <si>
    <t>B CMD 60% 3 Secun</t>
  </si>
  <si>
    <t>Laniado Shamosh Jacobo</t>
  </si>
  <si>
    <t>Marcos Chattah Nancy</t>
  </si>
  <si>
    <t>Laniado Marcos</t>
  </si>
  <si>
    <t>Laniado Marcos Eduardo Shelomo</t>
  </si>
  <si>
    <t>B CMD 60% 1 Secun</t>
  </si>
  <si>
    <t>Laniado Marcos Juliette Mijal</t>
  </si>
  <si>
    <t>Leon Farca Manuel *</t>
  </si>
  <si>
    <t>Jalife Bucay Esther</t>
  </si>
  <si>
    <t>Leon Jalife</t>
  </si>
  <si>
    <t>Leon Jalife Sofia</t>
  </si>
  <si>
    <t>Levy Levy Avy</t>
  </si>
  <si>
    <t>Michan Loren</t>
  </si>
  <si>
    <t>Levy Michan</t>
  </si>
  <si>
    <t>Levy Michan Uzi</t>
  </si>
  <si>
    <t>B Col 50% Kinder chico</t>
  </si>
  <si>
    <t>B Col 50% Kinder Grande</t>
  </si>
  <si>
    <t>Citar en Agosto, y mantiene el 50% de beca</t>
  </si>
  <si>
    <t>Magen Sarfian Hanan</t>
  </si>
  <si>
    <t>Maman Memun Lea Liat</t>
  </si>
  <si>
    <t>Magen Maman</t>
  </si>
  <si>
    <t>Magen Maman Assi</t>
  </si>
  <si>
    <t>B M 25% 5 Prima</t>
  </si>
  <si>
    <t>B Pt. 25% 6 Prima</t>
  </si>
  <si>
    <t>Mann Hasbani Elias</t>
  </si>
  <si>
    <t>Farca Hamui Sofia</t>
  </si>
  <si>
    <t>Mann Farca</t>
  </si>
  <si>
    <t>Mann Farca Jannet</t>
  </si>
  <si>
    <t>B Col 40% 2 Secun</t>
  </si>
  <si>
    <t>B Col 50% 3 Secun</t>
  </si>
  <si>
    <t>Mantener el 50%, la beca ira bajando</t>
  </si>
  <si>
    <t>Mann Farca Stella</t>
  </si>
  <si>
    <t>Mann Moussalli Saad</t>
  </si>
  <si>
    <t>Galante Bucay Graciela</t>
  </si>
  <si>
    <t>Mann Galante</t>
  </si>
  <si>
    <t>B M 50% 6 Prima</t>
  </si>
  <si>
    <t>B Pt. 50% 2 Secun</t>
  </si>
  <si>
    <t>Masri Entebi Salomon</t>
  </si>
  <si>
    <t>Entebi Yedid Raquel</t>
  </si>
  <si>
    <t>Masri Entebi</t>
  </si>
  <si>
    <t>Masri Entebi Sofia</t>
  </si>
  <si>
    <t>Bc COL 10 CMD 40 6 Prima</t>
  </si>
  <si>
    <t>Bc COL 10 CMD 30 1 Secun</t>
  </si>
  <si>
    <t>Masri Laniado Salomon</t>
  </si>
  <si>
    <t>Salame Cohen Raquel</t>
  </si>
  <si>
    <t>Masri Salame</t>
  </si>
  <si>
    <t>Masri Salame Jacobo</t>
  </si>
  <si>
    <t>Bc COL 30 CMD 70 3 Secun</t>
  </si>
  <si>
    <t>Bc Col 30 CMD 70 1 CCH *</t>
  </si>
  <si>
    <t>Quitar la canasta - revisar con comunidad</t>
  </si>
  <si>
    <t>Massry Elliot</t>
  </si>
  <si>
    <t>Zagouri Saad Vicky</t>
  </si>
  <si>
    <t>Massry Zagouri</t>
  </si>
  <si>
    <t>Massry Zagouri Esther</t>
  </si>
  <si>
    <t>Bc COL 50 CMD 50 5 Prima *</t>
  </si>
  <si>
    <t>Quitar la canasta</t>
  </si>
  <si>
    <t>Matian Daneshrad Shahram</t>
  </si>
  <si>
    <t>Saba Btesh Milly</t>
  </si>
  <si>
    <t>Matian Saba</t>
  </si>
  <si>
    <t>Matian Saba Alan</t>
  </si>
  <si>
    <t>B Col 100% 4 Prima</t>
  </si>
  <si>
    <t>Beca 100% colegiatura y reinscripción, Canasta si paga.  El adeudo del ciclo 2016-2017, firma documento y acuerdo de pago. Se revisa su situación en diciembre</t>
  </si>
  <si>
    <t>50/50/50/100</t>
  </si>
  <si>
    <t>Matian Saba Ariela</t>
  </si>
  <si>
    <t>Bc COL 50 CMD 50 6 Prima</t>
  </si>
  <si>
    <t>Matian Saba Nicolle</t>
  </si>
  <si>
    <t>Bc COL 50 CMD 50 1 CCH</t>
  </si>
  <si>
    <t>Matian Shahrokh</t>
  </si>
  <si>
    <t>Zonana Esses Jackeline</t>
  </si>
  <si>
    <t>Matian Zonana</t>
  </si>
  <si>
    <t>Matian Zonana Melanie</t>
  </si>
  <si>
    <t>Bc Col 20 CMD 80 4 Prima</t>
  </si>
  <si>
    <t>Bc Col 20 CMD 80 5 Prima</t>
  </si>
  <si>
    <t>20/20/20/100</t>
  </si>
  <si>
    <t>Bc Col 20 CMD 80 1 Secun</t>
  </si>
  <si>
    <t>Bc Col 20 CMD 80 2 Secun</t>
  </si>
  <si>
    <t>Matian Zonana Sion</t>
  </si>
  <si>
    <t>Matian Zonana Stephanie</t>
  </si>
  <si>
    <t>B Col 100% 2 Prima</t>
  </si>
  <si>
    <t>B Col 100% 3 Prima</t>
  </si>
  <si>
    <t>Mizrahi Aksiote Mario Moiz</t>
  </si>
  <si>
    <t>Roitman Tesone Karen</t>
  </si>
  <si>
    <t>Mizrahi Roitman</t>
  </si>
  <si>
    <t>Mizrahi Roitman Nathan</t>
  </si>
  <si>
    <t>B Col 25% 1 CCH</t>
  </si>
  <si>
    <t>B Col 25% 2 CCH</t>
  </si>
  <si>
    <t>se mantiene el %</t>
  </si>
  <si>
    <t>Mughinstein Lacs Joel*</t>
  </si>
  <si>
    <t>Serur Sitton Janet</t>
  </si>
  <si>
    <t>Mughinstein Serur</t>
  </si>
  <si>
    <t>ASHKENAZI</t>
  </si>
  <si>
    <t>Mughinstein Serur Ariela</t>
  </si>
  <si>
    <t>B M 40% 1 Prima</t>
  </si>
  <si>
    <t>B Pt. 40% 2 Prima</t>
  </si>
  <si>
    <t>Mughinstein Serur Sharon</t>
  </si>
  <si>
    <t>Nessim Battino Jacobo Jacky</t>
  </si>
  <si>
    <t>Tawil Chayo Essi</t>
  </si>
  <si>
    <t>Nessim Tawil</t>
  </si>
  <si>
    <t>Bc Col 60 CMD 40 2 Secun</t>
  </si>
  <si>
    <t>Bc Col 60 CMD 40 3 Secun</t>
  </si>
  <si>
    <t>Se negociará con la comunidad 50 - 50</t>
  </si>
  <si>
    <t>Nissan Harari David</t>
  </si>
  <si>
    <t>Sitton Guindi Mery</t>
  </si>
  <si>
    <t>Nissan Sitton</t>
  </si>
  <si>
    <t>Nissan Sitton Moises</t>
  </si>
  <si>
    <t>B CMD 70% 3 Secun</t>
  </si>
  <si>
    <t>B CMD 70% 1 CCH</t>
  </si>
  <si>
    <t>Policar Sonsino Alberto (qepd)</t>
  </si>
  <si>
    <t>Kassin Ambe Anette *</t>
  </si>
  <si>
    <t>Policar Kassin</t>
  </si>
  <si>
    <t>Policar Kassin Letty</t>
  </si>
  <si>
    <t>B UNAM 100% 1 CCH</t>
  </si>
  <si>
    <t>Romi Babani David</t>
  </si>
  <si>
    <t>Esquenazi Cohen Miriam</t>
  </si>
  <si>
    <t>Romi Esquenazi</t>
  </si>
  <si>
    <t>Romi Esquenazi Sofia</t>
  </si>
  <si>
    <t>B CMD 100% 2 Prima</t>
  </si>
  <si>
    <t>B CMD 100% 3 Prima</t>
  </si>
  <si>
    <t>Saba Mustri Jacobo*</t>
  </si>
  <si>
    <t>Cline Heberkorn Liora</t>
  </si>
  <si>
    <t>Saba Cline</t>
  </si>
  <si>
    <t>Saba Cline Galia</t>
  </si>
  <si>
    <t>B CMD 50% K Grande</t>
  </si>
  <si>
    <t>B CMD 50% Prepr</t>
  </si>
  <si>
    <t>Saba Cline Isaac</t>
  </si>
  <si>
    <t>B CMD 50% 1 Prima</t>
  </si>
  <si>
    <t>B CMD 50% 2 Prima</t>
  </si>
  <si>
    <t>Sacal Cohen Daniel</t>
  </si>
  <si>
    <t>Masri Fajer Jenny</t>
  </si>
  <si>
    <t>Sacal Masri</t>
  </si>
  <si>
    <t>Sacal Masri Teresa</t>
  </si>
  <si>
    <t>Salama Bendayan Moises*</t>
  </si>
  <si>
    <t>Dayan Askenazi Esther</t>
  </si>
  <si>
    <t>Salama Dayan</t>
  </si>
  <si>
    <t>Salama Dayan Alberto</t>
  </si>
  <si>
    <t>Salama Dayan Gabriel</t>
  </si>
  <si>
    <t>B M 40% 6 Prima</t>
  </si>
  <si>
    <t>Salame Cohen Jose *</t>
  </si>
  <si>
    <t>Sutton Shamosh Sara</t>
  </si>
  <si>
    <t>Salame Sutton</t>
  </si>
  <si>
    <t>Salame Sutton Daniel</t>
  </si>
  <si>
    <t>B Col 10% 2 Prima</t>
  </si>
  <si>
    <t>B Col 80% 3 Prima</t>
  </si>
  <si>
    <t>Sfadia Turkia Moshe</t>
  </si>
  <si>
    <t>Mustri Alfie Sara</t>
  </si>
  <si>
    <t>Sfadia Mustri</t>
  </si>
  <si>
    <t>Sfadia Mustri Raquel</t>
  </si>
  <si>
    <t>B CMD 30% 3 Secun</t>
  </si>
  <si>
    <t>B CMD 30% 1 CCH</t>
  </si>
  <si>
    <t>Shalom Aini Elias</t>
  </si>
  <si>
    <t>Saada Cohen Ivonne</t>
  </si>
  <si>
    <t>Shalom Saada</t>
  </si>
  <si>
    <t>Shalom Saada Adel</t>
  </si>
  <si>
    <t>B Col 70% 3 Prima</t>
  </si>
  <si>
    <t>B Col 60% 4 Prima</t>
  </si>
  <si>
    <t>Shalom Saada Carlos</t>
  </si>
  <si>
    <t>B Col 70% 1 CCH</t>
  </si>
  <si>
    <t>B Col 60% 2 CCH</t>
  </si>
  <si>
    <t>Shalom Saada Sara</t>
  </si>
  <si>
    <t>10(paso de un alumno a otro)</t>
  </si>
  <si>
    <t>B Na´amat 100% 6 Prima</t>
  </si>
  <si>
    <t>Na´amat</t>
  </si>
  <si>
    <t>Ver con Enrqiue caso especial</t>
  </si>
  <si>
    <t>Shayo Cohen David</t>
  </si>
  <si>
    <t>Dayan Smeke Jackie</t>
  </si>
  <si>
    <t>Shayo Dayan</t>
  </si>
  <si>
    <t>Shayo Dayan Cecy</t>
  </si>
  <si>
    <t>Bc COL 15 CMD 15 1 CCH</t>
  </si>
  <si>
    <t>2do Semestre Bachillerato</t>
  </si>
  <si>
    <t>Pendiente</t>
  </si>
  <si>
    <t>Cancelada</t>
  </si>
  <si>
    <t>Se mantiene el 15%</t>
  </si>
  <si>
    <t>No ha llegado beca de comunidad</t>
  </si>
  <si>
    <t>Bc COL 15 CMD 15 1 Secun</t>
  </si>
  <si>
    <t>Sin beca</t>
  </si>
  <si>
    <t>Shneck Cohen Dvir</t>
  </si>
  <si>
    <t>Tourkia Katz Vered</t>
  </si>
  <si>
    <t>Shneck Tourkia</t>
  </si>
  <si>
    <t>Shneck Tourkia Zeev</t>
  </si>
  <si>
    <t>Sidauy Halabe Isaac</t>
  </si>
  <si>
    <t>Zonana Sitton Graciela*</t>
  </si>
  <si>
    <t>Sidauy Zonana</t>
  </si>
  <si>
    <t>Sidauy Zonana Abraham</t>
  </si>
  <si>
    <t>B CMD 90% 1 CCH</t>
  </si>
  <si>
    <t>B CMD 80% 2 CCH</t>
  </si>
  <si>
    <t>Baaj Alumno enero 2019</t>
  </si>
  <si>
    <t>Sidauy Zonana Sarah</t>
  </si>
  <si>
    <t>B CMD 90% 2 Secun</t>
  </si>
  <si>
    <t>B CMD 80% 3 Secun</t>
  </si>
  <si>
    <t>Sirazi Cherem Mauricio</t>
  </si>
  <si>
    <t>Zaga Dichy Francis</t>
  </si>
  <si>
    <t>Sirazi Zaga</t>
  </si>
  <si>
    <t>Bc COL 30 CMD 30 1 Secun</t>
  </si>
  <si>
    <t>Bc COL 70 CMD 30 2 Secun</t>
  </si>
  <si>
    <t>Sirazi Zaga Yehuda Rafael</t>
  </si>
  <si>
    <t>Bc COL 30 CMD 30 1 CCH</t>
  </si>
  <si>
    <t>Bc COL 70 CMD 30 2 CCH</t>
  </si>
  <si>
    <t>Sorkin Kranzemblun Eduardo Leopoldo*</t>
  </si>
  <si>
    <t>Amkie Groswirt Jenny</t>
  </si>
  <si>
    <t>Solkin Amkie</t>
  </si>
  <si>
    <t>Sorkin Amkie Gabriel</t>
  </si>
  <si>
    <t>B Col 50% 5 Prima</t>
  </si>
  <si>
    <t>50% de beca</t>
  </si>
  <si>
    <t>Tawil Yedid Salomon</t>
  </si>
  <si>
    <t>Amiga Shamosh Marlyn</t>
  </si>
  <si>
    <t>Tawil Amiga</t>
  </si>
  <si>
    <t>Tawil Amiga Vicky</t>
  </si>
  <si>
    <t>Bc Col 50 CMD 50 3 Secun*</t>
  </si>
  <si>
    <t>Ene-May (con Rein)</t>
  </si>
  <si>
    <t>40% y se le preguntará a la comunidad</t>
  </si>
  <si>
    <t>Tuachi Samra Benjamin</t>
  </si>
  <si>
    <t>Pasol Zonana Sandra</t>
  </si>
  <si>
    <t>Tuachi Pasol</t>
  </si>
  <si>
    <t>Tuachi Pasol Daniela</t>
  </si>
  <si>
    <t>B CMD 50% 6 Prima</t>
  </si>
  <si>
    <t>B CMD 25% 1 Secun</t>
  </si>
  <si>
    <t>B CMD 50% 1 Secun</t>
  </si>
  <si>
    <t>B CMD 25% 2 Secun</t>
  </si>
  <si>
    <t>Tuachi Pasol Naomi</t>
  </si>
  <si>
    <t>B CMD 25% 2 CCH</t>
  </si>
  <si>
    <t>Weintraub Groswirt Enrique</t>
  </si>
  <si>
    <t>Ben Zion Zonana Tany</t>
  </si>
  <si>
    <t>Weintraub Ben Zion Abraham</t>
  </si>
  <si>
    <t>B Col 50% 6 Prima</t>
  </si>
  <si>
    <t>B Col 70% 1 Secun</t>
  </si>
  <si>
    <t>Requisitos para la beca: 
- Qué haga el primer pago al 25 de noviembre a las 14:00 hrs. $25,000.00 
- Citarlo para acordar cuánto abonará al adeudo anterior</t>
  </si>
  <si>
    <t>Weintraub Ben Zion Deborah</t>
  </si>
  <si>
    <t>B Col 50% 2 Secun</t>
  </si>
  <si>
    <t>B Col 70% 3 Secun</t>
  </si>
  <si>
    <t>Wellman Wollenstein Ricardo *</t>
  </si>
  <si>
    <t>Mustri Kurejwowski Fortuna Ilanit</t>
  </si>
  <si>
    <t>Wellman Mustri</t>
  </si>
  <si>
    <t>Wellman Mustri Arie</t>
  </si>
  <si>
    <t>B Col 25% 4 Prima</t>
  </si>
  <si>
    <t>B Col 25% 5 Prima</t>
  </si>
  <si>
    <t>B Col 25% 1 Secun</t>
  </si>
  <si>
    <t>B Col 25% 2 Secun</t>
  </si>
  <si>
    <t>Zaga Hadid Jaime *</t>
  </si>
  <si>
    <t>Cattan Chomer Esther</t>
  </si>
  <si>
    <t>Zaga Cattan</t>
  </si>
  <si>
    <t>Zaga Cattan Carlos</t>
  </si>
  <si>
    <t>Zagursky Grinberg Jose</t>
  </si>
  <si>
    <t>Hamui Cherem Esther</t>
  </si>
  <si>
    <t>Zagursky Hamui</t>
  </si>
  <si>
    <t>Zagursky Hamui Ilan</t>
  </si>
  <si>
    <t>B Col 40% 2 Prima</t>
  </si>
  <si>
    <t>B Col 35% 3 Prima</t>
  </si>
  <si>
    <t>Zagursky Hamui Moises</t>
  </si>
  <si>
    <t>B Col 40% 6 Prima</t>
  </si>
  <si>
    <t>B Col 40% 1 Secun</t>
  </si>
  <si>
    <t>Zagursky Hamui Sophia</t>
  </si>
  <si>
    <t>B Col 40% Preprimaria</t>
  </si>
  <si>
    <t>B Col 40% 1 Prima</t>
  </si>
  <si>
    <t>Zonana Cattan Robert</t>
  </si>
  <si>
    <t>Moussan Farca Rebeca</t>
  </si>
  <si>
    <t>Zonana Moussan</t>
  </si>
  <si>
    <t>Zonana Moussan Eduardo</t>
  </si>
  <si>
    <t>B CMD 35% 5 Prima</t>
  </si>
  <si>
    <t>B CMD 35% 6 Prima</t>
  </si>
  <si>
    <t>De abril a mayo 2018 CHM 65%. De Agosto a Marzo 80% Retroactivo</t>
  </si>
  <si>
    <t>Esperar respuesta de comunidad; revisar la suspensión</t>
  </si>
  <si>
    <t>El ciclo pasado tenía beca de la comunidad del 50% (15-16) y 35% (16-17)</t>
  </si>
  <si>
    <t>Zonana Moussan Reyna</t>
  </si>
  <si>
    <t>B CMD 35% Prepri</t>
  </si>
  <si>
    <t>B CMD 35% 1 Prima</t>
  </si>
  <si>
    <t>Zonana Moussan Sofia</t>
  </si>
  <si>
    <t>B CMD 35% 4 Prima</t>
  </si>
  <si>
    <t>Tuachi Samra Abraham</t>
  </si>
  <si>
    <t>Dayan Smeke Esperanza</t>
  </si>
  <si>
    <t>1801-8254</t>
  </si>
  <si>
    <t>Tuachi Dayan</t>
  </si>
  <si>
    <t>B Col 20% 1+CW151+M+M128:BX139</t>
  </si>
  <si>
    <t>B Col 20% 2 Secun</t>
  </si>
  <si>
    <t>Sacal Romano Carlos *</t>
  </si>
  <si>
    <t>Tuachi Amkie Jessica</t>
  </si>
  <si>
    <t>55-1948-0580</t>
  </si>
  <si>
    <t>Sacal Tuachi</t>
  </si>
  <si>
    <t>Sacal Tuachi Fredel</t>
  </si>
  <si>
    <t>B Col 15% 2 Secun</t>
  </si>
  <si>
    <t>B Col 15% 3 Secun</t>
  </si>
  <si>
    <t>No beca</t>
  </si>
  <si>
    <t>Galante Bucay Jose</t>
  </si>
  <si>
    <t>Abadi Lobaton Susana</t>
  </si>
  <si>
    <t>04455-8583-1703</t>
  </si>
  <si>
    <t>Galante Abadi</t>
  </si>
  <si>
    <t>Galante Abadi Marcos</t>
  </si>
  <si>
    <t>B Col 50% 1 CCH</t>
  </si>
  <si>
    <t>Citarlos en agosto, que se queden con el 50% y dividir los pagos en 12 meses (Jacobo, acompaña)</t>
  </si>
  <si>
    <t>?</t>
  </si>
  <si>
    <t>Gutman Fermon Boris</t>
  </si>
  <si>
    <t>Kurtz Pagovich Karen*</t>
  </si>
  <si>
    <t>3538-0242</t>
  </si>
  <si>
    <t>Gutman Kurtz</t>
  </si>
  <si>
    <t>Gutman Kurtz Elias Isaac</t>
  </si>
  <si>
    <t>B Col 35% 2 Prima</t>
  </si>
  <si>
    <t>B Col 30% 3 Prima</t>
  </si>
  <si>
    <t>Se autoriza</t>
  </si>
  <si>
    <t>Gutman Kurtz Salomon</t>
  </si>
  <si>
    <t>B Col 35% 4 Prima</t>
  </si>
  <si>
    <t>B Col 30% 5 Prima</t>
  </si>
  <si>
    <t>Gutman Kurtz Yosef</t>
  </si>
  <si>
    <t>Hop Galante David</t>
  </si>
  <si>
    <t>Ancona Mercado Linda</t>
  </si>
  <si>
    <t>5551 05 6107</t>
  </si>
  <si>
    <t>Hop Ancona</t>
  </si>
  <si>
    <t>Hop Ancona Aline</t>
  </si>
  <si>
    <t>Citarlo agosto  - cancelacion de beca</t>
  </si>
  <si>
    <t>Penhos Sacal Ramon</t>
  </si>
  <si>
    <t>Shamah Levy Jacqueline</t>
  </si>
  <si>
    <t>5216-8996</t>
  </si>
  <si>
    <t>Penhos Shamah</t>
  </si>
  <si>
    <t>B Col 30% 2 Secun</t>
  </si>
  <si>
    <t>No (Posibilidad de plática)</t>
  </si>
  <si>
    <t>Sacal Attar Jacobo</t>
  </si>
  <si>
    <t>Cohen Amiga Raquel</t>
  </si>
  <si>
    <t>04455-6708-5363</t>
  </si>
  <si>
    <t>Sacal Cohen</t>
  </si>
  <si>
    <t>Sacal Cohen Jacqueline</t>
  </si>
  <si>
    <t>B Col 20% 6 Prima</t>
  </si>
  <si>
    <t>Cacnelada</t>
  </si>
  <si>
    <t>Zonana Tawil Jacobo</t>
  </si>
  <si>
    <t>Abadi Achar Helena</t>
  </si>
  <si>
    <t>1018-7430</t>
  </si>
  <si>
    <t>Zonana Abadi</t>
  </si>
  <si>
    <t>Zonana Abadi Jacqueline</t>
  </si>
  <si>
    <t>Que solicite beca en la comunidad /Nosotros No / David lo comenta con la comunidad</t>
  </si>
  <si>
    <t>Abadi Achar Abraham</t>
  </si>
  <si>
    <t>Chiriti Guakil Elena</t>
  </si>
  <si>
    <t>04455-1815-4036</t>
  </si>
  <si>
    <t>Abadi Chiriti</t>
  </si>
  <si>
    <t>Abadi Chiriti Salomon</t>
  </si>
  <si>
    <t>Bc COL 55 CMD 45 2 CCH</t>
  </si>
  <si>
    <t>Bc COL 55 CMD 45 3 CCH</t>
  </si>
  <si>
    <t>Solicitar información a la comunidad, no se beca reinscripcion ni canasta, aclaracion de viajes.  El viaje fue de Jack (hijo mayor) viaje a Israel y desviaron los vuelos a Madrid por emergencia 2015</t>
  </si>
  <si>
    <t>Sale</t>
  </si>
  <si>
    <t>Askenazi Marcus Isaac</t>
  </si>
  <si>
    <t>Shaooli Attie Dalia *</t>
  </si>
  <si>
    <t>Askenazi Shaooli</t>
  </si>
  <si>
    <t>Askenazi Shaooli Rafael</t>
  </si>
  <si>
    <t>B UNAM 80% 3 CCH</t>
  </si>
  <si>
    <t>04455-1802-3876</t>
  </si>
  <si>
    <t>Shneck Tourkia Rajel</t>
  </si>
  <si>
    <t>Cattan Salem Michel</t>
  </si>
  <si>
    <t>Kohab Michan Sara</t>
  </si>
  <si>
    <t>5216-9614</t>
  </si>
  <si>
    <t>Cattan Kohab</t>
  </si>
  <si>
    <t>Cattan Kohab Isaac</t>
  </si>
  <si>
    <t>Bc COL 50 CMD 40 2 CCH</t>
  </si>
  <si>
    <t>Bc Col 30 CMD 40 3 CCH</t>
  </si>
  <si>
    <t>Viajes, incongruencia en ingresos, tarjetas al dia (40,000 de pago de tarjetas mensuales), no se autoriza aumento y aclaracion de ingresos y gastos</t>
  </si>
  <si>
    <t>Le vemos posibilidades de bajar la beca del colegio al 30%</t>
  </si>
  <si>
    <t>Cattan Kohab Margaret</t>
  </si>
  <si>
    <t>Harari Husny Sadek</t>
  </si>
  <si>
    <t>Arakindji Levy Vicky</t>
  </si>
  <si>
    <t>5109-1342</t>
  </si>
  <si>
    <t>Harari Arakindji</t>
  </si>
  <si>
    <t>Harari Arakindji Sylvia</t>
  </si>
  <si>
    <t>555216-9651</t>
  </si>
  <si>
    <t>Masri Entebi Marcos</t>
  </si>
  <si>
    <t>Bc COL 10 CMD 40 2 CCH</t>
  </si>
  <si>
    <t>Bc COL 10 CMD 30 3 CCH</t>
  </si>
  <si>
    <t>Penhos Shamah Esther</t>
  </si>
  <si>
    <t>B Col 30% 3 CCH</t>
  </si>
  <si>
    <t>Sacal Tuachi Elias</t>
  </si>
  <si>
    <t>B Col 15% 2 CCH</t>
  </si>
  <si>
    <t>B Col 15% 3 CCH</t>
  </si>
  <si>
    <t>Salame Sutton Miriam</t>
  </si>
  <si>
    <t>Cacnelada UNAM</t>
  </si>
  <si>
    <t>04455 6810 4443</t>
  </si>
  <si>
    <t>Weintraub Ben Zion Efrain</t>
  </si>
  <si>
    <t>B Col 50% 2 CCH</t>
  </si>
  <si>
    <t>B Col 70% 3 CCH</t>
  </si>
  <si>
    <t>Monto Becas Autoizadas:</t>
  </si>
  <si>
    <t>Total Becas Colegio (sin prestaciones):</t>
  </si>
  <si>
    <t>Total Beca Colegio</t>
  </si>
  <si>
    <t>Total Becas Comunidad:</t>
  </si>
  <si>
    <t>Total Colegiatura:</t>
  </si>
  <si>
    <t>Monto disponible para becas:</t>
  </si>
  <si>
    <t>Total becas prestaciones:</t>
  </si>
  <si>
    <t>Total Canasta</t>
  </si>
  <si>
    <t>Becas</t>
  </si>
  <si>
    <t>Cantidad</t>
  </si>
  <si>
    <t>Beneficiario</t>
  </si>
  <si>
    <t>Total Reiscripciíon</t>
  </si>
  <si>
    <t>Asociacion Mexicana Na`amat, A. C.</t>
  </si>
  <si>
    <t>Fami Shalom Saada / Sara</t>
  </si>
  <si>
    <t>Organizacion Internacional de Mujeres Sionistas W I Z O A.C.</t>
  </si>
  <si>
    <t>3o. Primaria / No asignada</t>
  </si>
  <si>
    <t>Fundacón para la educación Maguen david, A.C./ Elias Abadía</t>
  </si>
  <si>
    <t>No asignada</t>
  </si>
  <si>
    <t xml:space="preserve"> </t>
  </si>
  <si>
    <t>Ayudas</t>
  </si>
  <si>
    <t>Fundacón para la educación Maguen david, A.C./ Salomón Helfon</t>
  </si>
  <si>
    <t>C.P. Rarafel Sánchez (C.P. del donante) Sr. Marcushamer</t>
  </si>
  <si>
    <t>Fam Kouhen Mustri</t>
  </si>
  <si>
    <t>Abadi Masri Salomon</t>
  </si>
  <si>
    <t>Cherem Cassab Cynthia</t>
  </si>
  <si>
    <t>Abadi Sutton Jaime</t>
  </si>
  <si>
    <t>Kahan Edid Katiana</t>
  </si>
  <si>
    <t>Abiad Esses José</t>
  </si>
  <si>
    <t>Romano Zaga Elisa</t>
  </si>
  <si>
    <t>Achar Tuachi Emilio</t>
  </si>
  <si>
    <t>Husny Carrillo Susan</t>
  </si>
  <si>
    <t>Achar Nacash Emilio</t>
  </si>
  <si>
    <t>Saad Mograbi Saad Dina</t>
  </si>
  <si>
    <t>Alazraki Baum Alejandro</t>
  </si>
  <si>
    <t>Chalon Hanono Sara</t>
  </si>
  <si>
    <t>Amkie Abadi David</t>
  </si>
  <si>
    <t>Marcos Helfon Judith</t>
  </si>
  <si>
    <t>Zayat Hanono Mary</t>
  </si>
  <si>
    <t>Zonana Alfie Margot</t>
  </si>
  <si>
    <t>Bazbaz Maymon Simon</t>
  </si>
  <si>
    <t>Dly Romano Regin</t>
  </si>
  <si>
    <t>Benarroch Hadida Fortunato</t>
  </si>
  <si>
    <t>Bittan Melul Miriam</t>
  </si>
  <si>
    <t>Amkie Elfon Abraham</t>
  </si>
  <si>
    <t xml:space="preserve">Lobaton Tania </t>
  </si>
  <si>
    <t>Araf Hop Michel</t>
  </si>
  <si>
    <t>Attie Sutton Allan</t>
  </si>
  <si>
    <t>Serfaty Garzon Lena</t>
  </si>
  <si>
    <t>Betech Betech Isaac</t>
  </si>
  <si>
    <t>Harari Husny Miriam</t>
  </si>
  <si>
    <t>Buzali Atri Jacobo</t>
  </si>
  <si>
    <t>Mustri Amiga Elena</t>
  </si>
  <si>
    <t>Caltum Chiver Simon</t>
  </si>
  <si>
    <t>Kassin Mansur Leticia Esther</t>
  </si>
  <si>
    <t>Levy Rais Debbie</t>
  </si>
  <si>
    <t>Chayo Amkie Dan</t>
  </si>
  <si>
    <t>Darwich Israel Luisa</t>
  </si>
  <si>
    <t>Chayo Massri Nissim</t>
  </si>
  <si>
    <t>Mizrahi Salmun Yaffa</t>
  </si>
  <si>
    <t xml:space="preserve">Cattan Charabati Marcos </t>
  </si>
  <si>
    <t>Cherem Harari Jacobo</t>
  </si>
  <si>
    <t>Haiat Micha Jessie</t>
  </si>
  <si>
    <t>Masri Abadi Estrella</t>
  </si>
  <si>
    <t>Chiver Amiga Moises</t>
  </si>
  <si>
    <t>Masri Sitton Raquel</t>
  </si>
  <si>
    <t>Cassab Daniel Aline</t>
  </si>
  <si>
    <t>Cojab Cohen Jacobo</t>
  </si>
  <si>
    <t>Mizrahi Galante Lucy</t>
  </si>
  <si>
    <t>Jasqui Cain Cecilia</t>
  </si>
  <si>
    <t>Cherem Cattan Abraham</t>
  </si>
  <si>
    <t xml:space="preserve">Chomer Cherem Abraham </t>
  </si>
  <si>
    <t xml:space="preserve">Askenazi Sutton Leticia </t>
  </si>
  <si>
    <t xml:space="preserve">Dabbah Faena Yona Marcos </t>
  </si>
  <si>
    <t>Dabbah Harari Rafael</t>
  </si>
  <si>
    <t>Zonana Cattan Rosa</t>
  </si>
  <si>
    <t>Dana Nakach Mateo</t>
  </si>
  <si>
    <t>Ades Achar Sara</t>
  </si>
  <si>
    <t>Dichi Cherem Abraham</t>
  </si>
  <si>
    <t>Palombo Zaga Rebeca</t>
  </si>
  <si>
    <t>Djamus Lanado Abraham</t>
  </si>
  <si>
    <t>Birch Shamosh Zequie</t>
  </si>
  <si>
    <t>Elfon Ezban Isaac</t>
  </si>
  <si>
    <t>Shaooli Asse Sofia</t>
  </si>
  <si>
    <t>Haber Nakach Mateo</t>
  </si>
  <si>
    <t>Orfali Chayo Judith</t>
  </si>
  <si>
    <t xml:space="preserve">Gittler Zonana Jose </t>
  </si>
  <si>
    <t>Sitton Harari Patricia</t>
  </si>
  <si>
    <t>Halabe Michan Jose</t>
  </si>
  <si>
    <t>Nadjar Laniado Beatriz</t>
  </si>
  <si>
    <t>Hamui Heifetz Elias</t>
  </si>
  <si>
    <t>Sutton Shamosh Galia</t>
  </si>
  <si>
    <t>Harari Kehela Eric</t>
  </si>
  <si>
    <t>Bazbaz Maymon Sara</t>
  </si>
  <si>
    <t>Cheja Mochon Raquel</t>
  </si>
  <si>
    <t>Harari Husni Moises</t>
  </si>
  <si>
    <t>Dabbah Faena Alegra</t>
  </si>
  <si>
    <t>Botton Harari Raquel</t>
  </si>
  <si>
    <t>Dayan Amkie Elvira</t>
  </si>
  <si>
    <t>Harari Abadi Isaac</t>
  </si>
  <si>
    <t>Djaddah Amkie Margareth</t>
  </si>
  <si>
    <t>Harari Kehela Leon</t>
  </si>
  <si>
    <t>Levy Achar Patricia</t>
  </si>
  <si>
    <t>Harari Sasson Jose</t>
  </si>
  <si>
    <t>Misri Cohen Linda</t>
  </si>
  <si>
    <t>Harari Mansur Jose Henry</t>
  </si>
  <si>
    <t>Sacal Mizrahi Paulina</t>
  </si>
  <si>
    <t>Ison Zaga Alfredo</t>
  </si>
  <si>
    <t>Misrahi Efrato Dalia</t>
  </si>
  <si>
    <t>Jasqui Amiga Salomon</t>
  </si>
  <si>
    <t>Sitton Tawil Sharon</t>
  </si>
  <si>
    <t>Kababie Kalife David</t>
  </si>
  <si>
    <t>Atach Zaga Elisa</t>
  </si>
  <si>
    <t>Kanan Dabbah Jacobo</t>
  </si>
  <si>
    <t>Farca Esquenazi Elena</t>
  </si>
  <si>
    <t>Kanan Hamui Jaime</t>
  </si>
  <si>
    <t>Masri Abadi Genie</t>
  </si>
  <si>
    <t>Abadi Lobaton Deborah</t>
  </si>
  <si>
    <t>Laniado Saade Abraham</t>
  </si>
  <si>
    <t>Dabbah Husni Frida</t>
  </si>
  <si>
    <t>Levy Sitton Eduardo</t>
  </si>
  <si>
    <t>Juszkiewicz Leon Jacqueline</t>
  </si>
  <si>
    <t xml:space="preserve">Laban Mustri Moises </t>
  </si>
  <si>
    <t>Guindi Harari Adela</t>
  </si>
  <si>
    <t xml:space="preserve">Leon Farca Manuel </t>
  </si>
  <si>
    <t xml:space="preserve">Levy Levy Moises </t>
  </si>
  <si>
    <t>Masri Abadi Daniel</t>
  </si>
  <si>
    <t>Arakindji Levy Sharon</t>
  </si>
  <si>
    <t>Micha Mizrahi Rafael</t>
  </si>
  <si>
    <t>Calderon Smeke Vicky</t>
  </si>
  <si>
    <t>Mochon Alfille Leon</t>
  </si>
  <si>
    <t>Greenspun Vardi Sharon</t>
  </si>
  <si>
    <t>Amkie Abadi Vivian</t>
  </si>
  <si>
    <t>Laniado Massri Vicky</t>
  </si>
  <si>
    <t xml:space="preserve">Michan Betech Isaac </t>
  </si>
  <si>
    <t xml:space="preserve">Nagar Shitrit Yosi </t>
  </si>
  <si>
    <t>Guindi Esquenazi Miriam</t>
  </si>
  <si>
    <t>Nahmad Serur Marcos</t>
  </si>
  <si>
    <t>Haras Uzel Orli</t>
  </si>
  <si>
    <t>Penhos Erfeli Jacobo</t>
  </si>
  <si>
    <t>Shueke Abadi Patty</t>
  </si>
  <si>
    <t>Cohen Bissu Vivian</t>
  </si>
  <si>
    <t>Sacal Levy Elias</t>
  </si>
  <si>
    <t>Haiat Micha Bella</t>
  </si>
  <si>
    <t>Nahmad Rozillo Marcos</t>
  </si>
  <si>
    <t>Sabban Ashkenazi Shmueal</t>
  </si>
  <si>
    <t>Salame Alfie Salomon</t>
  </si>
  <si>
    <t>Orfali Chayo Sharon</t>
  </si>
  <si>
    <t>Shamosh Helfon Abdo</t>
  </si>
  <si>
    <t>Dichi Tawil Sara</t>
  </si>
  <si>
    <t>Shmuel Farca Ofer</t>
  </si>
  <si>
    <t>Askenazi Mustri Esther</t>
  </si>
  <si>
    <t>Tuachi Rayek Marcos</t>
  </si>
  <si>
    <t>Kurelwowsky Amiga Sharon</t>
  </si>
  <si>
    <t>Levy Dichi Esther</t>
  </si>
  <si>
    <t xml:space="preserve">Wellman Wollenstein Ricardo </t>
  </si>
  <si>
    <t xml:space="preserve">Zaga Romano Jacobo </t>
  </si>
  <si>
    <t>Mussali Galante Carla</t>
  </si>
  <si>
    <t>Zetune Jafif Elias</t>
  </si>
  <si>
    <t>Moreinis Ojalvo Solly Rebeca</t>
  </si>
  <si>
    <t>Zonana. Jacobo</t>
  </si>
  <si>
    <t>Schatz Kurejwowski Batsheva</t>
  </si>
  <si>
    <t>Zonana Sitton Isaac</t>
  </si>
  <si>
    <t>Zagha Hop Sofia</t>
  </si>
  <si>
    <t xml:space="preserve">Zapan Shuchleib Elias </t>
  </si>
  <si>
    <t>Harari Askenazi Isaac Alfonso</t>
  </si>
  <si>
    <t>Harari Mansur Aslan Leon</t>
  </si>
  <si>
    <t>Benarroch Hadida Leon Daniel</t>
  </si>
  <si>
    <t>Ison Zaga Salomon</t>
  </si>
  <si>
    <t>Nehmad Guindi Marlyn</t>
  </si>
  <si>
    <t>Eluani Franco Malkah</t>
  </si>
  <si>
    <t>Shamosh Hanono David</t>
  </si>
  <si>
    <t>Tuachi Amkie Michelle</t>
  </si>
  <si>
    <t>Beca 100 % Colegiatura Colegio/Beca 100% Reinscrip. Colegio</t>
  </si>
  <si>
    <t>Beca 50% Colegio y 40% Comunidad</t>
  </si>
  <si>
    <t>Beca 50% Colegio y 50% Comunidad</t>
  </si>
  <si>
    <t xml:space="preserve">Beca 50% Colegio Prestación </t>
  </si>
  <si>
    <t>Beca 20% Colegio y 80% Comunidad</t>
  </si>
  <si>
    <t>Beca 10% Colegio y 20% Comunidad</t>
  </si>
  <si>
    <t>Beca 30% Colegio y 30% Comunidad</t>
  </si>
  <si>
    <t>Beca 25% Comunidad</t>
  </si>
  <si>
    <t>Beca 50% Colegio</t>
  </si>
  <si>
    <t>Nombre</t>
  </si>
  <si>
    <t>Boletos entregados</t>
  </si>
  <si>
    <t>Pagados</t>
  </si>
  <si>
    <t>Fecha de pago</t>
  </si>
  <si>
    <t>Boletos Extras</t>
  </si>
  <si>
    <t>Comentario</t>
  </si>
  <si>
    <t>3°A</t>
  </si>
  <si>
    <t>ABIAD ROMANO MIRIAM</t>
  </si>
  <si>
    <t>1 al 20</t>
  </si>
  <si>
    <t>ACHAR HUSNY MARLYN</t>
  </si>
  <si>
    <t>21 al 40</t>
  </si>
  <si>
    <t>01/02/2019// 08/03/2019</t>
  </si>
  <si>
    <t>1921 al 1940 del 1951 al 1970</t>
  </si>
  <si>
    <t>ARAF ZAYAT AARON</t>
  </si>
  <si>
    <t>41 al 60</t>
  </si>
  <si>
    <t>2151 al 2161</t>
  </si>
  <si>
    <t>CHEREM MASRI MILY</t>
  </si>
  <si>
    <t>61 al 80</t>
  </si>
  <si>
    <t>30/01/2019// 20/02/2019//08/03/2019</t>
  </si>
  <si>
    <t>1871 y 382 al 400// 2331 al 2350</t>
  </si>
  <si>
    <t>CHOMER CASSAB EMILIA</t>
  </si>
  <si>
    <t>81 al 100</t>
  </si>
  <si>
    <t>Lo quiere donar al viaje a Israel</t>
  </si>
  <si>
    <t>COHEN ASKENAZI RAUL</t>
  </si>
  <si>
    <t>101 al 120</t>
  </si>
  <si>
    <t>DABBAH JASQUI ELIZABETH</t>
  </si>
  <si>
    <t>121 al 140</t>
  </si>
  <si>
    <t>2771 al 2780</t>
  </si>
  <si>
    <t>ELFON SHAOOLI JANET</t>
  </si>
  <si>
    <t>141 al 160</t>
  </si>
  <si>
    <t>HALABE NADJAR JACOBO</t>
  </si>
  <si>
    <t>161 al 180</t>
  </si>
  <si>
    <t>HAMUI BOTTON MICHELLE</t>
  </si>
  <si>
    <t>181 al 200</t>
  </si>
  <si>
    <t>201 al 219/ 1811 al 1830</t>
  </si>
  <si>
    <t>28/01/2019 y el 30/01/2019 y el 25/02/2019// 08/03/2019</t>
  </si>
  <si>
    <t>1811 al 1830/ 1881 al 1900/ 2391 al 2400/ 2291 al 2300</t>
  </si>
  <si>
    <t>Falta un talon</t>
  </si>
  <si>
    <t>HARARI DABBAH EFRAIM</t>
  </si>
  <si>
    <t>201 al 220</t>
  </si>
  <si>
    <t>221 al 240</t>
  </si>
  <si>
    <t>12/02/2019// 19/02/2019// 05/03/2019// 07/03/2019</t>
  </si>
  <si>
    <t>1875 al 1879 y 2171 al 2200 Y 2271 al 2290/ 2401 al 2410/ 2521 al 2540</t>
  </si>
  <si>
    <t>HARARI DJADDAH EVELYN</t>
  </si>
  <si>
    <t xml:space="preserve">ISON MISRAHI SALOMON </t>
  </si>
  <si>
    <t>241 al 260</t>
  </si>
  <si>
    <t>LEVY DABBAH DEBORAH</t>
  </si>
  <si>
    <t>261 al 280</t>
  </si>
  <si>
    <t>PENHOS SHAMAH ELIAS</t>
  </si>
  <si>
    <t>281 al 300</t>
  </si>
  <si>
    <t>301 al 320</t>
  </si>
  <si>
    <t>PENHOS SHUEKE DAVID</t>
  </si>
  <si>
    <t>SABBAN COHEN YAEL</t>
  </si>
  <si>
    <t>321 al 340</t>
  </si>
  <si>
    <t>SHAMOSH DICHI ANA</t>
  </si>
  <si>
    <t>341 al 360</t>
  </si>
  <si>
    <t>ENTREGO SOLO DINERO</t>
  </si>
  <si>
    <t>ZETUNE MOREINIS SABRINA ESTHER</t>
  </si>
  <si>
    <t>361 al 380</t>
  </si>
  <si>
    <t>3°B</t>
  </si>
  <si>
    <t>BENARROCH BITTAN AQUIBA YUDAH</t>
  </si>
  <si>
    <t>381 al 400</t>
  </si>
  <si>
    <t>401 al 420</t>
  </si>
  <si>
    <t>05/03/2019//08/03/2019</t>
  </si>
  <si>
    <t>2491 al2495// 2541 al 2550</t>
  </si>
  <si>
    <t>CALTUM KASSIN MARCOS</t>
  </si>
  <si>
    <t>CHAYO MIZRAHI POLETTE</t>
  </si>
  <si>
    <t>421 al 440</t>
  </si>
  <si>
    <t>DJAMUS BIRCH DAVID</t>
  </si>
  <si>
    <t>441 al 460</t>
  </si>
  <si>
    <t>461 al 480</t>
  </si>
  <si>
    <t>26/02/2019// 28/02/2019// 08/03/2019</t>
  </si>
  <si>
    <t>2411 al 2430// 2501 al 2520</t>
  </si>
  <si>
    <t>HABER ORFALI DANIELA</t>
  </si>
  <si>
    <t>481 al 500</t>
  </si>
  <si>
    <t>HARARI CHEJA MIRIAM</t>
  </si>
  <si>
    <t>501 al 520</t>
  </si>
  <si>
    <t>HARARI LEVY NORA</t>
  </si>
  <si>
    <t>521 al 540</t>
  </si>
  <si>
    <t>28/01/2019 y el 7/02/2019// 8/03/2019</t>
  </si>
  <si>
    <t>2821 al 2830</t>
  </si>
  <si>
    <t>HARARI SACAL TANIA</t>
  </si>
  <si>
    <t>KANAN MASRI ISAAC</t>
  </si>
  <si>
    <t>541 al 560</t>
  </si>
  <si>
    <t>MASRI ARAKINDJI GABRIEL</t>
  </si>
  <si>
    <t>561 al 580</t>
  </si>
  <si>
    <t>581 al 600</t>
  </si>
  <si>
    <t>28/01/2019// 10/03/2019</t>
  </si>
  <si>
    <t>1721 al 1750</t>
  </si>
  <si>
    <t>MATIAN SABA SION</t>
  </si>
  <si>
    <t>601 al 620</t>
  </si>
  <si>
    <t>18/02/2019// 27/02/2019// 06/03/2019</t>
  </si>
  <si>
    <t>2251 al 2270/ 2451 al 2460</t>
  </si>
  <si>
    <t>MICHA CALDERON ISAAC</t>
  </si>
  <si>
    <t>MOCHON GREENSPUN VICKY</t>
  </si>
  <si>
    <t>621 al 640</t>
  </si>
  <si>
    <t>641 al 660</t>
  </si>
  <si>
    <t>2801 al 2820</t>
  </si>
  <si>
    <t>NAGAR AMKIE ISAAC</t>
  </si>
  <si>
    <t>661 al 680</t>
  </si>
  <si>
    <t>29/01/2019 y 5/02/2019// 27/02/2019// 07/03/2019</t>
  </si>
  <si>
    <t>1996 al 2000// 2461 al 2470</t>
  </si>
  <si>
    <t>NAHMAD GUINDI SHARON</t>
  </si>
  <si>
    <t>NAHMAD HARAS JOSE</t>
  </si>
  <si>
    <t>681 al 700</t>
  </si>
  <si>
    <t>SIRAZI ZAGA ALICE</t>
  </si>
  <si>
    <t>701 al 720</t>
  </si>
  <si>
    <t>TUACHI KURELWOWSKY RAQUEL</t>
  </si>
  <si>
    <t>721 al 740</t>
  </si>
  <si>
    <t>TUACHI PASOL JESSICA</t>
  </si>
  <si>
    <t>741 al 760</t>
  </si>
  <si>
    <t>761 al 780</t>
  </si>
  <si>
    <t>07/02/2019// 19/02/2019</t>
  </si>
  <si>
    <t>2031 al 2050</t>
  </si>
  <si>
    <t>ZAGA LEVY ISAAC</t>
  </si>
  <si>
    <t>781 al 800</t>
  </si>
  <si>
    <t>2471 al 2490</t>
  </si>
  <si>
    <t>ZAPAN MUSSALI TANIA</t>
  </si>
  <si>
    <t>ZONANA ZAGHA JANETTE</t>
  </si>
  <si>
    <t>801 al 820</t>
  </si>
  <si>
    <t>COHEN BALAS ELISA</t>
  </si>
  <si>
    <t>-</t>
  </si>
  <si>
    <t>3°C</t>
  </si>
  <si>
    <t>ABADI KAHAN LAURA</t>
  </si>
  <si>
    <t>821 al 840</t>
  </si>
  <si>
    <t>26/02/2019//11/03/2019</t>
  </si>
  <si>
    <t>2431 al 2450</t>
  </si>
  <si>
    <t>ACHAR SAAD MOGRABI SALOMON</t>
  </si>
  <si>
    <t>841 al 860</t>
  </si>
  <si>
    <t>AMKIE MARCOS ZURY</t>
  </si>
  <si>
    <t>861 al 880</t>
  </si>
  <si>
    <t>18/02/2019// 08/03/2019</t>
  </si>
  <si>
    <t>2231 al 2250</t>
  </si>
  <si>
    <t>BAZBAZ DLY RAQUEL</t>
  </si>
  <si>
    <t>881 al 900</t>
  </si>
  <si>
    <t>28/01/2019// 06/03/2019</t>
  </si>
  <si>
    <t>1801 al 1810</t>
  </si>
  <si>
    <t>BETECH HARARI DAVID</t>
  </si>
  <si>
    <t>901 al 920</t>
  </si>
  <si>
    <t>BUZALI MUSTRI MARCOS</t>
  </si>
  <si>
    <t>921 al 940</t>
  </si>
  <si>
    <t>CHAYO DARWICH DIANA</t>
  </si>
  <si>
    <t>941 al 960</t>
  </si>
  <si>
    <t>2781 al 2790</t>
  </si>
  <si>
    <t>CHIVER MASRI JAIME</t>
  </si>
  <si>
    <t>961 al 980</t>
  </si>
  <si>
    <t>DANA ADES MARCOS</t>
  </si>
  <si>
    <t>981 al 1000</t>
  </si>
  <si>
    <t>DICHI PALOMBO ELIAS</t>
  </si>
  <si>
    <t>1001 al 1020</t>
  </si>
  <si>
    <t>HAMUI SUTTON ARLETTE</t>
  </si>
  <si>
    <t>1021 al 1040</t>
  </si>
  <si>
    <t>29/01/2019 y 5/02/2019// 08/03/2019</t>
  </si>
  <si>
    <t>1834 al 1850/ 1971 al 1995</t>
  </si>
  <si>
    <t>HANONO SABA ISAAC</t>
  </si>
  <si>
    <t>1041 al 1060</t>
  </si>
  <si>
    <t>2751 al 2770</t>
  </si>
  <si>
    <t>HARARI BAZBAZ NORA</t>
  </si>
  <si>
    <t>1061 al 1080</t>
  </si>
  <si>
    <t>28/01/2019// 08/03/2019</t>
  </si>
  <si>
    <t>1781 al 1800</t>
  </si>
  <si>
    <t>KABABIE ATACH SHARON</t>
  </si>
  <si>
    <t>1081 al 1100</t>
  </si>
  <si>
    <t>LEVY JUSZKIEWICZ ELIAS</t>
  </si>
  <si>
    <t>1101 al 1120</t>
  </si>
  <si>
    <t>MATIAN ZONANA SHELLY</t>
  </si>
  <si>
    <t>1121 al 1140</t>
  </si>
  <si>
    <t>MICHAN LANIADO ABRAHAM</t>
  </si>
  <si>
    <t>1141 al 1160</t>
  </si>
  <si>
    <t>SALAME ORFALI EMILY</t>
  </si>
  <si>
    <t>1161 al 1180</t>
  </si>
  <si>
    <t>06/02/2019// 15/02/2019// 18/02/2019// 20/02/2019// 1/03/2019// 06/03/2019// 08/03/2019//08/03/2019//08/03/2019//08/03/2019//10/03/2019</t>
  </si>
  <si>
    <t>1681 al 1720/ 2051 al 2100/2101 al 2150/ 2301 al 2330/ 2551 al 2650/ 2651 al 2750/2831 al 2845</t>
  </si>
  <si>
    <t>SHAYO DAYAN SHELLY</t>
  </si>
  <si>
    <t>1181 al 1200</t>
  </si>
  <si>
    <t>TUACHI DAYAN CELIA</t>
  </si>
  <si>
    <t>1201 al 1220</t>
  </si>
  <si>
    <t>SHAMOSH TUACHI TANI</t>
  </si>
  <si>
    <t>1221 al 1240</t>
  </si>
  <si>
    <t>3°D</t>
  </si>
  <si>
    <t>ABADI CHEREM JACOBO</t>
  </si>
  <si>
    <t>1241 al 1260</t>
  </si>
  <si>
    <t>ALAZRAKI CHALON DANIELA</t>
  </si>
  <si>
    <t>1261 al 1280</t>
  </si>
  <si>
    <t>AMKIE LOBATON JOSE</t>
  </si>
  <si>
    <t>1281 al 1300</t>
  </si>
  <si>
    <t>2791 al 2800</t>
  </si>
  <si>
    <t>ATTIE ZONANA SYLVIA</t>
  </si>
  <si>
    <t>1301 al 1320</t>
  </si>
  <si>
    <t>BENARROCH SERFATY AQUIBA SAMUEL</t>
  </si>
  <si>
    <t>1321 al 1340</t>
  </si>
  <si>
    <t>CATTAN LEVY ISAAC</t>
  </si>
  <si>
    <t>1341 al 1360</t>
  </si>
  <si>
    <t>30/01/2019 y 1/02/2019</t>
  </si>
  <si>
    <t>1901 al 1920</t>
  </si>
  <si>
    <t>CHEREM HAIAT ELIAS</t>
  </si>
  <si>
    <t>1361 al 1380</t>
  </si>
  <si>
    <t>COJAB MIZRAHI DANIELA</t>
  </si>
  <si>
    <t>1381 al 1400</t>
  </si>
  <si>
    <t>DABBAH ZONANA JOSE</t>
  </si>
  <si>
    <t>1401 al 1420</t>
  </si>
  <si>
    <t>31/01/2019// 05/03/2019</t>
  </si>
  <si>
    <t>GITTLER SITTON MERY</t>
  </si>
  <si>
    <t>1421 al 1440</t>
  </si>
  <si>
    <t>11/02/2019 Y 12/02/2019</t>
  </si>
  <si>
    <t>2161 al 2170/ 2201 al 2210</t>
  </si>
  <si>
    <t>HARARI DAYAN MOISES</t>
  </si>
  <si>
    <t>1441 al 1460</t>
  </si>
  <si>
    <t>2351 al 2370</t>
  </si>
  <si>
    <t>HARARI MISRI MIGUEL</t>
  </si>
  <si>
    <t>1461 al 1480</t>
  </si>
  <si>
    <t>JASQUI SITTON JACOBO</t>
  </si>
  <si>
    <t>1481 al 1500</t>
  </si>
  <si>
    <t>1851 al 1870</t>
  </si>
  <si>
    <t>KANAN FARCA REBECA</t>
  </si>
  <si>
    <t>1501 al 1520</t>
  </si>
  <si>
    <t>LABAN ABADI MERY</t>
  </si>
  <si>
    <t>1521 al 1540</t>
  </si>
  <si>
    <t>22/02/2019// 07/03/2019</t>
  </si>
  <si>
    <t>2371 al 2390</t>
  </si>
  <si>
    <t xml:space="preserve">LANIADO GINDE MOISES </t>
  </si>
  <si>
    <t>1541 al 1560</t>
  </si>
  <si>
    <t>LEON JALIFE MICHELLE</t>
  </si>
  <si>
    <t>1561 al 1580</t>
  </si>
  <si>
    <t>MANN GALANTE RAQUEL</t>
  </si>
  <si>
    <t>1581 al 1600</t>
  </si>
  <si>
    <t>SACAL HAIAT GABRIELA</t>
  </si>
  <si>
    <t>1601 al 1620</t>
  </si>
  <si>
    <t>SHMUEL ASKENAZI DANIELA</t>
  </si>
  <si>
    <t>1621 al 1640</t>
  </si>
  <si>
    <t>13/02/2019// 10/03/2019</t>
  </si>
  <si>
    <t>2211 AL 2230</t>
  </si>
  <si>
    <t>WELLMAN MUSTRI SHELLY</t>
  </si>
  <si>
    <t>1641 al 1660</t>
  </si>
  <si>
    <t>ZONANA SCHATZ AMELIE</t>
  </si>
  <si>
    <t>1661 al 1680</t>
  </si>
  <si>
    <t>2001 AL 2020</t>
  </si>
  <si>
    <t>20% par CHMD</t>
  </si>
  <si>
    <t xml:space="preserve">total a pagar </t>
  </si>
  <si>
    <t>PAGADO</t>
  </si>
  <si>
    <t>FECHA</t>
  </si>
  <si>
    <t>COMENTARIOS</t>
  </si>
  <si>
    <t>1 al 4 / 341 al 342</t>
  </si>
  <si>
    <t>5 al 8 / 343 al 344</t>
  </si>
  <si>
    <t>9 al 12 / 357 al 358</t>
  </si>
  <si>
    <t>PERDIÓ LOS BOLETOS</t>
  </si>
  <si>
    <t>13 al 16 / 355 al 356</t>
  </si>
  <si>
    <t>17 al 20 / 353 al 354</t>
  </si>
  <si>
    <t>21 al 24 / 359 al 360</t>
  </si>
  <si>
    <t>25 al 28 / 361 al 362</t>
  </si>
  <si>
    <t>29 al 32 / 363 al 364</t>
  </si>
  <si>
    <t>33 al 36 / 365 al 366</t>
  </si>
  <si>
    <t>37 al 40 / 367 al 368</t>
  </si>
  <si>
    <t>41 al 44 / 369 al 370</t>
  </si>
  <si>
    <t>45 al 48 / 371 al 372</t>
  </si>
  <si>
    <t>49 al 52 / 373 al 374</t>
  </si>
  <si>
    <t>53 al 56 / 375 al 376</t>
  </si>
  <si>
    <t>57 al 60 / 377 al 378</t>
  </si>
  <si>
    <t>61 al 64 / 379 al 380</t>
  </si>
  <si>
    <t>65 al 68 / 381 al 382</t>
  </si>
  <si>
    <t>69 al 72 / 383 al 384</t>
  </si>
  <si>
    <t>73 al 76 / 385 al 386</t>
  </si>
  <si>
    <t>77 al 80 / 387 al 388</t>
  </si>
  <si>
    <t>81 al 84 / 389 al 390</t>
  </si>
  <si>
    <t>85 al 88 / 391 al 392</t>
  </si>
  <si>
    <t>89 al 92 / 393 al 394</t>
  </si>
  <si>
    <t>93 al 96 / 395 al 396</t>
  </si>
  <si>
    <t>97 al 100 / 397 al 398</t>
  </si>
  <si>
    <t>101 al 104 / 399 al 400</t>
  </si>
  <si>
    <t>105 al 108 / 401 al 402</t>
  </si>
  <si>
    <t>109 al 112 / 403 al 404</t>
  </si>
  <si>
    <t>113 al 116 / 405 al 406</t>
  </si>
  <si>
    <t>117 al 120 / 407 al 408</t>
  </si>
  <si>
    <t>121 al 124 / 409 al 410</t>
  </si>
  <si>
    <t>125 al 128 / 411 al 412</t>
  </si>
  <si>
    <t>129 al 132 / 413 al 414</t>
  </si>
  <si>
    <t>133 al 136 / 415 al 416</t>
  </si>
  <si>
    <t>137 al 140 / 417 al 418</t>
  </si>
  <si>
    <t>141 al 144 / 419 al 420</t>
  </si>
  <si>
    <t>145 al 148 / 421 al 422</t>
  </si>
  <si>
    <t>149 al 152 / 423 al 424</t>
  </si>
  <si>
    <t>153 al 156 / 425 al 426</t>
  </si>
  <si>
    <t>157 al 160 / 427 al 428</t>
  </si>
  <si>
    <t>161 al 164 / 429 al 430</t>
  </si>
  <si>
    <t>333 al 336 / 431 al 432</t>
  </si>
  <si>
    <t>165 al 168 / 433 al 434</t>
  </si>
  <si>
    <t>1062 al 1067</t>
  </si>
  <si>
    <t>169 al 172 / 435 al 436</t>
  </si>
  <si>
    <t>173 al 176 / 437 al 438</t>
  </si>
  <si>
    <t>177 al 180 / 439 al 440</t>
  </si>
  <si>
    <t>181 al 184 / 441 al 442</t>
  </si>
  <si>
    <t>185 al 188 / 443 al 444</t>
  </si>
  <si>
    <t>189 al 192 / 445 al 446</t>
  </si>
  <si>
    <t>193 al 196 / 447 al 448</t>
  </si>
  <si>
    <t>197 al 200 / 449 al 450</t>
  </si>
  <si>
    <t>201 al 204 / 345 al 346</t>
  </si>
  <si>
    <t>205 al 208 / 347 al 348</t>
  </si>
  <si>
    <t>209 al 212 / 349 al 350</t>
  </si>
  <si>
    <t>213 al 216 / 351 al 352</t>
  </si>
  <si>
    <t>217 al 220 / 451 al 452</t>
  </si>
  <si>
    <t>221 al 224 / 453 al 454</t>
  </si>
  <si>
    <t>MATTIAN ZONANA SHELLY</t>
  </si>
  <si>
    <t>225 al 228 / 455 al 456</t>
  </si>
  <si>
    <t>229 al 232 / 457 al 458</t>
  </si>
  <si>
    <t>233 al 236 / 459 al 460</t>
  </si>
  <si>
    <t>237 al 240 / 461 al 462</t>
  </si>
  <si>
    <t>241 al 244 / 463 al 464</t>
  </si>
  <si>
    <t>337 al 340 / 465 al 466</t>
  </si>
  <si>
    <t>245 al 248 / 467 al 468</t>
  </si>
  <si>
    <t>249 al 252 / 469 al 470</t>
  </si>
  <si>
    <t>253 al 256 / 471 al 472</t>
  </si>
  <si>
    <t>257 al 260 / 473 al 474</t>
  </si>
  <si>
    <t>261 al 264 / 475 al 476</t>
  </si>
  <si>
    <t>265 al 268 / 477 al 478</t>
  </si>
  <si>
    <t>269 al 272 / 479 al 480</t>
  </si>
  <si>
    <t>273 al 276 / 481 al 482</t>
  </si>
  <si>
    <t>277 al 280 / 483 al 484</t>
  </si>
  <si>
    <t>281 al 284 / 485 al 486</t>
  </si>
  <si>
    <t>285 al 288 / 487 al 488</t>
  </si>
  <si>
    <t>289 al 292 / 489 al 490</t>
  </si>
  <si>
    <t>293 al 296 / 491 al 492</t>
  </si>
  <si>
    <t>297 al 300 / 493 al 494</t>
  </si>
  <si>
    <t>301 al 304 / 495 al 496</t>
  </si>
  <si>
    <t>305 al 308 / 497 al 498</t>
  </si>
  <si>
    <t>309 al 312 / 499 al 500</t>
  </si>
  <si>
    <t>313 al 316 / 1052 al 1053</t>
  </si>
  <si>
    <t>317 al 320 / 1054 al 1055</t>
  </si>
  <si>
    <t>321 al 324 / 1056 al 1057</t>
  </si>
  <si>
    <t>325 al 328 / 1058 al 1059</t>
  </si>
  <si>
    <t>329 al 332 / 1060 al 1061</t>
  </si>
  <si>
    <t>80% Boletos</t>
  </si>
  <si>
    <t>Cohen Balas Elisa</t>
  </si>
  <si>
    <t>SHAMOSH TUACHI TANIA</t>
  </si>
  <si>
    <t>80% Venta  Boletos Kermes</t>
  </si>
  <si>
    <t>COLEGIO HEBREO MAGUEN DAVID A.C.</t>
  </si>
  <si>
    <t>RELACION DONATIVOS 2019</t>
  </si>
  <si>
    <t>RECIBO</t>
  </si>
  <si>
    <t>DONANTE</t>
  </si>
  <si>
    <t>RFC</t>
  </si>
  <si>
    <t>IMPORTE</t>
  </si>
  <si>
    <t>CONCEPTO DONATIVO</t>
  </si>
  <si>
    <t>ABBA HAY COHEN ABADI</t>
  </si>
  <si>
    <t>COAA60824635</t>
  </si>
  <si>
    <t>PATROCINIO KERMESS</t>
  </si>
  <si>
    <t>SOLUCIONES PARA TI, SA. DE C.V.</t>
  </si>
  <si>
    <t>STI070725SAA</t>
  </si>
  <si>
    <t>PATROCIONIO KERMESS</t>
  </si>
  <si>
    <t>HTS ASESORES INDEPENDIENTES S C</t>
  </si>
  <si>
    <t>HAI150708MP5</t>
  </si>
  <si>
    <t>ARLIN SPORT S A DE C V</t>
  </si>
  <si>
    <t>ASP090702DNA</t>
  </si>
  <si>
    <t>DAVID ASKENAZI HARARI</t>
  </si>
  <si>
    <t>AEHD730304443</t>
  </si>
  <si>
    <t>TRANSPORTES LIPU, S.A. DE C.V.</t>
  </si>
  <si>
    <t>TLI9710274R5</t>
  </si>
  <si>
    <t>JOSE FRANCISCO OSNAYA VELAZQUEZ</t>
  </si>
  <si>
    <t>OAVF5710046J6</t>
  </si>
  <si>
    <t>ABRAHAM DICHI AMKIE</t>
  </si>
  <si>
    <t>DIAA6908018T1</t>
  </si>
  <si>
    <t>KYO PRINT SYSTEM MEXICO, S.A.DE C.V.</t>
  </si>
  <si>
    <t>KPS100202JG4</t>
  </si>
  <si>
    <t>SIGMACAP, S.A.DE C.V.</t>
  </si>
  <si>
    <t>SIG180726359</t>
  </si>
  <si>
    <t>SUMA</t>
  </si>
  <si>
    <t>CLASS</t>
  </si>
  <si>
    <t>PENDIENTE DE PAGO/NO HAY RECIBO</t>
  </si>
  <si>
    <t>ADITIVO</t>
  </si>
  <si>
    <t>NO HAY RECIBO</t>
  </si>
  <si>
    <t>IMPRESIONES 2G</t>
  </si>
  <si>
    <t>RONEN WAISSER LANDAU</t>
  </si>
  <si>
    <t>WALR7712237K6</t>
  </si>
  <si>
    <t>COMITÉ PROVIAJE DONATIVOS</t>
  </si>
  <si>
    <t>COMERCIALIZADORA CREDUS</t>
  </si>
  <si>
    <t>CCR120516PRA</t>
  </si>
  <si>
    <t xml:space="preserve">BITUI </t>
  </si>
  <si>
    <t>BIT131031295</t>
  </si>
  <si>
    <t>DEVELOPMENT CORPORATION FO ISRAEL MEXICO SA DE C V</t>
  </si>
  <si>
    <t>DCF1409243I4</t>
  </si>
  <si>
    <t>CORPORATIVO MARDAY, S.A. DE C.V.</t>
  </si>
  <si>
    <t>CMA070622QN6</t>
  </si>
  <si>
    <t>KOSHER MEXICO INTERNACIONAL</t>
  </si>
  <si>
    <t>KMI110830V52</t>
  </si>
  <si>
    <t>TOTAL</t>
  </si>
  <si>
    <t>Colegio Hebreo Maguen David, A.C.
Eventos comité Pro viaje 2018-2019</t>
  </si>
  <si>
    <t>$</t>
  </si>
  <si>
    <t>EFECTIVO</t>
  </si>
  <si>
    <t xml:space="preserve">Donativos </t>
  </si>
  <si>
    <t>DEPOSITADOS A BANCOS</t>
  </si>
  <si>
    <t>Patrocinios</t>
  </si>
  <si>
    <t xml:space="preserve">Lonas </t>
  </si>
  <si>
    <t>Fondo 2017-2018</t>
  </si>
  <si>
    <t>Fondo Actual</t>
  </si>
  <si>
    <t>David Djamus Brich</t>
  </si>
  <si>
    <t>Para el fondo de becas</t>
  </si>
  <si>
    <t>Lonas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</si>
</sst>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* #,##0.00\ &quot;€&quot;_-;\-* #,##0.00\ &quot;€&quot;_-;_-* &quot;-&quot;??\ &quot;€&quot;_-;_-@_-"/>
    <numFmt numFmtId="166" formatCode="#,##0.00_ ;\-#,##0.00\ "/>
    <numFmt numFmtId="167" formatCode="#,##0_ ;\-#,##0\ "/>
    <numFmt numFmtId="168" formatCode="#,##0.0_ ;\-#,##0.0\ "/>
    <numFmt numFmtId="169" formatCode="#,##0.00;[Red]#,##0.00"/>
    <numFmt numFmtId="170" formatCode="0.00_ ;[Red]\-0.00\ "/>
    <numFmt numFmtId="171" formatCode="dd\-mm\-yy;@"/>
    <numFmt numFmtId="172" formatCode="dd/mm/yyyy;@"/>
  </numFmts>
  <fonts count="4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1F497D"/>
      <name val="Calibri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Tahoma"/>
      <family val="2"/>
    </font>
    <font>
      <b/>
      <sz val="14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1"/>
      <color rgb="FFFF0000"/>
      <name val="Tahoma"/>
      <family val="2"/>
    </font>
    <font>
      <b/>
      <sz val="12"/>
      <color rgb="FFFF0000"/>
      <name val="Tahoma"/>
      <family val="2"/>
    </font>
    <font>
      <b/>
      <sz val="18"/>
      <name val="Tahoma"/>
      <family val="2"/>
    </font>
    <font>
      <sz val="12"/>
      <color theme="1"/>
      <name val="Tahoma"/>
      <family val="2"/>
    </font>
    <font>
      <b/>
      <strike/>
      <sz val="12"/>
      <name val="Tahoma"/>
      <family val="2"/>
    </font>
    <font>
      <sz val="11"/>
      <color theme="6"/>
      <name val="Tahoma"/>
      <family val="2"/>
    </font>
    <font>
      <sz val="11"/>
      <color theme="1"/>
      <name val="Tahoma"/>
      <family val="2"/>
    </font>
    <font>
      <sz val="7"/>
      <name val="Tahoma"/>
      <family val="2"/>
    </font>
    <font>
      <u/>
      <sz val="11"/>
      <name val="Tahoma"/>
      <family val="2"/>
    </font>
    <font>
      <sz val="11"/>
      <color rgb="FFFF0000"/>
      <name val="Tahoma"/>
      <family val="2"/>
    </font>
    <font>
      <sz val="14"/>
      <name val="Tahoma"/>
      <family val="2"/>
    </font>
    <font>
      <b/>
      <sz val="16"/>
      <color theme="1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thin">
        <color theme="4"/>
      </top>
      <bottom/>
      <diagonal/>
    </border>
    <border>
      <left style="medium">
        <color auto="1"/>
      </left>
      <right/>
      <top style="thin">
        <color theme="4"/>
      </top>
      <bottom/>
      <diagonal/>
    </border>
    <border>
      <left/>
      <right style="medium">
        <color auto="1"/>
      </right>
      <top style="thin">
        <color theme="4"/>
      </top>
      <bottom/>
      <diagonal/>
    </border>
    <border>
      <left/>
      <right/>
      <top/>
      <bottom style="thin">
        <color theme="3"/>
      </bottom>
      <diagonal/>
    </border>
    <border>
      <left/>
      <right/>
      <top style="thin">
        <color theme="4"/>
      </top>
      <bottom style="thin">
        <color theme="3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medium">
        <color auto="1"/>
      </left>
      <right/>
      <top style="thin">
        <color theme="4"/>
      </top>
      <bottom style="medium">
        <color auto="1"/>
      </bottom>
      <diagonal/>
    </border>
    <border>
      <left/>
      <right/>
      <top style="thin">
        <color theme="4"/>
      </top>
      <bottom style="medium">
        <color auto="1"/>
      </bottom>
      <diagonal/>
    </border>
    <border>
      <left/>
      <right style="medium">
        <color auto="1"/>
      </right>
      <top style="thin">
        <color theme="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0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92">
    <xf numFmtId="0" fontId="0" fillId="0" borderId="0" xfId="0"/>
    <xf numFmtId="0" fontId="21" fillId="0" borderId="11" xfId="0" applyFont="1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36" borderId="0" xfId="0" applyFill="1" applyAlignment="1">
      <alignment horizontal="left"/>
    </xf>
    <xf numFmtId="0" fontId="14" fillId="39" borderId="13" xfId="0" applyFont="1" applyFill="1" applyBorder="1" applyAlignment="1">
      <alignment horizontal="center"/>
    </xf>
    <xf numFmtId="0" fontId="14" fillId="39" borderId="14" xfId="0" applyFont="1" applyFill="1" applyBorder="1" applyAlignment="1">
      <alignment horizontal="center"/>
    </xf>
    <xf numFmtId="14" fontId="14" fillId="39" borderId="14" xfId="0" applyNumberFormat="1" applyFont="1" applyFill="1" applyBorder="1" applyAlignment="1">
      <alignment horizontal="center"/>
    </xf>
    <xf numFmtId="0" fontId="14" fillId="39" borderId="14" xfId="0" applyNumberFormat="1" applyFont="1" applyFill="1" applyBorder="1" applyAlignment="1">
      <alignment horizontal="center"/>
    </xf>
    <xf numFmtId="0" fontId="14" fillId="33" borderId="15" xfId="0" applyFont="1" applyFill="1" applyBorder="1" applyAlignment="1">
      <alignment horizontal="center"/>
    </xf>
    <xf numFmtId="0" fontId="17" fillId="33" borderId="15" xfId="0" applyFont="1" applyFill="1" applyBorder="1" applyAlignment="1">
      <alignment horizontal="left"/>
    </xf>
    <xf numFmtId="0" fontId="17" fillId="33" borderId="16" xfId="0" applyFont="1" applyFill="1" applyBorder="1"/>
    <xf numFmtId="0" fontId="17" fillId="33" borderId="16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5" borderId="0" xfId="0" applyFill="1" applyAlignment="1">
      <alignment horizontal="left"/>
    </xf>
    <xf numFmtId="0" fontId="0" fillId="37" borderId="0" xfId="0" applyFill="1" applyAlignment="1">
      <alignment horizontal="left"/>
    </xf>
    <xf numFmtId="0" fontId="0" fillId="38" borderId="0" xfId="0" applyFill="1" applyAlignment="1">
      <alignment horizontal="left"/>
    </xf>
    <xf numFmtId="0" fontId="14" fillId="39" borderId="14" xfId="0" applyFont="1" applyFill="1" applyBorder="1" applyAlignment="1">
      <alignment horizontal="center" wrapText="1"/>
    </xf>
    <xf numFmtId="0" fontId="0" fillId="40" borderId="0" xfId="0" applyFont="1" applyFill="1" applyBorder="1"/>
    <xf numFmtId="0" fontId="14" fillId="33" borderId="16" xfId="0" applyFont="1" applyFill="1" applyBorder="1" applyAlignment="1">
      <alignment horizontal="right"/>
    </xf>
    <xf numFmtId="164" fontId="14" fillId="33" borderId="16" xfId="0" applyNumberFormat="1" applyFont="1" applyFill="1" applyBorder="1"/>
    <xf numFmtId="0" fontId="17" fillId="0" borderId="0" xfId="0" applyFont="1" applyAlignment="1">
      <alignment horizontal="left"/>
    </xf>
    <xf numFmtId="0" fontId="14" fillId="39" borderId="1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164" fontId="0" fillId="0" borderId="0" xfId="0" applyNumberFormat="1"/>
    <xf numFmtId="0" fontId="0" fillId="0" borderId="1" xfId="0" applyFont="1" applyFill="1" applyBorder="1"/>
    <xf numFmtId="164" fontId="0" fillId="0" borderId="1" xfId="1" applyNumberFormat="1" applyFont="1" applyFill="1" applyBorder="1"/>
    <xf numFmtId="0" fontId="0" fillId="34" borderId="0" xfId="0" applyFill="1" applyAlignment="1">
      <alignment horizontal="left"/>
    </xf>
    <xf numFmtId="0" fontId="0" fillId="41" borderId="0" xfId="0" applyFill="1" applyAlignment="1">
      <alignment horizontal="left"/>
    </xf>
    <xf numFmtId="14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/>
    <xf numFmtId="0" fontId="0" fillId="0" borderId="1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right"/>
    </xf>
    <xf numFmtId="0" fontId="0" fillId="38" borderId="1" xfId="0" applyFont="1" applyFill="1" applyBorder="1"/>
    <xf numFmtId="0" fontId="0" fillId="42" borderId="0" xfId="0" applyFill="1" applyAlignment="1">
      <alignment horizontal="left"/>
    </xf>
    <xf numFmtId="0" fontId="0" fillId="42" borderId="1" xfId="0" applyFont="1" applyFill="1" applyBorder="1" applyAlignment="1">
      <alignment horizontal="right"/>
    </xf>
    <xf numFmtId="0" fontId="0" fillId="42" borderId="1" xfId="0" applyFont="1" applyFill="1" applyBorder="1"/>
    <xf numFmtId="0" fontId="0" fillId="38" borderId="1" xfId="0" applyFont="1" applyFill="1" applyBorder="1" applyAlignment="1">
      <alignment horizontal="right"/>
    </xf>
    <xf numFmtId="0" fontId="0" fillId="43" borderId="0" xfId="0" applyFill="1" applyAlignment="1">
      <alignment horizontal="left"/>
    </xf>
    <xf numFmtId="0" fontId="0" fillId="43" borderId="1" xfId="0" applyFont="1" applyFill="1" applyBorder="1" applyAlignment="1">
      <alignment horizontal="right"/>
    </xf>
    <xf numFmtId="0" fontId="0" fillId="43" borderId="1" xfId="0" applyFont="1" applyFill="1" applyBorder="1"/>
    <xf numFmtId="0" fontId="0" fillId="44" borderId="1" xfId="0" applyFont="1" applyFill="1" applyBorder="1" applyAlignment="1">
      <alignment horizontal="right"/>
    </xf>
    <xf numFmtId="0" fontId="0" fillId="44" borderId="1" xfId="0" applyFont="1" applyFill="1" applyBorder="1"/>
    <xf numFmtId="0" fontId="0" fillId="44" borderId="0" xfId="0" applyFill="1" applyAlignment="1">
      <alignment horizontal="left"/>
    </xf>
    <xf numFmtId="43" fontId="0" fillId="0" borderId="0" xfId="1" applyFont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Border="1"/>
    <xf numFmtId="43" fontId="17" fillId="0" borderId="0" xfId="46" applyFont="1" applyBorder="1" applyAlignment="1">
      <alignment horizontal="center"/>
    </xf>
    <xf numFmtId="43" fontId="0" fillId="0" borderId="0" xfId="46" applyFont="1" applyBorder="1"/>
    <xf numFmtId="0" fontId="17" fillId="0" borderId="1" xfId="0" applyFont="1" applyBorder="1" applyAlignment="1">
      <alignment horizontal="center"/>
    </xf>
    <xf numFmtId="43" fontId="17" fillId="0" borderId="1" xfId="46" applyFont="1" applyBorder="1" applyAlignment="1">
      <alignment horizontal="center"/>
    </xf>
    <xf numFmtId="14" fontId="17" fillId="0" borderId="1" xfId="0" applyNumberFormat="1" applyFont="1" applyBorder="1" applyAlignment="1">
      <alignment horizontal="center"/>
    </xf>
    <xf numFmtId="14" fontId="0" fillId="0" borderId="1" xfId="0" applyNumberFormat="1" applyBorder="1"/>
    <xf numFmtId="43" fontId="0" fillId="0" borderId="1" xfId="46" applyFont="1" applyBorder="1" applyAlignment="1">
      <alignment horizontal="center"/>
    </xf>
    <xf numFmtId="164" fontId="0" fillId="45" borderId="1" xfId="46" applyNumberFormat="1" applyFont="1" applyFill="1" applyBorder="1" applyAlignment="1">
      <alignment horizontal="center"/>
    </xf>
    <xf numFmtId="164" fontId="0" fillId="0" borderId="1" xfId="46" applyNumberFormat="1" applyFont="1" applyBorder="1" applyAlignment="1">
      <alignment horizontal="center"/>
    </xf>
    <xf numFmtId="164" fontId="0" fillId="0" borderId="1" xfId="46" applyNumberFormat="1" applyFont="1" applyBorder="1"/>
    <xf numFmtId="0" fontId="0" fillId="0" borderId="1" xfId="0" applyBorder="1"/>
    <xf numFmtId="0" fontId="0" fillId="0" borderId="0" xfId="0" applyFill="1" applyBorder="1"/>
    <xf numFmtId="43" fontId="0" fillId="0" borderId="1" xfId="46" quotePrefix="1" applyFont="1" applyBorder="1" applyAlignment="1">
      <alignment horizontal="center"/>
    </xf>
    <xf numFmtId="164" fontId="15" fillId="0" borderId="1" xfId="46" applyNumberFormat="1" applyFont="1" applyBorder="1" applyAlignment="1">
      <alignment horizontal="center"/>
    </xf>
    <xf numFmtId="164" fontId="22" fillId="45" borderId="1" xfId="46" applyNumberFormat="1" applyFont="1" applyFill="1" applyBorder="1" applyAlignment="1">
      <alignment horizontal="center"/>
    </xf>
    <xf numFmtId="43" fontId="17" fillId="0" borderId="1" xfId="46" quotePrefix="1" applyFont="1" applyBorder="1" applyAlignment="1">
      <alignment horizontal="center"/>
    </xf>
    <xf numFmtId="164" fontId="22" fillId="35" borderId="1" xfId="46" applyNumberFormat="1" applyFont="1" applyFill="1" applyBorder="1" applyAlignment="1">
      <alignment horizontal="center"/>
    </xf>
    <xf numFmtId="164" fontId="0" fillId="35" borderId="1" xfId="46" applyNumberFormat="1" applyFont="1" applyFill="1" applyBorder="1" applyAlignment="1">
      <alignment horizontal="center"/>
    </xf>
    <xf numFmtId="164" fontId="22" fillId="0" borderId="1" xfId="46" applyNumberFormat="1" applyFont="1" applyBorder="1" applyAlignment="1">
      <alignment horizontal="center"/>
    </xf>
    <xf numFmtId="43" fontId="0" fillId="44" borderId="1" xfId="46" applyFont="1" applyFill="1" applyBorder="1" applyAlignment="1">
      <alignment horizontal="center"/>
    </xf>
    <xf numFmtId="43" fontId="17" fillId="44" borderId="1" xfId="46" applyFont="1" applyFill="1" applyBorder="1" applyAlignment="1">
      <alignment horizontal="center"/>
    </xf>
    <xf numFmtId="164" fontId="17" fillId="44" borderId="1" xfId="46" applyNumberFormat="1" applyFont="1" applyFill="1" applyBorder="1" applyAlignment="1">
      <alignment horizontal="center"/>
    </xf>
    <xf numFmtId="164" fontId="0" fillId="44" borderId="1" xfId="46" applyNumberFormat="1" applyFont="1" applyFill="1" applyBorder="1" applyAlignment="1">
      <alignment horizontal="center"/>
    </xf>
    <xf numFmtId="0" fontId="17" fillId="0" borderId="0" xfId="0" applyFont="1" applyBorder="1"/>
    <xf numFmtId="164" fontId="17" fillId="0" borderId="0" xfId="0" applyNumberFormat="1" applyFont="1" applyBorder="1"/>
    <xf numFmtId="0" fontId="17" fillId="0" borderId="0" xfId="0" applyFont="1"/>
    <xf numFmtId="164" fontId="0" fillId="0" borderId="0" xfId="46" applyNumberFormat="1" applyFont="1" applyBorder="1"/>
    <xf numFmtId="0" fontId="23" fillId="0" borderId="0" xfId="0" applyFont="1" applyBorder="1"/>
    <xf numFmtId="164" fontId="17" fillId="0" borderId="0" xfId="46" applyNumberFormat="1" applyFont="1" applyBorder="1"/>
    <xf numFmtId="164" fontId="0" fillId="0" borderId="0" xfId="46" applyNumberFormat="1" applyFont="1" applyFill="1" applyBorder="1"/>
    <xf numFmtId="164" fontId="0" fillId="0" borderId="0" xfId="0" applyNumberFormat="1" applyBorder="1"/>
    <xf numFmtId="0" fontId="17" fillId="0" borderId="0" xfId="0" applyFont="1" applyBorder="1" applyAlignment="1">
      <alignment horizontal="right"/>
    </xf>
    <xf numFmtId="43" fontId="17" fillId="35" borderId="22" xfId="46" applyNumberFormat="1" applyFont="1" applyFill="1" applyBorder="1"/>
    <xf numFmtId="164" fontId="17" fillId="35" borderId="22" xfId="46" applyNumberFormat="1" applyFont="1" applyFill="1" applyBorder="1"/>
    <xf numFmtId="164" fontId="17" fillId="0" borderId="0" xfId="0" applyNumberFormat="1" applyFont="1" applyFill="1" applyBorder="1"/>
    <xf numFmtId="0" fontId="0" fillId="0" borderId="23" xfId="0" applyBorder="1"/>
    <xf numFmtId="0" fontId="0" fillId="0" borderId="24" xfId="0" applyBorder="1"/>
    <xf numFmtId="0" fontId="17" fillId="0" borderId="24" xfId="0" applyFont="1" applyBorder="1" applyAlignment="1">
      <alignment horizontal="right"/>
    </xf>
    <xf numFmtId="43" fontId="17" fillId="0" borderId="24" xfId="46" applyNumberFormat="1" applyFont="1" applyFill="1" applyBorder="1"/>
    <xf numFmtId="164" fontId="17" fillId="0" borderId="24" xfId="46" applyNumberFormat="1" applyFont="1" applyFill="1" applyBorder="1"/>
    <xf numFmtId="0" fontId="0" fillId="0" borderId="24" xfId="0" applyFill="1" applyBorder="1"/>
    <xf numFmtId="164" fontId="0" fillId="0" borderId="24" xfId="0" applyNumberFormat="1" applyBorder="1"/>
    <xf numFmtId="0" fontId="0" fillId="0" borderId="25" xfId="0" applyBorder="1"/>
    <xf numFmtId="43" fontId="17" fillId="0" borderId="0" xfId="46" applyNumberFormat="1" applyFont="1" applyFill="1" applyBorder="1"/>
    <xf numFmtId="164" fontId="17" fillId="0" borderId="0" xfId="46" applyNumberFormat="1" applyFont="1" applyFill="1" applyBorder="1"/>
    <xf numFmtId="0" fontId="0" fillId="0" borderId="0" xfId="0" applyFont="1" applyBorder="1" applyAlignment="1">
      <alignment horizontal="right"/>
    </xf>
    <xf numFmtId="14" fontId="17" fillId="0" borderId="0" xfId="0" applyNumberFormat="1" applyFont="1"/>
    <xf numFmtId="0" fontId="0" fillId="0" borderId="26" xfId="0" applyBorder="1"/>
    <xf numFmtId="0" fontId="0" fillId="0" borderId="27" xfId="0" applyBorder="1"/>
    <xf numFmtId="0" fontId="0" fillId="0" borderId="12" xfId="0" applyBorder="1"/>
    <xf numFmtId="0" fontId="0" fillId="37" borderId="1" xfId="0" applyFont="1" applyFill="1" applyBorder="1" applyAlignment="1">
      <alignment horizontal="right"/>
    </xf>
    <xf numFmtId="0" fontId="0" fillId="37" borderId="1" xfId="0" applyFont="1" applyFill="1" applyBorder="1"/>
    <xf numFmtId="0" fontId="24" fillId="0" borderId="0" xfId="0" applyFont="1" applyFill="1"/>
    <xf numFmtId="0" fontId="24" fillId="0" borderId="0" xfId="0" applyFont="1" applyFill="1" applyAlignment="1">
      <alignment horizontal="right"/>
    </xf>
    <xf numFmtId="0" fontId="25" fillId="0" borderId="0" xfId="0" applyFont="1" applyFill="1"/>
    <xf numFmtId="0" fontId="26" fillId="0" borderId="0" xfId="0" applyFont="1" applyFill="1"/>
    <xf numFmtId="166" fontId="26" fillId="0" borderId="0" xfId="0" applyNumberFormat="1" applyFont="1" applyFill="1"/>
    <xf numFmtId="10" fontId="26" fillId="0" borderId="0" xfId="0" applyNumberFormat="1" applyFont="1" applyFill="1"/>
    <xf numFmtId="9" fontId="26" fillId="0" borderId="0" xfId="3" applyFont="1" applyFill="1"/>
    <xf numFmtId="10" fontId="26" fillId="0" borderId="0" xfId="3" applyNumberFormat="1" applyFont="1" applyFill="1" applyAlignment="1">
      <alignment horizontal="center"/>
    </xf>
    <xf numFmtId="10" fontId="26" fillId="0" borderId="0" xfId="3" applyNumberFormat="1" applyFont="1" applyFill="1"/>
    <xf numFmtId="166" fontId="26" fillId="0" borderId="0" xfId="3" applyNumberFormat="1" applyFont="1" applyFill="1"/>
    <xf numFmtId="166" fontId="26" fillId="0" borderId="0" xfId="0" applyNumberFormat="1" applyFont="1" applyFill="1" applyAlignment="1">
      <alignment vertical="top"/>
    </xf>
    <xf numFmtId="166" fontId="24" fillId="0" borderId="0" xfId="0" applyNumberFormat="1" applyFont="1" applyFill="1"/>
    <xf numFmtId="9" fontId="24" fillId="0" borderId="0" xfId="0" applyNumberFormat="1" applyFont="1" applyFill="1"/>
    <xf numFmtId="0" fontId="27" fillId="0" borderId="0" xfId="0" applyFont="1" applyFill="1"/>
    <xf numFmtId="0" fontId="28" fillId="0" borderId="0" xfId="0" applyFont="1" applyFill="1" applyAlignment="1">
      <alignment wrapText="1"/>
    </xf>
    <xf numFmtId="0" fontId="28" fillId="0" borderId="0" xfId="0" applyFont="1" applyFill="1" applyAlignment="1">
      <alignment horizontal="right" wrapText="1"/>
    </xf>
    <xf numFmtId="0" fontId="27" fillId="0" borderId="0" xfId="0" applyFont="1" applyFill="1" applyAlignment="1">
      <alignment wrapText="1"/>
    </xf>
    <xf numFmtId="166" fontId="28" fillId="0" borderId="0" xfId="0" applyNumberFormat="1" applyFont="1" applyFill="1" applyAlignment="1">
      <alignment wrapText="1"/>
    </xf>
    <xf numFmtId="9" fontId="28" fillId="0" borderId="0" xfId="0" applyNumberFormat="1" applyFont="1" applyFill="1" applyAlignment="1">
      <alignment wrapText="1"/>
    </xf>
    <xf numFmtId="10" fontId="27" fillId="0" borderId="0" xfId="3" applyNumberFormat="1" applyFont="1" applyFill="1"/>
    <xf numFmtId="0" fontId="29" fillId="0" borderId="0" xfId="0" applyFont="1" applyFill="1" applyAlignment="1">
      <alignment horizontal="center" wrapText="1"/>
    </xf>
    <xf numFmtId="0" fontId="29" fillId="34" borderId="0" xfId="0" applyFont="1" applyFill="1" applyAlignment="1">
      <alignment horizontal="center" wrapText="1"/>
    </xf>
    <xf numFmtId="0" fontId="30" fillId="0" borderId="0" xfId="0" applyFont="1" applyFill="1" applyAlignment="1">
      <alignment wrapText="1"/>
    </xf>
    <xf numFmtId="0" fontId="29" fillId="0" borderId="0" xfId="0" applyFont="1" applyFill="1" applyAlignment="1">
      <alignment horizontal="center" vertical="top" wrapText="1"/>
    </xf>
    <xf numFmtId="0" fontId="29" fillId="0" borderId="0" xfId="0" applyFont="1" applyFill="1" applyAlignment="1">
      <alignment horizontal="center" vertical="center" wrapText="1"/>
    </xf>
    <xf numFmtId="0" fontId="29" fillId="44" borderId="0" xfId="0" applyFont="1" applyFill="1" applyAlignment="1">
      <alignment horizontal="center" vertical="center" wrapText="1"/>
    </xf>
    <xf numFmtId="0" fontId="28" fillId="0" borderId="0" xfId="0" applyFont="1" applyFill="1"/>
    <xf numFmtId="0" fontId="28" fillId="0" borderId="0" xfId="0" applyFont="1" applyFill="1" applyAlignment="1">
      <alignment horizontal="right"/>
    </xf>
    <xf numFmtId="9" fontId="27" fillId="0" borderId="0" xfId="3" applyFont="1" applyFill="1" applyAlignment="1">
      <alignment horizontal="center"/>
    </xf>
    <xf numFmtId="0" fontId="27" fillId="0" borderId="0" xfId="0" applyFont="1" applyFill="1" applyAlignment="1">
      <alignment horizontal="centerContinuous"/>
    </xf>
    <xf numFmtId="166" fontId="27" fillId="0" borderId="0" xfId="0" applyNumberFormat="1" applyFont="1" applyFill="1" applyAlignment="1">
      <alignment horizontal="centerContinuous"/>
    </xf>
    <xf numFmtId="10" fontId="27" fillId="0" borderId="0" xfId="0" applyNumberFormat="1" applyFont="1" applyFill="1" applyAlignment="1">
      <alignment horizontal="centerContinuous"/>
    </xf>
    <xf numFmtId="9" fontId="27" fillId="0" borderId="0" xfId="3" applyFont="1" applyFill="1" applyAlignment="1">
      <alignment horizontal="centerContinuous"/>
    </xf>
    <xf numFmtId="10" fontId="27" fillId="0" borderId="0" xfId="3" applyNumberFormat="1" applyFont="1" applyFill="1" applyAlignment="1">
      <alignment horizontal="center"/>
    </xf>
    <xf numFmtId="166" fontId="27" fillId="0" borderId="0" xfId="0" applyNumberFormat="1" applyFont="1" applyFill="1"/>
    <xf numFmtId="0" fontId="29" fillId="46" borderId="19" xfId="0" applyFont="1" applyFill="1" applyBorder="1" applyAlignment="1">
      <alignment horizontal="center" vertical="center" wrapText="1"/>
    </xf>
    <xf numFmtId="0" fontId="28" fillId="46" borderId="0" xfId="0" applyFont="1" applyFill="1" applyAlignment="1">
      <alignment wrapText="1"/>
    </xf>
    <xf numFmtId="0" fontId="28" fillId="36" borderId="0" xfId="0" applyFont="1" applyFill="1" applyAlignment="1">
      <alignment vertical="top" wrapText="1"/>
    </xf>
    <xf numFmtId="0" fontId="27" fillId="46" borderId="0" xfId="0" applyFont="1" applyFill="1"/>
    <xf numFmtId="0" fontId="27" fillId="46" borderId="0" xfId="0" applyFont="1" applyFill="1" applyAlignment="1">
      <alignment horizontal="left" wrapText="1"/>
    </xf>
    <xf numFmtId="166" fontId="28" fillId="0" borderId="0" xfId="0" applyNumberFormat="1" applyFont="1" applyFill="1"/>
    <xf numFmtId="0" fontId="28" fillId="46" borderId="18" xfId="0" applyFont="1" applyFill="1" applyBorder="1" applyAlignment="1">
      <alignment vertical="center"/>
    </xf>
    <xf numFmtId="166" fontId="28" fillId="46" borderId="18" xfId="0" applyNumberFormat="1" applyFont="1" applyFill="1" applyBorder="1" applyAlignment="1">
      <alignment vertical="center"/>
    </xf>
    <xf numFmtId="0" fontId="28" fillId="46" borderId="19" xfId="0" applyFont="1" applyFill="1" applyBorder="1" applyAlignment="1">
      <alignment vertical="center"/>
    </xf>
    <xf numFmtId="9" fontId="28" fillId="46" borderId="18" xfId="0" applyNumberFormat="1" applyFont="1" applyFill="1" applyBorder="1" applyAlignment="1">
      <alignment vertical="center"/>
    </xf>
    <xf numFmtId="166" fontId="28" fillId="46" borderId="19" xfId="0" applyNumberFormat="1" applyFont="1" applyFill="1" applyBorder="1" applyAlignment="1">
      <alignment vertical="center"/>
    </xf>
    <xf numFmtId="166" fontId="28" fillId="46" borderId="28" xfId="0" applyNumberFormat="1" applyFont="1" applyFill="1" applyBorder="1" applyAlignment="1">
      <alignment vertical="center"/>
    </xf>
    <xf numFmtId="9" fontId="28" fillId="46" borderId="19" xfId="0" applyNumberFormat="1" applyFont="1" applyFill="1" applyBorder="1" applyAlignment="1">
      <alignment vertical="center"/>
    </xf>
    <xf numFmtId="166" fontId="28" fillId="0" borderId="0" xfId="0" applyNumberFormat="1" applyFont="1" applyFill="1" applyBorder="1" applyAlignment="1">
      <alignment vertical="center"/>
    </xf>
    <xf numFmtId="0" fontId="28" fillId="47" borderId="0" xfId="0" applyFont="1" applyFill="1" applyAlignment="1">
      <alignment vertical="center"/>
    </xf>
    <xf numFmtId="0" fontId="34" fillId="47" borderId="0" xfId="0" applyFont="1" applyFill="1" applyAlignment="1">
      <alignment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vertical="center"/>
    </xf>
    <xf numFmtId="0" fontId="29" fillId="46" borderId="21" xfId="0" applyFont="1" applyFill="1" applyBorder="1" applyAlignment="1">
      <alignment horizontal="center" vertical="center" wrapText="1"/>
    </xf>
    <xf numFmtId="166" fontId="28" fillId="46" borderId="0" xfId="0" applyNumberFormat="1" applyFont="1" applyFill="1" applyAlignment="1">
      <alignment wrapText="1"/>
    </xf>
    <xf numFmtId="166" fontId="28" fillId="36" borderId="0" xfId="0" applyNumberFormat="1" applyFont="1" applyFill="1" applyAlignment="1">
      <alignment vertical="top" wrapText="1"/>
    </xf>
    <xf numFmtId="0" fontId="28" fillId="46" borderId="0" xfId="0" applyFont="1" applyFill="1"/>
    <xf numFmtId="0" fontId="28" fillId="46" borderId="0" xfId="0" applyFont="1" applyFill="1" applyAlignment="1">
      <alignment horizontal="left" wrapText="1"/>
    </xf>
    <xf numFmtId="0" fontId="28" fillId="46" borderId="0" xfId="0" applyFont="1" applyFill="1" applyBorder="1" applyAlignment="1">
      <alignment vertical="center"/>
    </xf>
    <xf numFmtId="166" fontId="28" fillId="46" borderId="0" xfId="0" applyNumberFormat="1" applyFont="1" applyFill="1" applyBorder="1" applyAlignment="1">
      <alignment vertical="center"/>
    </xf>
    <xf numFmtId="0" fontId="28" fillId="46" borderId="21" xfId="0" applyFont="1" applyFill="1" applyBorder="1" applyAlignment="1">
      <alignment vertical="center"/>
    </xf>
    <xf numFmtId="9" fontId="28" fillId="46" borderId="0" xfId="0" applyNumberFormat="1" applyFont="1" applyFill="1" applyBorder="1" applyAlignment="1">
      <alignment vertical="center"/>
    </xf>
    <xf numFmtId="166" fontId="28" fillId="46" borderId="21" xfId="0" applyNumberFormat="1" applyFont="1" applyFill="1" applyBorder="1" applyAlignment="1">
      <alignment vertical="center"/>
    </xf>
    <xf numFmtId="166" fontId="28" fillId="46" borderId="29" xfId="0" applyNumberFormat="1" applyFont="1" applyFill="1" applyBorder="1" applyAlignment="1">
      <alignment vertical="center"/>
    </xf>
    <xf numFmtId="9" fontId="28" fillId="46" borderId="21" xfId="0" applyNumberFormat="1" applyFont="1" applyFill="1" applyBorder="1" applyAlignment="1">
      <alignment vertical="center"/>
    </xf>
    <xf numFmtId="0" fontId="28" fillId="0" borderId="0" xfId="0" applyFont="1" applyFill="1" applyAlignment="1">
      <alignment horizontal="left" wrapText="1"/>
    </xf>
    <xf numFmtId="0" fontId="28" fillId="0" borderId="0" xfId="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vertical="center"/>
    </xf>
    <xf numFmtId="0" fontId="28" fillId="47" borderId="0" xfId="0" applyFont="1" applyFill="1" applyBorder="1" applyAlignment="1">
      <alignment horizontal="center" vertical="center" wrapText="1"/>
    </xf>
    <xf numFmtId="166" fontId="28" fillId="47" borderId="0" xfId="0" applyNumberFormat="1" applyFont="1" applyFill="1" applyBorder="1" applyAlignment="1">
      <alignment horizontal="center" vertical="center" wrapText="1"/>
    </xf>
    <xf numFmtId="10" fontId="28" fillId="47" borderId="0" xfId="0" applyNumberFormat="1" applyFont="1" applyFill="1" applyBorder="1" applyAlignment="1">
      <alignment horizontal="center" vertical="center" wrapText="1"/>
    </xf>
    <xf numFmtId="9" fontId="28" fillId="47" borderId="0" xfId="3" applyFont="1" applyFill="1" applyBorder="1" applyAlignment="1">
      <alignment horizontal="center" vertical="center" wrapText="1"/>
    </xf>
    <xf numFmtId="0" fontId="28" fillId="46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166" fontId="28" fillId="0" borderId="0" xfId="0" applyNumberFormat="1" applyFont="1" applyFill="1" applyBorder="1" applyAlignment="1">
      <alignment horizontal="center" vertical="center" wrapText="1"/>
    </xf>
    <xf numFmtId="0" fontId="28" fillId="35" borderId="0" xfId="0" applyFont="1" applyFill="1" applyBorder="1" applyAlignment="1">
      <alignment horizontal="center" vertical="center" wrapText="1"/>
    </xf>
    <xf numFmtId="9" fontId="28" fillId="0" borderId="20" xfId="3" applyFont="1" applyFill="1" applyBorder="1" applyAlignment="1">
      <alignment horizontal="center" vertical="center" wrapText="1"/>
    </xf>
    <xf numFmtId="9" fontId="28" fillId="0" borderId="0" xfId="3" applyFont="1" applyFill="1" applyBorder="1" applyAlignment="1">
      <alignment horizontal="center" vertical="center" wrapText="1"/>
    </xf>
    <xf numFmtId="166" fontId="28" fillId="0" borderId="0" xfId="3" applyNumberFormat="1" applyFont="1" applyFill="1" applyBorder="1" applyAlignment="1">
      <alignment horizontal="center" vertical="center" wrapText="1"/>
    </xf>
    <xf numFmtId="166" fontId="30" fillId="0" borderId="0" xfId="0" applyNumberFormat="1" applyFont="1" applyFill="1" applyBorder="1" applyAlignment="1">
      <alignment horizontal="center" vertical="center" wrapText="1"/>
    </xf>
    <xf numFmtId="166" fontId="28" fillId="0" borderId="20" xfId="0" applyNumberFormat="1" applyFont="1" applyFill="1" applyBorder="1" applyAlignment="1">
      <alignment horizontal="center" vertical="center" wrapText="1"/>
    </xf>
    <xf numFmtId="166" fontId="28" fillId="0" borderId="21" xfId="0" applyNumberFormat="1" applyFont="1" applyFill="1" applyBorder="1" applyAlignment="1">
      <alignment horizontal="center" vertical="center" wrapText="1"/>
    </xf>
    <xf numFmtId="166" fontId="28" fillId="35" borderId="0" xfId="0" applyNumberFormat="1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center" wrapText="1"/>
    </xf>
    <xf numFmtId="166" fontId="30" fillId="0" borderId="21" xfId="0" applyNumberFormat="1" applyFont="1" applyFill="1" applyBorder="1" applyAlignment="1">
      <alignment horizontal="center" vertical="center" wrapText="1"/>
    </xf>
    <xf numFmtId="166" fontId="28" fillId="36" borderId="0" xfId="3" applyNumberFormat="1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center" vertical="top" wrapText="1"/>
    </xf>
    <xf numFmtId="0" fontId="28" fillId="0" borderId="0" xfId="0" applyFont="1" applyFill="1" applyAlignment="1">
      <alignment horizontal="center" vertical="center" wrapText="1"/>
    </xf>
    <xf numFmtId="0" fontId="28" fillId="48" borderId="0" xfId="0" applyFont="1" applyFill="1" applyAlignment="1">
      <alignment wrapText="1"/>
    </xf>
    <xf numFmtId="0" fontId="28" fillId="48" borderId="0" xfId="0" applyFont="1" applyFill="1" applyAlignment="1">
      <alignment horizontal="center" vertical="center" wrapText="1"/>
    </xf>
    <xf numFmtId="0" fontId="28" fillId="0" borderId="20" xfId="0" applyFont="1" applyFill="1" applyBorder="1" applyAlignment="1">
      <alignment wrapText="1"/>
    </xf>
    <xf numFmtId="166" fontId="28" fillId="0" borderId="0" xfId="0" applyNumberFormat="1" applyFont="1" applyFill="1" applyBorder="1" applyAlignment="1">
      <alignment wrapText="1"/>
    </xf>
    <xf numFmtId="0" fontId="28" fillId="0" borderId="0" xfId="0" applyFont="1" applyFill="1" applyBorder="1" applyAlignment="1">
      <alignment wrapText="1"/>
    </xf>
    <xf numFmtId="166" fontId="28" fillId="0" borderId="21" xfId="0" applyNumberFormat="1" applyFont="1" applyFill="1" applyBorder="1" applyAlignment="1">
      <alignment wrapText="1"/>
    </xf>
    <xf numFmtId="9" fontId="28" fillId="0" borderId="20" xfId="0" applyNumberFormat="1" applyFont="1" applyFill="1" applyBorder="1" applyAlignment="1">
      <alignment wrapText="1"/>
    </xf>
    <xf numFmtId="166" fontId="28" fillId="0" borderId="29" xfId="0" applyNumberFormat="1" applyFont="1" applyFill="1" applyBorder="1" applyAlignment="1">
      <alignment wrapText="1"/>
    </xf>
    <xf numFmtId="9" fontId="28" fillId="0" borderId="0" xfId="0" applyNumberFormat="1" applyFont="1" applyFill="1" applyBorder="1" applyAlignment="1">
      <alignment wrapText="1"/>
    </xf>
    <xf numFmtId="4" fontId="28" fillId="0" borderId="21" xfId="0" applyNumberFormat="1" applyFont="1" applyFill="1" applyBorder="1" applyAlignment="1">
      <alignment wrapText="1"/>
    </xf>
    <xf numFmtId="0" fontId="26" fillId="0" borderId="0" xfId="0" applyFont="1" applyFill="1" applyAlignment="1">
      <alignment horizontal="right"/>
    </xf>
    <xf numFmtId="0" fontId="26" fillId="0" borderId="0" xfId="0" applyFont="1" applyFill="1" applyAlignment="1">
      <alignment horizontal="center" wrapText="1"/>
    </xf>
    <xf numFmtId="0" fontId="26" fillId="0" borderId="30" xfId="0" applyFont="1" applyFill="1" applyBorder="1"/>
    <xf numFmtId="0" fontId="36" fillId="47" borderId="30" xfId="0" applyFont="1" applyFill="1" applyBorder="1"/>
    <xf numFmtId="166" fontId="26" fillId="0" borderId="30" xfId="0" applyNumberFormat="1" applyFont="1" applyFill="1" applyBorder="1"/>
    <xf numFmtId="10" fontId="26" fillId="0" borderId="30" xfId="0" applyNumberFormat="1" applyFont="1" applyFill="1" applyBorder="1"/>
    <xf numFmtId="9" fontId="26" fillId="0" borderId="30" xfId="3" applyFont="1" applyFill="1" applyBorder="1"/>
    <xf numFmtId="0" fontId="26" fillId="0" borderId="30" xfId="0" applyFont="1" applyFill="1" applyBorder="1" applyAlignment="1">
      <alignment horizontal="center"/>
    </xf>
    <xf numFmtId="10" fontId="36" fillId="47" borderId="30" xfId="3" applyNumberFormat="1" applyFont="1" applyFill="1" applyBorder="1"/>
    <xf numFmtId="10" fontId="26" fillId="0" borderId="30" xfId="3" applyNumberFormat="1" applyFont="1" applyFill="1" applyBorder="1"/>
    <xf numFmtId="9" fontId="26" fillId="0" borderId="30" xfId="0" applyNumberFormat="1" applyFont="1" applyFill="1" applyBorder="1"/>
    <xf numFmtId="9" fontId="26" fillId="0" borderId="31" xfId="3" applyFont="1" applyFill="1" applyBorder="1"/>
    <xf numFmtId="166" fontId="26" fillId="0" borderId="30" xfId="3" applyNumberFormat="1" applyFont="1" applyFill="1" applyBorder="1"/>
    <xf numFmtId="166" fontId="26" fillId="0" borderId="31" xfId="0" applyNumberFormat="1" applyFont="1" applyFill="1" applyBorder="1"/>
    <xf numFmtId="166" fontId="26" fillId="0" borderId="32" xfId="0" applyNumberFormat="1" applyFont="1" applyFill="1" applyBorder="1"/>
    <xf numFmtId="10" fontId="26" fillId="0" borderId="20" xfId="0" applyNumberFormat="1" applyFont="1" applyFill="1" applyBorder="1"/>
    <xf numFmtId="166" fontId="26" fillId="0" borderId="0" xfId="0" applyNumberFormat="1" applyFont="1" applyFill="1" applyBorder="1"/>
    <xf numFmtId="9" fontId="26" fillId="0" borderId="0" xfId="3" applyFont="1" applyFill="1" applyBorder="1"/>
    <xf numFmtId="166" fontId="26" fillId="36" borderId="30" xfId="0" applyNumberFormat="1" applyFont="1" applyFill="1" applyBorder="1"/>
    <xf numFmtId="0" fontId="26" fillId="0" borderId="0" xfId="0" applyFont="1" applyFill="1" applyAlignment="1">
      <alignment horizontal="left" vertical="top" wrapText="1"/>
    </xf>
    <xf numFmtId="9" fontId="26" fillId="0" borderId="20" xfId="0" applyNumberFormat="1" applyFont="1" applyFill="1" applyBorder="1"/>
    <xf numFmtId="9" fontId="26" fillId="0" borderId="0" xfId="0" applyNumberFormat="1" applyFont="1" applyFill="1" applyBorder="1"/>
    <xf numFmtId="166" fontId="26" fillId="0" borderId="21" xfId="0" applyNumberFormat="1" applyFont="1" applyFill="1" applyBorder="1"/>
    <xf numFmtId="0" fontId="26" fillId="0" borderId="0" xfId="0" applyFont="1" applyFill="1" applyBorder="1"/>
    <xf numFmtId="166" fontId="26" fillId="0" borderId="29" xfId="0" applyNumberFormat="1" applyFont="1" applyFill="1" applyBorder="1"/>
    <xf numFmtId="4" fontId="26" fillId="0" borderId="21" xfId="0" applyNumberFormat="1" applyFont="1" applyFill="1" applyBorder="1"/>
    <xf numFmtId="0" fontId="26" fillId="0" borderId="0" xfId="0" applyFont="1" applyFill="1" applyAlignment="1">
      <alignment horizontal="center"/>
    </xf>
    <xf numFmtId="9" fontId="26" fillId="0" borderId="30" xfId="3" applyNumberFormat="1" applyFont="1" applyFill="1" applyBorder="1"/>
    <xf numFmtId="0" fontId="26" fillId="0" borderId="0" xfId="0" applyFont="1" applyFill="1" applyBorder="1" applyAlignment="1">
      <alignment horizontal="center"/>
    </xf>
    <xf numFmtId="10" fontId="26" fillId="0" borderId="20" xfId="3" applyNumberFormat="1" applyFont="1" applyFill="1" applyBorder="1"/>
    <xf numFmtId="10" fontId="26" fillId="0" borderId="30" xfId="3" applyNumberFormat="1" applyFont="1" applyFill="1" applyBorder="1" applyAlignment="1">
      <alignment horizontal="center"/>
    </xf>
    <xf numFmtId="0" fontId="26" fillId="0" borderId="33" xfId="0" applyFont="1" applyFill="1" applyBorder="1" applyAlignment="1">
      <alignment horizontal="center"/>
    </xf>
    <xf numFmtId="49" fontId="26" fillId="0" borderId="0" xfId="0" applyNumberFormat="1" applyFont="1" applyFill="1" applyAlignment="1">
      <alignment horizontal="right"/>
    </xf>
    <xf numFmtId="0" fontId="26" fillId="34" borderId="0" xfId="0" applyFont="1" applyFill="1" applyAlignment="1">
      <alignment horizontal="left" wrapText="1"/>
    </xf>
    <xf numFmtId="0" fontId="26" fillId="34" borderId="0" xfId="0" applyFont="1" applyFill="1" applyAlignment="1">
      <alignment wrapText="1"/>
    </xf>
    <xf numFmtId="0" fontId="26" fillId="0" borderId="0" xfId="0" applyFont="1" applyFill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49" borderId="0" xfId="0" applyFont="1" applyFill="1"/>
    <xf numFmtId="0" fontId="37" fillId="0" borderId="0" xfId="0" applyFont="1" applyFill="1" applyAlignment="1">
      <alignment horizontal="left" vertical="top" wrapText="1"/>
    </xf>
    <xf numFmtId="0" fontId="37" fillId="0" borderId="0" xfId="0" applyFont="1" applyFill="1"/>
    <xf numFmtId="9" fontId="26" fillId="44" borderId="31" xfId="3" applyFont="1" applyFill="1" applyBorder="1"/>
    <xf numFmtId="166" fontId="26" fillId="44" borderId="30" xfId="0" applyNumberFormat="1" applyFont="1" applyFill="1" applyBorder="1"/>
    <xf numFmtId="0" fontId="26" fillId="44" borderId="0" xfId="0" applyFont="1" applyFill="1" applyAlignment="1">
      <alignment horizontal="left" wrapText="1"/>
    </xf>
    <xf numFmtId="0" fontId="26" fillId="44" borderId="0" xfId="0" applyFont="1" applyFill="1"/>
    <xf numFmtId="0" fontId="26" fillId="0" borderId="34" xfId="0" applyFont="1" applyFill="1" applyBorder="1"/>
    <xf numFmtId="10" fontId="26" fillId="0" borderId="0" xfId="0" applyNumberFormat="1" applyFont="1" applyFill="1" applyBorder="1"/>
    <xf numFmtId="9" fontId="26" fillId="0" borderId="0" xfId="0" applyNumberFormat="1" applyFont="1" applyFill="1" applyAlignment="1">
      <alignment horizontal="left" vertical="top" wrapText="1"/>
    </xf>
    <xf numFmtId="0" fontId="26" fillId="0" borderId="35" xfId="0" applyFont="1" applyFill="1" applyBorder="1"/>
    <xf numFmtId="0" fontId="26" fillId="0" borderId="36" xfId="0" applyFont="1" applyFill="1" applyBorder="1"/>
    <xf numFmtId="9" fontId="26" fillId="0" borderId="0" xfId="3" applyNumberFormat="1" applyFont="1" applyFill="1" applyBorder="1"/>
    <xf numFmtId="9" fontId="26" fillId="0" borderId="20" xfId="3" applyFont="1" applyFill="1" applyBorder="1"/>
    <xf numFmtId="166" fontId="26" fillId="0" borderId="0" xfId="3" applyNumberFormat="1" applyFont="1" applyFill="1" applyBorder="1"/>
    <xf numFmtId="166" fontId="26" fillId="0" borderId="20" xfId="0" applyNumberFormat="1" applyFont="1" applyFill="1" applyBorder="1"/>
    <xf numFmtId="166" fontId="26" fillId="36" borderId="0" xfId="0" applyNumberFormat="1" applyFont="1" applyFill="1" applyBorder="1"/>
    <xf numFmtId="0" fontId="37" fillId="0" borderId="0" xfId="0" applyFont="1" applyFill="1" applyBorder="1"/>
    <xf numFmtId="166" fontId="37" fillId="0" borderId="0" xfId="0" applyNumberFormat="1" applyFont="1" applyFill="1" applyBorder="1"/>
    <xf numFmtId="10" fontId="37" fillId="0" borderId="0" xfId="0" applyNumberFormat="1" applyFont="1" applyFill="1" applyBorder="1"/>
    <xf numFmtId="166" fontId="37" fillId="0" borderId="30" xfId="0" applyNumberFormat="1" applyFont="1" applyFill="1" applyBorder="1"/>
    <xf numFmtId="9" fontId="37" fillId="0" borderId="0" xfId="3" applyFont="1" applyFill="1" applyBorder="1"/>
    <xf numFmtId="0" fontId="38" fillId="0" borderId="30" xfId="0" applyFont="1" applyFill="1" applyBorder="1" applyAlignment="1">
      <alignment horizontal="center"/>
    </xf>
    <xf numFmtId="0" fontId="39" fillId="0" borderId="0" xfId="0" applyFont="1" applyFill="1" applyBorder="1"/>
    <xf numFmtId="10" fontId="26" fillId="48" borderId="30" xfId="3" applyNumberFormat="1" applyFont="1" applyFill="1" applyBorder="1"/>
    <xf numFmtId="166" fontId="26" fillId="48" borderId="30" xfId="0" applyNumberFormat="1" applyFont="1" applyFill="1" applyBorder="1"/>
    <xf numFmtId="9" fontId="26" fillId="48" borderId="0" xfId="3" applyNumberFormat="1" applyFont="1" applyFill="1" applyBorder="1"/>
    <xf numFmtId="9" fontId="26" fillId="48" borderId="20" xfId="3" applyFont="1" applyFill="1" applyBorder="1"/>
    <xf numFmtId="9" fontId="26" fillId="48" borderId="0" xfId="3" applyFont="1" applyFill="1" applyBorder="1"/>
    <xf numFmtId="166" fontId="26" fillId="48" borderId="0" xfId="3" applyNumberFormat="1" applyFont="1" applyFill="1" applyBorder="1"/>
    <xf numFmtId="166" fontId="26" fillId="48" borderId="20" xfId="0" applyNumberFormat="1" applyFont="1" applyFill="1" applyBorder="1"/>
    <xf numFmtId="166" fontId="26" fillId="48" borderId="0" xfId="0" applyNumberFormat="1" applyFont="1" applyFill="1" applyBorder="1"/>
    <xf numFmtId="166" fontId="26" fillId="48" borderId="21" xfId="0" applyNumberFormat="1" applyFont="1" applyFill="1" applyBorder="1"/>
    <xf numFmtId="10" fontId="26" fillId="48" borderId="20" xfId="3" applyNumberFormat="1" applyFont="1" applyFill="1" applyBorder="1"/>
    <xf numFmtId="166" fontId="26" fillId="48" borderId="30" xfId="3" applyNumberFormat="1" applyFont="1" applyFill="1" applyBorder="1"/>
    <xf numFmtId="0" fontId="26" fillId="48" borderId="0" xfId="0" applyFont="1" applyFill="1" applyAlignment="1">
      <alignment horizontal="left" vertical="top" wrapText="1"/>
    </xf>
    <xf numFmtId="0" fontId="26" fillId="48" borderId="0" xfId="0" applyFont="1" applyFill="1" applyAlignment="1">
      <alignment wrapText="1"/>
    </xf>
    <xf numFmtId="0" fontId="26" fillId="48" borderId="0" xfId="0" applyFont="1" applyFill="1"/>
    <xf numFmtId="166" fontId="26" fillId="48" borderId="0" xfId="0" applyNumberFormat="1" applyFont="1" applyFill="1"/>
    <xf numFmtId="0" fontId="40" fillId="48" borderId="0" xfId="0" applyFont="1" applyFill="1" applyBorder="1"/>
    <xf numFmtId="0" fontId="40" fillId="48" borderId="30" xfId="0" applyFont="1" applyFill="1" applyBorder="1"/>
    <xf numFmtId="10" fontId="40" fillId="48" borderId="30" xfId="3" applyNumberFormat="1" applyFont="1" applyFill="1" applyBorder="1"/>
    <xf numFmtId="0" fontId="40" fillId="48" borderId="0" xfId="0" applyFont="1" applyFill="1"/>
    <xf numFmtId="9" fontId="26" fillId="48" borderId="20" xfId="0" applyNumberFormat="1" applyFont="1" applyFill="1" applyBorder="1"/>
    <xf numFmtId="9" fontId="26" fillId="48" borderId="0" xfId="0" applyNumberFormat="1" applyFont="1" applyFill="1" applyBorder="1"/>
    <xf numFmtId="0" fontId="26" fillId="48" borderId="0" xfId="0" applyFont="1" applyFill="1" applyBorder="1"/>
    <xf numFmtId="166" fontId="26" fillId="48" borderId="29" xfId="0" applyNumberFormat="1" applyFont="1" applyFill="1" applyBorder="1"/>
    <xf numFmtId="4" fontId="26" fillId="48" borderId="21" xfId="0" applyNumberFormat="1" applyFont="1" applyFill="1" applyBorder="1"/>
    <xf numFmtId="0" fontId="26" fillId="44" borderId="0" xfId="0" applyFont="1" applyFill="1" applyAlignment="1">
      <alignment horizontal="left" vertical="top" wrapText="1"/>
    </xf>
    <xf numFmtId="0" fontId="26" fillId="0" borderId="0" xfId="0" applyFont="1" applyFill="1" applyAlignment="1">
      <alignment horizontal="left" wrapText="1"/>
    </xf>
    <xf numFmtId="0" fontId="26" fillId="0" borderId="0" xfId="0" applyFont="1" applyFill="1" applyAlignment="1"/>
    <xf numFmtId="0" fontId="26" fillId="0" borderId="0" xfId="0" applyFont="1" applyFill="1" applyBorder="1" applyAlignment="1">
      <alignment horizontal="center" textRotation="45"/>
    </xf>
    <xf numFmtId="0" fontId="26" fillId="48" borderId="0" xfId="0" applyFont="1" applyFill="1" applyBorder="1" applyAlignment="1"/>
    <xf numFmtId="0" fontId="26" fillId="48" borderId="30" xfId="0" applyFont="1" applyFill="1" applyBorder="1" applyAlignment="1"/>
    <xf numFmtId="166" fontId="26" fillId="48" borderId="0" xfId="0" applyNumberFormat="1" applyFont="1" applyFill="1" applyBorder="1" applyAlignment="1"/>
    <xf numFmtId="10" fontId="26" fillId="48" borderId="0" xfId="0" applyNumberFormat="1" applyFont="1" applyFill="1" applyBorder="1" applyAlignment="1"/>
    <xf numFmtId="9" fontId="26" fillId="48" borderId="0" xfId="3" applyFont="1" applyFill="1" applyBorder="1" applyAlignment="1"/>
    <xf numFmtId="166" fontId="26" fillId="48" borderId="30" xfId="0" applyNumberFormat="1" applyFont="1" applyFill="1" applyBorder="1" applyAlignment="1"/>
    <xf numFmtId="0" fontId="26" fillId="48" borderId="30" xfId="0" applyFont="1" applyFill="1" applyBorder="1" applyAlignment="1">
      <alignment horizontal="center"/>
    </xf>
    <xf numFmtId="10" fontId="26" fillId="48" borderId="30" xfId="3" applyNumberFormat="1" applyFont="1" applyFill="1" applyBorder="1" applyAlignment="1"/>
    <xf numFmtId="9" fontId="26" fillId="48" borderId="0" xfId="3" applyNumberFormat="1" applyFont="1" applyFill="1" applyBorder="1" applyAlignment="1"/>
    <xf numFmtId="9" fontId="26" fillId="48" borderId="20" xfId="3" applyFont="1" applyFill="1" applyBorder="1" applyAlignment="1"/>
    <xf numFmtId="166" fontId="26" fillId="48" borderId="0" xfId="3" applyNumberFormat="1" applyFont="1" applyFill="1" applyBorder="1" applyAlignment="1"/>
    <xf numFmtId="166" fontId="26" fillId="48" borderId="20" xfId="0" applyNumberFormat="1" applyFont="1" applyFill="1" applyBorder="1" applyAlignment="1"/>
    <xf numFmtId="166" fontId="26" fillId="48" borderId="21" xfId="0" applyNumberFormat="1" applyFont="1" applyFill="1" applyBorder="1" applyAlignment="1"/>
    <xf numFmtId="10" fontId="26" fillId="48" borderId="20" xfId="3" applyNumberFormat="1" applyFont="1" applyFill="1" applyBorder="1" applyAlignment="1"/>
    <xf numFmtId="166" fontId="26" fillId="48" borderId="30" xfId="3" applyNumberFormat="1" applyFont="1" applyFill="1" applyBorder="1" applyAlignment="1"/>
    <xf numFmtId="0" fontId="26" fillId="48" borderId="0" xfId="0" applyFont="1" applyFill="1" applyAlignment="1">
      <alignment horizontal="left" vertical="top"/>
    </xf>
    <xf numFmtId="0" fontId="26" fillId="48" borderId="0" xfId="0" applyFont="1" applyFill="1" applyAlignment="1"/>
    <xf numFmtId="166" fontId="26" fillId="48" borderId="0" xfId="0" applyNumberFormat="1" applyFont="1" applyFill="1" applyAlignment="1"/>
    <xf numFmtId="0" fontId="26" fillId="48" borderId="20" xfId="0" applyFont="1" applyFill="1" applyBorder="1" applyAlignment="1"/>
    <xf numFmtId="9" fontId="26" fillId="48" borderId="0" xfId="0" applyNumberFormat="1" applyFont="1" applyFill="1" applyBorder="1" applyAlignment="1"/>
    <xf numFmtId="166" fontId="26" fillId="48" borderId="29" xfId="0" applyNumberFormat="1" applyFont="1" applyFill="1" applyBorder="1" applyAlignment="1"/>
    <xf numFmtId="0" fontId="26" fillId="48" borderId="21" xfId="0" applyFont="1" applyFill="1" applyBorder="1" applyAlignment="1"/>
    <xf numFmtId="166" fontId="26" fillId="0" borderId="0" xfId="0" applyNumberFormat="1" applyFont="1" applyFill="1" applyAlignment="1"/>
    <xf numFmtId="0" fontId="24" fillId="0" borderId="0" xfId="0" applyFont="1" applyFill="1" applyAlignment="1"/>
    <xf numFmtId="0" fontId="26" fillId="0" borderId="0" xfId="0" applyFont="1" applyFill="1" applyAlignment="1">
      <alignment horizontal="center" textRotation="45"/>
    </xf>
    <xf numFmtId="9" fontId="26" fillId="48" borderId="0" xfId="0" applyNumberFormat="1" applyFont="1" applyFill="1" applyAlignment="1">
      <alignment horizontal="left" vertical="top"/>
    </xf>
    <xf numFmtId="10" fontId="26" fillId="48" borderId="30" xfId="3" applyNumberFormat="1" applyFont="1" applyFill="1" applyBorder="1" applyAlignment="1">
      <alignment horizontal="center"/>
    </xf>
    <xf numFmtId="10" fontId="26" fillId="48" borderId="20" xfId="0" applyNumberFormat="1" applyFont="1" applyFill="1" applyBorder="1" applyAlignment="1"/>
    <xf numFmtId="9" fontId="26" fillId="48" borderId="20" xfId="0" applyNumberFormat="1" applyFont="1" applyFill="1" applyBorder="1" applyAlignment="1"/>
    <xf numFmtId="4" fontId="26" fillId="48" borderId="21" xfId="0" applyNumberFormat="1" applyFont="1" applyFill="1" applyBorder="1" applyAlignment="1"/>
    <xf numFmtId="10" fontId="26" fillId="48" borderId="0" xfId="3" applyNumberFormat="1" applyFont="1" applyFill="1" applyBorder="1" applyAlignment="1"/>
    <xf numFmtId="0" fontId="41" fillId="46" borderId="0" xfId="0" applyFont="1" applyFill="1"/>
    <xf numFmtId="0" fontId="41" fillId="46" borderId="0" xfId="0" applyFont="1" applyFill="1" applyAlignment="1">
      <alignment horizontal="right"/>
    </xf>
    <xf numFmtId="0" fontId="41" fillId="46" borderId="0" xfId="0" applyFont="1" applyFill="1" applyAlignment="1">
      <alignment horizontal="center" vertical="center"/>
    </xf>
    <xf numFmtId="0" fontId="41" fillId="46" borderId="30" xfId="0" applyFont="1" applyFill="1" applyBorder="1" applyAlignment="1">
      <alignment horizontal="center" vertical="center"/>
    </xf>
    <xf numFmtId="0" fontId="41" fillId="46" borderId="30" xfId="0" applyFont="1" applyFill="1" applyBorder="1"/>
    <xf numFmtId="0" fontId="41" fillId="47" borderId="30" xfId="0" applyFont="1" applyFill="1" applyBorder="1"/>
    <xf numFmtId="166" fontId="41" fillId="47" borderId="30" xfId="0" applyNumberFormat="1" applyFont="1" applyFill="1" applyBorder="1"/>
    <xf numFmtId="0" fontId="41" fillId="47" borderId="30" xfId="0" applyNumberFormat="1" applyFont="1" applyFill="1" applyBorder="1"/>
    <xf numFmtId="10" fontId="41" fillId="46" borderId="30" xfId="0" applyNumberFormat="1" applyFont="1" applyFill="1" applyBorder="1" applyAlignment="1">
      <alignment horizontal="center"/>
    </xf>
    <xf numFmtId="10" fontId="41" fillId="46" borderId="30" xfId="0" applyNumberFormat="1" applyFont="1" applyFill="1" applyBorder="1"/>
    <xf numFmtId="166" fontId="41" fillId="46" borderId="30" xfId="0" applyNumberFormat="1" applyFont="1" applyFill="1" applyBorder="1"/>
    <xf numFmtId="0" fontId="41" fillId="46" borderId="30" xfId="0" applyNumberFormat="1" applyFont="1" applyFill="1" applyBorder="1"/>
    <xf numFmtId="0" fontId="41" fillId="46" borderId="37" xfId="0" applyNumberFormat="1" applyFont="1" applyFill="1" applyBorder="1"/>
    <xf numFmtId="166" fontId="41" fillId="46" borderId="38" xfId="0" applyNumberFormat="1" applyFont="1" applyFill="1" applyBorder="1"/>
    <xf numFmtId="0" fontId="41" fillId="46" borderId="38" xfId="0" applyNumberFormat="1" applyFont="1" applyFill="1" applyBorder="1"/>
    <xf numFmtId="166" fontId="41" fillId="46" borderId="38" xfId="0" applyNumberFormat="1" applyFont="1" applyFill="1" applyBorder="1" applyAlignment="1">
      <alignment horizontal="right"/>
    </xf>
    <xf numFmtId="166" fontId="41" fillId="46" borderId="39" xfId="0" applyNumberFormat="1" applyFont="1" applyFill="1" applyBorder="1"/>
    <xf numFmtId="0" fontId="41" fillId="46" borderId="26" xfId="0" applyNumberFormat="1" applyFont="1" applyFill="1" applyBorder="1"/>
    <xf numFmtId="166" fontId="41" fillId="46" borderId="27" xfId="0" applyNumberFormat="1" applyFont="1" applyFill="1" applyBorder="1"/>
    <xf numFmtId="0" fontId="41" fillId="46" borderId="27" xfId="0" applyNumberFormat="1" applyFont="1" applyFill="1" applyBorder="1"/>
    <xf numFmtId="0" fontId="41" fillId="46" borderId="0" xfId="0" applyFont="1" applyFill="1" applyAlignment="1">
      <alignment horizontal="left" vertical="top" wrapText="1"/>
    </xf>
    <xf numFmtId="166" fontId="41" fillId="46" borderId="0" xfId="0" applyNumberFormat="1" applyFont="1" applyFill="1"/>
    <xf numFmtId="0" fontId="41" fillId="46" borderId="26" xfId="0" applyFont="1" applyFill="1" applyBorder="1"/>
    <xf numFmtId="0" fontId="41" fillId="46" borderId="27" xfId="0" applyFont="1" applyFill="1" applyBorder="1"/>
    <xf numFmtId="9" fontId="41" fillId="46" borderId="27" xfId="0" applyNumberFormat="1" applyFont="1" applyFill="1" applyBorder="1"/>
    <xf numFmtId="9" fontId="41" fillId="46" borderId="26" xfId="0" applyNumberFormat="1" applyFont="1" applyFill="1" applyBorder="1"/>
    <xf numFmtId="166" fontId="41" fillId="46" borderId="12" xfId="0" applyNumberFormat="1" applyFont="1" applyFill="1" applyBorder="1"/>
    <xf numFmtId="166" fontId="41" fillId="46" borderId="11" xfId="0" applyNumberFormat="1" applyFont="1" applyFill="1" applyBorder="1"/>
    <xf numFmtId="4" fontId="41" fillId="46" borderId="12" xfId="0" applyNumberFormat="1" applyFont="1" applyFill="1" applyBorder="1"/>
    <xf numFmtId="0" fontId="41" fillId="0" borderId="0" xfId="0" applyFont="1" applyFill="1"/>
    <xf numFmtId="166" fontId="26" fillId="0" borderId="0" xfId="0" applyNumberFormat="1" applyFont="1" applyFill="1" applyBorder="1" applyAlignment="1">
      <alignment vertical="top"/>
    </xf>
    <xf numFmtId="166" fontId="24" fillId="0" borderId="0" xfId="0" applyNumberFormat="1" applyFont="1" applyFill="1" applyAlignment="1">
      <alignment horizontal="right"/>
    </xf>
    <xf numFmtId="10" fontId="26" fillId="0" borderId="0" xfId="3" applyNumberFormat="1" applyFont="1" applyFill="1" applyBorder="1" applyAlignment="1">
      <alignment horizontal="center"/>
    </xf>
    <xf numFmtId="166" fontId="28" fillId="0" borderId="0" xfId="0" applyNumberFormat="1" applyFont="1" applyFill="1" applyAlignment="1">
      <alignment horizontal="right"/>
    </xf>
    <xf numFmtId="43" fontId="24" fillId="0" borderId="0" xfId="1" applyFont="1" applyFill="1"/>
    <xf numFmtId="167" fontId="24" fillId="0" borderId="0" xfId="0" applyNumberFormat="1" applyFont="1" applyFill="1"/>
    <xf numFmtId="168" fontId="24" fillId="0" borderId="0" xfId="0" applyNumberFormat="1" applyFont="1" applyFill="1"/>
    <xf numFmtId="43" fontId="26" fillId="0" borderId="0" xfId="1" applyFont="1" applyFill="1" applyBorder="1"/>
    <xf numFmtId="166" fontId="28" fillId="0" borderId="40" xfId="0" applyNumberFormat="1" applyFont="1" applyFill="1" applyBorder="1"/>
    <xf numFmtId="169" fontId="24" fillId="0" borderId="0" xfId="0" applyNumberFormat="1" applyFont="1" applyFill="1"/>
    <xf numFmtId="10" fontId="26" fillId="0" borderId="0" xfId="3" applyNumberFormat="1" applyFont="1" applyFill="1" applyAlignment="1"/>
    <xf numFmtId="9" fontId="26" fillId="0" borderId="0" xfId="3" applyFont="1" applyFill="1" applyAlignment="1"/>
    <xf numFmtId="166" fontId="26" fillId="0" borderId="0" xfId="3" applyNumberFormat="1" applyFont="1" applyFill="1" applyAlignment="1"/>
    <xf numFmtId="166" fontId="28" fillId="0" borderId="0" xfId="0" applyNumberFormat="1" applyFont="1" applyFill="1" applyAlignment="1"/>
    <xf numFmtId="166" fontId="24" fillId="0" borderId="0" xfId="0" applyNumberFormat="1" applyFont="1" applyFill="1" applyAlignment="1"/>
    <xf numFmtId="0" fontId="27" fillId="46" borderId="41" xfId="0" applyFont="1" applyFill="1" applyBorder="1" applyAlignment="1">
      <alignment horizontal="center"/>
    </xf>
    <xf numFmtId="0" fontId="27" fillId="46" borderId="42" xfId="0" applyFont="1" applyFill="1" applyBorder="1" applyAlignment="1">
      <alignment horizontal="center"/>
    </xf>
    <xf numFmtId="0" fontId="26" fillId="46" borderId="43" xfId="0" applyFont="1" applyFill="1" applyBorder="1" applyAlignment="1">
      <alignment horizontal="center"/>
    </xf>
    <xf numFmtId="10" fontId="26" fillId="46" borderId="43" xfId="3" applyNumberFormat="1" applyFont="1" applyFill="1" applyBorder="1" applyAlignment="1">
      <alignment horizontal="center"/>
    </xf>
    <xf numFmtId="166" fontId="0" fillId="0" borderId="0" xfId="0" applyNumberFormat="1"/>
    <xf numFmtId="0" fontId="26" fillId="35" borderId="44" xfId="0" applyFont="1" applyFill="1" applyBorder="1" applyAlignment="1">
      <alignment horizontal="left"/>
    </xf>
    <xf numFmtId="0" fontId="26" fillId="35" borderId="45" xfId="0" applyFont="1" applyFill="1" applyBorder="1" applyAlignment="1">
      <alignment horizontal="left"/>
    </xf>
    <xf numFmtId="43" fontId="26" fillId="35" borderId="1" xfId="1" applyFont="1" applyFill="1" applyBorder="1" applyAlignment="1"/>
    <xf numFmtId="10" fontId="26" fillId="35" borderId="1" xfId="3" applyNumberFormat="1" applyFont="1" applyFill="1" applyBorder="1" applyAlignment="1">
      <alignment horizontal="center"/>
    </xf>
    <xf numFmtId="0" fontId="26" fillId="35" borderId="44" xfId="0" applyFont="1" applyFill="1" applyBorder="1" applyAlignment="1"/>
    <xf numFmtId="0" fontId="26" fillId="35" borderId="45" xfId="0" applyFont="1" applyFill="1" applyBorder="1" applyAlignment="1"/>
    <xf numFmtId="10" fontId="26" fillId="35" borderId="1" xfId="3" applyNumberFormat="1" applyFont="1" applyFill="1" applyBorder="1" applyAlignment="1">
      <alignment horizontal="left"/>
    </xf>
    <xf numFmtId="9" fontId="24" fillId="0" borderId="0" xfId="0" applyNumberFormat="1" applyFont="1" applyFill="1" applyAlignment="1"/>
    <xf numFmtId="0" fontId="26" fillId="46" borderId="44" xfId="0" applyFont="1" applyFill="1" applyBorder="1" applyAlignment="1">
      <alignment horizontal="center"/>
    </xf>
    <xf numFmtId="0" fontId="26" fillId="46" borderId="45" xfId="0" applyFont="1" applyFill="1" applyBorder="1" applyAlignment="1">
      <alignment horizontal="center"/>
    </xf>
    <xf numFmtId="43" fontId="27" fillId="46" borderId="1" xfId="0" applyNumberFormat="1" applyFont="1" applyFill="1" applyBorder="1" applyAlignment="1"/>
    <xf numFmtId="10" fontId="26" fillId="46" borderId="1" xfId="3" applyNumberFormat="1" applyFont="1" applyFill="1" applyBorder="1" applyAlignment="1">
      <alignment horizontal="center"/>
    </xf>
    <xf numFmtId="10" fontId="26" fillId="0" borderId="0" xfId="0" applyNumberFormat="1" applyFont="1" applyFill="1" applyAlignment="1"/>
    <xf numFmtId="0" fontId="27" fillId="46" borderId="44" xfId="0" applyFont="1" applyFill="1" applyBorder="1" applyAlignment="1">
      <alignment horizontal="center"/>
    </xf>
    <xf numFmtId="0" fontId="27" fillId="46" borderId="45" xfId="0" applyFont="1" applyFill="1" applyBorder="1" applyAlignment="1">
      <alignment horizontal="center"/>
    </xf>
    <xf numFmtId="0" fontId="26" fillId="46" borderId="1" xfId="0" applyFont="1" applyFill="1" applyBorder="1" applyAlignment="1">
      <alignment horizontal="center"/>
    </xf>
    <xf numFmtId="43" fontId="26" fillId="0" borderId="0" xfId="1" applyFont="1" applyFill="1" applyAlignment="1"/>
    <xf numFmtId="164" fontId="0" fillId="0" borderId="0" xfId="1" applyNumberFormat="1" applyFont="1"/>
    <xf numFmtId="0" fontId="0" fillId="0" borderId="1" xfId="0" applyFont="1" applyFill="1" applyBorder="1" applyAlignment="1">
      <alignment wrapText="1"/>
    </xf>
    <xf numFmtId="0" fontId="0" fillId="35" borderId="1" xfId="0" applyNumberFormat="1" applyFont="1" applyFill="1" applyBorder="1"/>
    <xf numFmtId="0" fontId="0" fillId="0" borderId="1" xfId="0" applyNumberFormat="1" applyFont="1" applyFill="1" applyBorder="1" applyAlignment="1">
      <alignment wrapText="1"/>
    </xf>
    <xf numFmtId="0" fontId="0" fillId="0" borderId="1" xfId="0" applyNumberFormat="1" applyFont="1" applyFill="1" applyBorder="1" applyAlignment="1"/>
    <xf numFmtId="0" fontId="0" fillId="0" borderId="1" xfId="0" applyNumberFormat="1" applyFont="1" applyFill="1" applyBorder="1" applyAlignment="1">
      <alignment horizontal="left" wrapText="1"/>
    </xf>
    <xf numFmtId="0" fontId="0" fillId="0" borderId="1" xfId="0" applyFont="1" applyFill="1" applyBorder="1" applyAlignment="1"/>
    <xf numFmtId="0" fontId="0" fillId="35" borderId="1" xfId="0" applyNumberFormat="1" applyFont="1" applyFill="1" applyBorder="1" applyAlignment="1"/>
    <xf numFmtId="0" fontId="0" fillId="35" borderId="1" xfId="0" applyFont="1" applyFill="1" applyBorder="1" applyAlignment="1">
      <alignment horizontal="right"/>
    </xf>
    <xf numFmtId="0" fontId="0" fillId="35" borderId="1" xfId="0" applyFont="1" applyFill="1" applyBorder="1"/>
    <xf numFmtId="0" fontId="0" fillId="35" borderId="1" xfId="0" applyNumberFormat="1" applyFont="1" applyFill="1" applyBorder="1" applyAlignment="1">
      <alignment wrapText="1"/>
    </xf>
    <xf numFmtId="44" fontId="0" fillId="0" borderId="0" xfId="48" applyFont="1"/>
    <xf numFmtId="14" fontId="0" fillId="0" borderId="0" xfId="0" applyNumberFormat="1"/>
    <xf numFmtId="0" fontId="17" fillId="35" borderId="0" xfId="0" applyFont="1" applyFill="1"/>
    <xf numFmtId="0" fontId="0" fillId="35" borderId="0" xfId="0" applyFill="1"/>
    <xf numFmtId="14" fontId="0" fillId="35" borderId="0" xfId="0" applyNumberFormat="1" applyFill="1"/>
    <xf numFmtId="0" fontId="0" fillId="0" borderId="0" xfId="0" applyFont="1"/>
    <xf numFmtId="0" fontId="0" fillId="50" borderId="0" xfId="0" applyFill="1"/>
    <xf numFmtId="44" fontId="0" fillId="51" borderId="0" xfId="48" applyFont="1" applyFill="1"/>
    <xf numFmtId="8" fontId="0" fillId="51" borderId="0" xfId="48" applyNumberFormat="1" applyFont="1" applyFill="1"/>
    <xf numFmtId="0" fontId="0" fillId="51" borderId="0" xfId="0" applyFill="1"/>
    <xf numFmtId="44" fontId="0" fillId="36" borderId="0" xfId="48" applyFont="1" applyFill="1"/>
    <xf numFmtId="8" fontId="0" fillId="36" borderId="0" xfId="48" applyNumberFormat="1" applyFont="1" applyFill="1"/>
    <xf numFmtId="0" fontId="0" fillId="36" borderId="0" xfId="0" applyFill="1"/>
    <xf numFmtId="44" fontId="0" fillId="36" borderId="0" xfId="48" applyNumberFormat="1" applyFont="1" applyFill="1"/>
    <xf numFmtId="170" fontId="0" fillId="0" borderId="0" xfId="0" applyNumberFormat="1"/>
    <xf numFmtId="170" fontId="14" fillId="39" borderId="14" xfId="0" applyNumberFormat="1" applyFont="1" applyFill="1" applyBorder="1" applyAlignment="1">
      <alignment horizontal="center" wrapText="1"/>
    </xf>
    <xf numFmtId="0" fontId="0" fillId="34" borderId="0" xfId="0" applyFill="1" applyAlignment="1">
      <alignment horizontal="right"/>
    </xf>
    <xf numFmtId="164" fontId="14" fillId="33" borderId="16" xfId="1" applyNumberFormat="1" applyFont="1" applyFill="1" applyBorder="1"/>
    <xf numFmtId="164" fontId="15" fillId="0" borderId="1" xfId="1" applyNumberFormat="1" applyFont="1" applyFill="1" applyBorder="1"/>
    <xf numFmtId="0" fontId="42" fillId="52" borderId="40" xfId="0" applyFont="1" applyFill="1" applyBorder="1" applyAlignment="1">
      <alignment horizontal="center"/>
    </xf>
    <xf numFmtId="171" fontId="0" fillId="0" borderId="0" xfId="0" applyNumberFormat="1" applyFill="1" applyBorder="1" applyAlignment="1">
      <alignment horizontal="center"/>
    </xf>
    <xf numFmtId="3" fontId="0" fillId="0" borderId="0" xfId="0" applyNumberFormat="1"/>
    <xf numFmtId="171" fontId="0" fillId="0" borderId="0" xfId="0" applyNumberFormat="1" applyAlignment="1">
      <alignment horizontal="center"/>
    </xf>
    <xf numFmtId="16" fontId="0" fillId="0" borderId="0" xfId="0" applyNumberFormat="1"/>
    <xf numFmtId="172" fontId="0" fillId="0" borderId="0" xfId="0" applyNumberFormat="1"/>
    <xf numFmtId="0" fontId="17" fillId="0" borderId="46" xfId="0" applyFont="1" applyBorder="1"/>
    <xf numFmtId="3" fontId="17" fillId="0" borderId="46" xfId="0" applyNumberFormat="1" applyFont="1" applyBorder="1"/>
    <xf numFmtId="3" fontId="17" fillId="0" borderId="0" xfId="0" applyNumberFormat="1" applyFont="1" applyBorder="1"/>
    <xf numFmtId="4" fontId="0" fillId="0" borderId="0" xfId="0" applyNumberFormat="1"/>
    <xf numFmtId="0" fontId="17" fillId="37" borderId="1" xfId="0" applyFont="1" applyFill="1" applyBorder="1" applyAlignment="1">
      <alignment horizontal="center"/>
    </xf>
    <xf numFmtId="43" fontId="17" fillId="37" borderId="1" xfId="46" applyFont="1" applyFill="1" applyBorder="1" applyAlignment="1">
      <alignment horizontal="center"/>
    </xf>
    <xf numFmtId="14" fontId="17" fillId="37" borderId="1" xfId="0" applyNumberFormat="1" applyFont="1" applyFill="1" applyBorder="1" applyAlignment="1">
      <alignment horizontal="center"/>
    </xf>
    <xf numFmtId="164" fontId="15" fillId="45" borderId="1" xfId="46" applyNumberFormat="1" applyFont="1" applyFill="1" applyBorder="1" applyAlignment="1">
      <alignment horizontal="center"/>
    </xf>
    <xf numFmtId="0" fontId="0" fillId="45" borderId="0" xfId="0" applyFill="1" applyBorder="1"/>
    <xf numFmtId="43" fontId="0" fillId="0" borderId="1" xfId="46" applyFont="1" applyBorder="1" applyAlignment="1">
      <alignment horizontal="left"/>
    </xf>
    <xf numFmtId="43" fontId="0" fillId="0" borderId="1" xfId="46" quotePrefix="1" applyFont="1" applyBorder="1" applyAlignment="1">
      <alignment horizontal="left"/>
    </xf>
    <xf numFmtId="43" fontId="17" fillId="0" borderId="1" xfId="46" quotePrefix="1" applyFont="1" applyBorder="1" applyAlignment="1">
      <alignment horizontal="left"/>
    </xf>
    <xf numFmtId="43" fontId="17" fillId="44" borderId="1" xfId="46" applyFont="1" applyFill="1" applyBorder="1" applyAlignment="1">
      <alignment horizontal="left"/>
    </xf>
    <xf numFmtId="0" fontId="0" fillId="0" borderId="1" xfId="0" applyFill="1" applyBorder="1"/>
    <xf numFmtId="43" fontId="0" fillId="0" borderId="1" xfId="46" quotePrefix="1" applyFont="1" applyFill="1" applyBorder="1" applyAlignment="1">
      <alignment horizontal="center"/>
    </xf>
    <xf numFmtId="164" fontId="15" fillId="0" borderId="1" xfId="46" applyNumberFormat="1" applyFont="1" applyFill="1" applyBorder="1" applyAlignment="1">
      <alignment horizontal="center"/>
    </xf>
    <xf numFmtId="164" fontId="22" fillId="0" borderId="1" xfId="46" applyNumberFormat="1" applyFont="1" applyFill="1" applyBorder="1" applyAlignment="1">
      <alignment horizontal="center"/>
    </xf>
    <xf numFmtId="164" fontId="0" fillId="0" borderId="1" xfId="46" applyNumberFormat="1" applyFont="1" applyFill="1" applyBorder="1" applyAlignment="1">
      <alignment horizontal="center"/>
    </xf>
    <xf numFmtId="0" fontId="0" fillId="0" borderId="20" xfId="0" applyFill="1" applyBorder="1"/>
    <xf numFmtId="0" fontId="0" fillId="0" borderId="21" xfId="0" applyFill="1" applyBorder="1"/>
    <xf numFmtId="0" fontId="0" fillId="0" borderId="0" xfId="0" applyFill="1"/>
    <xf numFmtId="43" fontId="17" fillId="35" borderId="44" xfId="46" applyFont="1" applyFill="1" applyBorder="1" applyAlignment="1">
      <alignment horizontal="center"/>
    </xf>
    <xf numFmtId="43" fontId="17" fillId="35" borderId="47" xfId="46" applyFont="1" applyFill="1" applyBorder="1" applyAlignment="1">
      <alignment horizontal="left"/>
    </xf>
    <xf numFmtId="43" fontId="17" fillId="35" borderId="47" xfId="46" applyFont="1" applyFill="1" applyBorder="1" applyAlignment="1">
      <alignment horizontal="center"/>
    </xf>
    <xf numFmtId="43" fontId="17" fillId="35" borderId="45" xfId="46" applyFont="1" applyFill="1" applyBorder="1" applyAlignment="1">
      <alignment horizontal="center"/>
    </xf>
    <xf numFmtId="0" fontId="17" fillId="35" borderId="0" xfId="0" applyFont="1" applyFill="1" applyBorder="1" applyAlignment="1">
      <alignment horizontal="right"/>
    </xf>
    <xf numFmtId="43" fontId="17" fillId="35" borderId="0" xfId="46" applyNumberFormat="1" applyFont="1" applyFill="1" applyBorder="1"/>
    <xf numFmtId="164" fontId="17" fillId="35" borderId="0" xfId="46" applyNumberFormat="1" applyFont="1" applyFill="1" applyBorder="1"/>
    <xf numFmtId="9" fontId="14" fillId="33" borderId="16" xfId="49" applyNumberFormat="1" applyFont="1" applyFill="1" applyBorder="1" applyAlignment="1">
      <alignment horizontal="center"/>
    </xf>
    <xf numFmtId="9" fontId="14" fillId="33" borderId="16" xfId="49" applyFont="1" applyFill="1" applyBorder="1" applyAlignment="1">
      <alignment horizontal="center"/>
    </xf>
    <xf numFmtId="0" fontId="22" fillId="0" borderId="1" xfId="0" applyFont="1" applyFill="1" applyBorder="1" applyAlignment="1">
      <alignment horizontal="right"/>
    </xf>
    <xf numFmtId="0" fontId="17" fillId="0" borderId="0" xfId="0" applyFont="1" applyBorder="1" applyAlignment="1">
      <alignment horizontal="center" wrapText="1"/>
    </xf>
    <xf numFmtId="43" fontId="17" fillId="37" borderId="44" xfId="46" applyFont="1" applyFill="1" applyBorder="1" applyAlignment="1">
      <alignment horizontal="center"/>
    </xf>
    <xf numFmtId="43" fontId="17" fillId="37" borderId="47" xfId="46" applyFont="1" applyFill="1" applyBorder="1" applyAlignment="1">
      <alignment horizontal="center"/>
    </xf>
    <xf numFmtId="43" fontId="17" fillId="37" borderId="45" xfId="46" applyFont="1" applyFill="1" applyBorder="1" applyAlignment="1">
      <alignment horizontal="center"/>
    </xf>
    <xf numFmtId="0" fontId="42" fillId="52" borderId="0" xfId="0" applyFont="1" applyFill="1" applyBorder="1" applyAlignment="1">
      <alignment horizontal="center"/>
    </xf>
    <xf numFmtId="0" fontId="33" fillId="46" borderId="17" xfId="0" applyFont="1" applyFill="1" applyBorder="1" applyAlignment="1">
      <alignment horizontal="center" vertical="center" wrapText="1"/>
    </xf>
    <xf numFmtId="0" fontId="33" fillId="46" borderId="18" xfId="0" applyFont="1" applyFill="1" applyBorder="1" applyAlignment="1">
      <alignment horizontal="center" vertical="center" wrapText="1"/>
    </xf>
    <xf numFmtId="0" fontId="33" fillId="46" borderId="20" xfId="0" applyFont="1" applyFill="1" applyBorder="1" applyAlignment="1">
      <alignment horizontal="center" vertical="center" wrapText="1"/>
    </xf>
    <xf numFmtId="0" fontId="33" fillId="46" borderId="0" xfId="0" applyFont="1" applyFill="1" applyBorder="1" applyAlignment="1">
      <alignment horizontal="center" vertical="center" wrapText="1"/>
    </xf>
    <xf numFmtId="9" fontId="33" fillId="46" borderId="17" xfId="0" applyNumberFormat="1" applyFont="1" applyFill="1" applyBorder="1" applyAlignment="1">
      <alignment horizontal="center" vertical="center" wrapText="1"/>
    </xf>
    <xf numFmtId="9" fontId="33" fillId="46" borderId="18" xfId="0" applyNumberFormat="1" applyFont="1" applyFill="1" applyBorder="1" applyAlignment="1">
      <alignment horizontal="center" vertical="center" wrapText="1"/>
    </xf>
    <xf numFmtId="9" fontId="33" fillId="46" borderId="20" xfId="0" applyNumberFormat="1" applyFont="1" applyFill="1" applyBorder="1" applyAlignment="1">
      <alignment horizontal="center" vertical="center" wrapText="1"/>
    </xf>
    <xf numFmtId="9" fontId="33" fillId="46" borderId="0" xfId="0" applyNumberFormat="1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left"/>
    </xf>
    <xf numFmtId="0" fontId="29" fillId="0" borderId="0" xfId="0" applyFont="1" applyFill="1" applyAlignment="1">
      <alignment horizontal="center" wrapText="1"/>
    </xf>
    <xf numFmtId="9" fontId="29" fillId="0" borderId="0" xfId="3" applyFont="1" applyFill="1" applyAlignment="1">
      <alignment horizontal="center" wrapText="1"/>
    </xf>
    <xf numFmtId="9" fontId="29" fillId="46" borderId="17" xfId="3" applyFont="1" applyFill="1" applyBorder="1" applyAlignment="1">
      <alignment horizontal="center" vertical="center"/>
    </xf>
    <xf numFmtId="9" fontId="29" fillId="46" borderId="18" xfId="3" applyFont="1" applyFill="1" applyBorder="1" applyAlignment="1">
      <alignment horizontal="center" vertical="center"/>
    </xf>
    <xf numFmtId="9" fontId="29" fillId="46" borderId="20" xfId="3" applyFont="1" applyFill="1" applyBorder="1" applyAlignment="1">
      <alignment horizontal="center" vertical="center"/>
    </xf>
    <xf numFmtId="9" fontId="29" fillId="46" borderId="0" xfId="3" applyFont="1" applyFill="1" applyBorder="1" applyAlignment="1">
      <alignment horizontal="center" vertical="center"/>
    </xf>
    <xf numFmtId="166" fontId="29" fillId="46" borderId="17" xfId="0" applyNumberFormat="1" applyFont="1" applyFill="1" applyBorder="1" applyAlignment="1">
      <alignment horizontal="center" vertical="center" wrapText="1"/>
    </xf>
    <xf numFmtId="166" fontId="29" fillId="46" borderId="18" xfId="0" applyNumberFormat="1" applyFont="1" applyFill="1" applyBorder="1" applyAlignment="1">
      <alignment horizontal="center" vertical="center" wrapText="1"/>
    </xf>
    <xf numFmtId="9" fontId="29" fillId="46" borderId="18" xfId="3" applyFont="1" applyFill="1" applyBorder="1" applyAlignment="1">
      <alignment horizontal="center" vertical="center" wrapText="1"/>
    </xf>
    <xf numFmtId="166" fontId="29" fillId="46" borderId="19" xfId="0" applyNumberFormat="1" applyFont="1" applyFill="1" applyBorder="1" applyAlignment="1">
      <alignment horizontal="center" vertical="center" wrapText="1"/>
    </xf>
    <xf numFmtId="166" fontId="29" fillId="46" borderId="20" xfId="0" applyNumberFormat="1" applyFont="1" applyFill="1" applyBorder="1" applyAlignment="1">
      <alignment horizontal="center" vertical="center" wrapText="1"/>
    </xf>
    <xf numFmtId="166" fontId="29" fillId="46" borderId="0" xfId="0" applyNumberFormat="1" applyFont="1" applyFill="1" applyBorder="1" applyAlignment="1">
      <alignment horizontal="center" vertical="center" wrapText="1"/>
    </xf>
    <xf numFmtId="9" fontId="29" fillId="46" borderId="0" xfId="3" applyFont="1" applyFill="1" applyBorder="1" applyAlignment="1">
      <alignment horizontal="center" vertical="center" wrapText="1"/>
    </xf>
    <xf numFmtId="166" fontId="29" fillId="46" borderId="21" xfId="0" applyNumberFormat="1" applyFont="1" applyFill="1" applyBorder="1" applyAlignment="1">
      <alignment horizontal="center" vertical="center" wrapText="1"/>
    </xf>
    <xf numFmtId="9" fontId="31" fillId="35" borderId="19" xfId="3" applyFont="1" applyFill="1" applyBorder="1" applyAlignment="1">
      <alignment horizontal="center" vertical="center" wrapText="1"/>
    </xf>
    <xf numFmtId="9" fontId="31" fillId="35" borderId="21" xfId="3" applyFont="1" applyFill="1" applyBorder="1" applyAlignment="1">
      <alignment horizontal="center" vertical="center" wrapText="1"/>
    </xf>
    <xf numFmtId="0" fontId="29" fillId="46" borderId="17" xfId="0" applyFont="1" applyFill="1" applyBorder="1" applyAlignment="1">
      <alignment horizontal="center" vertical="center" wrapText="1"/>
    </xf>
    <xf numFmtId="0" fontId="29" fillId="46" borderId="18" xfId="0" applyFont="1" applyFill="1" applyBorder="1" applyAlignment="1">
      <alignment horizontal="center" vertical="center" wrapText="1"/>
    </xf>
    <xf numFmtId="0" fontId="29" fillId="46" borderId="20" xfId="0" applyFont="1" applyFill="1" applyBorder="1" applyAlignment="1">
      <alignment horizontal="center" vertical="center" wrapText="1"/>
    </xf>
    <xf numFmtId="0" fontId="29" fillId="46" borderId="0" xfId="0" applyFont="1" applyFill="1" applyBorder="1" applyAlignment="1">
      <alignment horizontal="center" vertical="center" wrapText="1"/>
    </xf>
    <xf numFmtId="0" fontId="32" fillId="46" borderId="20" xfId="0" applyFont="1" applyFill="1" applyBorder="1" applyAlignment="1">
      <alignment horizontal="center" vertical="center" wrapText="1"/>
    </xf>
  </cellXfs>
  <cellStyles count="5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elda de comprobación" xfId="16" builtinId="23" customBuiltin="1"/>
    <cellStyle name="Celda vinculada" xfId="15" builtinId="24" customBuiltin="1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Incorrecto" xfId="10" builtinId="27" customBuiltin="1"/>
    <cellStyle name="Millares" xfId="1" builtinId="3"/>
    <cellStyle name="Millares 2" xfId="2"/>
    <cellStyle name="Millares 3" xfId="46"/>
    <cellStyle name="Moneda" xfId="48" builtinId="4"/>
    <cellStyle name="Moneda 2" xfId="47"/>
    <cellStyle name="Neutral" xfId="11" builtinId="28" customBuiltin="1"/>
    <cellStyle name="Normal" xfId="0" builtinId="0"/>
    <cellStyle name="Notas" xfId="18" builtinId="10" customBuiltin="1"/>
    <cellStyle name="Porcentaje" xfId="49" builtinId="5"/>
    <cellStyle name="Porcentaje 2" xfId="3"/>
    <cellStyle name="Porcentaje 3" xfId="45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otal" xfId="20" builtinId="25" customBuiltin="1"/>
  </cellStyles>
  <dxfs count="2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4" formatCode="#,##0.00"/>
      <fill>
        <patternFill patternType="solid">
          <fgColor indexed="64"/>
          <bgColor theme="4"/>
        </patternFill>
      </fill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3" formatCode="0%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3" formatCode="0%"/>
      <fill>
        <patternFill patternType="solid">
          <fgColor indexed="64"/>
          <bgColor theme="4"/>
        </patternFill>
      </fill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3" formatCode="0%"/>
      <fill>
        <patternFill patternType="solid">
          <fgColor indexed="64"/>
          <bgColor theme="4"/>
        </patternFill>
      </fill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3" formatCode="0%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3" formatCode="0%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3" formatCode="0%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</dxf>
    <dxf>
      <font>
        <outline val="0"/>
        <shadow val="0"/>
        <vertAlign val="baseline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  <alignment horizontal="left" vertical="top" textRotation="0" wrapText="1" indent="0" justifyLastLine="0" shrinkToFit="0" readingOrder="0"/>
    </dxf>
    <dxf>
      <font>
        <outline val="0"/>
        <shadow val="0"/>
        <vertAlign val="baseline"/>
        <name val="Tahoma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6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numFmt numFmtId="166" formatCode="#,##0.00_ ;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 style="medium">
          <color indexed="64"/>
        </right>
        <top style="thin">
          <color theme="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auto="1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outline val="0"/>
        <shadow val="0"/>
        <vertAlign val="baseline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outline val="0"/>
        <shadow val="0"/>
        <vertAlign val="baseline"/>
        <name val="Tahoma"/>
        <scheme val="none"/>
      </font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 style="medium">
          <color indexed="64"/>
        </right>
        <top style="thin">
          <color theme="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indexed="65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medium">
          <color indexed="64"/>
        </left>
        <right/>
        <top style="thin">
          <color theme="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 style="medium">
          <color indexed="64"/>
        </bottom>
      </border>
    </dxf>
    <dxf>
      <font>
        <outline val="0"/>
        <shadow val="0"/>
        <vertAlign val="baseline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medium">
          <color indexed="64"/>
        </left>
        <right/>
        <top style="thin">
          <color theme="4"/>
        </top>
        <bottom style="medium">
          <color indexed="64"/>
        </bottom>
      </border>
    </dxf>
    <dxf>
      <font>
        <outline val="0"/>
        <shadow val="0"/>
        <vertAlign val="baseline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outline val="0"/>
        <shadow val="0"/>
        <vertAlign val="baseline"/>
        <name val="Tahoma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6" formatCode="#,##0.00_ ;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4" formatCode="0.00%"/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color auto="1"/>
        <name val="Tahoma"/>
        <scheme val="none"/>
      </font>
      <numFmt numFmtId="14" formatCode="0.00%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0" formatCode="General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4" formatCode="0.00%"/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0" formatCode="General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0" formatCode="General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0" formatCode="General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0" formatCode="General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0" formatCode="General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0" formatCode="General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numFmt numFmtId="166" formatCode="#,##0.00_ ;\-#,##0.00\ "/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6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outline val="0"/>
        <shadow val="0"/>
        <vertAlign val="baseline"/>
        <color auto="1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  <alignment horizontal="righ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4"/>
        <color auto="1"/>
        <name val="Tahoma"/>
        <scheme val="none"/>
      </font>
      <fill>
        <patternFill patternType="solid">
          <fgColor indexed="64"/>
          <bgColor theme="4"/>
        </patternFill>
      </fill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Tahoma"/>
        <scheme val="none"/>
      </font>
      <fill>
        <patternFill patternType="none">
          <bgColor auto="1"/>
        </patternFill>
      </fill>
      <alignment textRotation="0" wrapText="1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ia/Documents/ALUMNOS/CICLO%201819/Becas/Trabajo%20Reporte_General_Alumnos_becas_Colegio%2018-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ireccion\Downloads\Reporte_General_Alumnos_becas_Colegio%202018-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ia/Documents/ALUMNOS/CICLO%201819/Becas/Reporte_General_Alumnos_becas_Colegio%2018-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ia/Documents/ALUMNOS/CICLO%201617/Reporte_General_Alumnos_becas_manual%203105201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ia/Documents/ALUMNOS/CICLO%201718/Copia%20de%20Becas%2017-18%20informada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HMD/CICLO%202018-2019/ADM&#211;N%20Y%20TESORER&#205;A/COMITE%20FINANZAS/REPORTES/FEBRERO/RECAUDACION%20DE%20FONDOS%20PARA%20VIAJE%20A%20ISRAEL%202017-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o Comunidad"/>
      <sheetName val="Hoja3"/>
      <sheetName val="Graficos2"/>
      <sheetName val="Emitidos"/>
      <sheetName val="Graficoa"/>
      <sheetName val="Familia"/>
      <sheetName val="Reportes por grado"/>
      <sheetName val="Becas nuevas"/>
      <sheetName val="Hoja4"/>
      <sheetName val="BECAS COLEGIATURAS"/>
      <sheetName val="BECAS TERAPIAS"/>
      <sheetName val="BECAS REINSCRIPCIONES"/>
      <sheetName val="CUOTAS"/>
      <sheetName val="Colegium"/>
      <sheetName val="Pagos Cominidad 2017-2018"/>
      <sheetName val="Trabajo Reporte_General_Alumn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">
          <cell r="M3">
            <v>185608.73</v>
          </cell>
        </row>
      </sheetData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 de familias"/>
      <sheetName val="BECAS 2018-2019"/>
      <sheetName val="Pagos Comunidad"/>
      <sheetName val=" Solo Comunidad 75%"/>
      <sheetName val="Historia"/>
      <sheetName val="Cuotas"/>
      <sheetName val="Reporte_General_Alumnos_becas_C"/>
    </sheetNames>
    <sheetDataSet>
      <sheetData sheetId="0">
        <row r="3">
          <cell r="B3">
            <v>69</v>
          </cell>
        </row>
      </sheetData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3"/>
      <sheetName val="Graficos2"/>
      <sheetName val="Emitidos"/>
      <sheetName val="Graficoa"/>
      <sheetName val="Familia"/>
      <sheetName val="Reportes por grado"/>
      <sheetName val="Hoja2"/>
      <sheetName val="Hoja4"/>
      <sheetName val="BECAS COLEGIATURAS"/>
      <sheetName val="BECAS TERAPIAS"/>
      <sheetName val="BECAS REINSCRIPCIONES"/>
      <sheetName val="CUOTAS"/>
      <sheetName val="Colegium"/>
      <sheetName val="Pagos Cominidad 2017-2018"/>
      <sheetName val="Reporte_General_Alumnos_becas_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I1" t="str">
            <v>NOMBRE DEL ALUMNO</v>
          </cell>
        </row>
      </sheetData>
      <sheetData sheetId="10" refreshError="1"/>
      <sheetData sheetId="11">
        <row r="8">
          <cell r="B8" t="str">
            <v>Ben Zion Cassab Aharon</v>
          </cell>
        </row>
      </sheetData>
      <sheetData sheetId="12" refreshError="1"/>
      <sheetData sheetId="13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CAS COLEGIATURA"/>
      <sheetName val="Hoja3"/>
      <sheetName val="Hoja4"/>
      <sheetName val="Hoja2"/>
      <sheetName val="BECAS TERAPIAS"/>
      <sheetName val="BECAS REINSCRIPCIONES"/>
      <sheetName val="Hoja1"/>
      <sheetName val="Hoja5"/>
    </sheetNames>
    <sheetDataSet>
      <sheetData sheetId="0"/>
      <sheetData sheetId="1"/>
      <sheetData sheetId="2"/>
      <sheetData sheetId="3"/>
      <sheetData sheetId="4"/>
      <sheetData sheetId="5">
        <row r="9">
          <cell r="B9" t="str">
            <v>Abadi Chiriti Salomon</v>
          </cell>
        </row>
      </sheetData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  <sheetName val="Hoja4"/>
    </sheetNames>
    <sheetDataSet>
      <sheetData sheetId="0"/>
      <sheetData sheetId="1">
        <row r="1">
          <cell r="B1" t="str">
            <v>Nombre del Alumno</v>
          </cell>
        </row>
      </sheetData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DO DE CTA"/>
      <sheetName val="RESUMEN DE UTILIDAD POR EVENTO "/>
      <sheetName val="RECIBOS"/>
      <sheetName val="Kermés final"/>
      <sheetName val="KERMESSE v_f"/>
      <sheetName val="Comité ProViaje Final"/>
      <sheetName val="Comité ProViaje NOV17"/>
      <sheetName val="Hafrashat Jalá "/>
      <sheetName val="Jalá Hagulá "/>
      <sheetName val="PISTA"/>
      <sheetName val="Venta de Jalot "/>
      <sheetName val="Venta de Jalot v_f "/>
      <sheetName val="DONATIVOS"/>
      <sheetName val="DONATIVOS v_f"/>
      <sheetName val="TORNEO DE FUTBOL"/>
      <sheetName val="Carrera v_f"/>
      <sheetName val="OTROS v_f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>
        <row r="84">
          <cell r="E84">
            <v>219820</v>
          </cell>
        </row>
      </sheetData>
      <sheetData sheetId="5"/>
      <sheetData sheetId="6"/>
      <sheetData sheetId="7">
        <row r="89">
          <cell r="E89">
            <v>32430.000000000004</v>
          </cell>
        </row>
      </sheetData>
      <sheetData sheetId="8">
        <row r="76">
          <cell r="F76">
            <v>13400</v>
          </cell>
        </row>
      </sheetData>
      <sheetData sheetId="9">
        <row r="68">
          <cell r="G68">
            <v>67000.3</v>
          </cell>
        </row>
      </sheetData>
      <sheetData sheetId="10">
        <row r="70">
          <cell r="F70">
            <v>4770</v>
          </cell>
        </row>
      </sheetData>
      <sheetData sheetId="11">
        <row r="13">
          <cell r="F13">
            <v>500</v>
          </cell>
        </row>
        <row r="14">
          <cell r="F14">
            <v>1485</v>
          </cell>
        </row>
        <row r="15">
          <cell r="F15">
            <v>2750</v>
          </cell>
        </row>
        <row r="16">
          <cell r="F16">
            <v>1515</v>
          </cell>
        </row>
      </sheetData>
      <sheetData sheetId="12">
        <row r="57">
          <cell r="F57">
            <v>4150</v>
          </cell>
        </row>
      </sheetData>
      <sheetData sheetId="13">
        <row r="12">
          <cell r="F12">
            <v>200</v>
          </cell>
        </row>
        <row r="13">
          <cell r="F13">
            <v>11000</v>
          </cell>
        </row>
        <row r="14">
          <cell r="F14">
            <v>4430</v>
          </cell>
        </row>
        <row r="15">
          <cell r="F15">
            <v>1000</v>
          </cell>
        </row>
      </sheetData>
      <sheetData sheetId="14"/>
      <sheetData sheetId="15">
        <row r="67">
          <cell r="F67">
            <v>40550</v>
          </cell>
        </row>
      </sheetData>
      <sheetData sheetId="16">
        <row r="87">
          <cell r="E87">
            <v>29970</v>
          </cell>
        </row>
      </sheetData>
      <sheetData sheetId="17"/>
      <sheetData sheetId="18"/>
      <sheetData sheetId="19"/>
    </sheetDataSet>
  </externalBook>
</externalLink>
</file>

<file path=xl/tables/table1.xml><?xml version="1.0" encoding="utf-8"?>
<table xmlns="http://schemas.openxmlformats.org/spreadsheetml/2006/main" id="1" name="Tabla3" displayName="Tabla3" ref="B9:DB149" totalsRowCount="1" headerRowDxfId="213" dataDxfId="212" totalsRowDxfId="210" tableBorderDxfId="211">
  <autoFilter ref="B9:DB148">
    <filterColumn colId="74">
      <colorFilter dxfId="209"/>
    </filterColumn>
  </autoFilter>
  <sortState ref="B10:DC127">
    <sortCondition ref="J9:J148"/>
  </sortState>
  <tableColumns count="105">
    <tableColumn id="2" name="Nombre del Padre" dataDxfId="208" totalsRowDxfId="207"/>
    <tableColumn id="118" name="mail_Padre" dataDxfId="206" totalsRowDxfId="205">
      <calculatedColumnFormula>VLOOKUP(Tabla3[[#This Row],[Nombre del Padre]],[1]!Tabla1[[PADRE]:[PADRE_CELULAR]],2,0)</calculatedColumnFormula>
    </tableColumn>
    <tableColumn id="117" name="Celular_Padre" dataDxfId="204" totalsRowDxfId="203">
      <calculatedColumnFormula>VLOOKUP(Tabla3[[#This Row],[Nombre del Padre]],[1]!Tabla1[[PADRE]:[PADRE_CELULAR]],3,0)</calculatedColumnFormula>
    </tableColumn>
    <tableColumn id="13" name="Nombre de la Madre" dataDxfId="202" totalsRowDxfId="201"/>
    <tableColumn id="119" name="mail_Madre" dataDxfId="200" totalsRowDxfId="199">
      <calculatedColumnFormula>VLOOKUP(Tabla3[[#This Row],[Nombre de la Madre]],[1]!Tabla1[[MADRE]:[MADRE_TELEFONO]],2,0)</calculatedColumnFormula>
    </tableColumn>
    <tableColumn id="15" name="Celular_Madre" dataDxfId="198" totalsRowDxfId="197"/>
    <tableColumn id="26" name="No. Familias becados" totalsRowFunction="custom" dataDxfId="196" totalsRowDxfId="195">
      <totalsRowFormula>H123</totalsRowFormula>
    </tableColumn>
    <tableColumn id="31" name="Num. Familia" dataDxfId="194" totalsRowDxfId="193"/>
    <tableColumn id="1" name="Familia" totalsRowFunction="custom" dataDxfId="192" totalsRowDxfId="191">
      <totalsRowFormula>'[2]Conte de familias'!B3</totalsRowFormula>
    </tableColumn>
    <tableColumn id="4" name="Comunidad" dataDxfId="190" totalsRowDxfId="189"/>
    <tableColumn id="3" name="Nombre del Alumno" totalsRowFunction="count" dataDxfId="188" totalsRowDxfId="187"/>
    <tableColumn id="16" name="Matriz2016-2017" totalsRowFunction="count" dataDxfId="186" totalsRowDxfId="185"/>
    <tableColumn id="5" name="Grado" dataDxfId="184" totalsRowDxfId="183"/>
    <tableColumn id="21" name="Monto Colegiatura" totalsRowFunction="sum" dataDxfId="182" totalsRowDxfId="181">
      <calculatedColumnFormula>VLOOKUP(Tabla3[[#This Row],[Grado]],[2]Cuotas!$A:$E,2,0)</calculatedColumnFormula>
    </tableColumn>
    <tableColumn id="43" name="Monto Reinscripción" totalsRowFunction="sum" dataDxfId="180" totalsRowDxfId="179">
      <calculatedColumnFormula>VLOOKUP(Tabla3[[#This Row],[Grado]],[2]Cuotas!$A:$E,4,0)</calculatedColumnFormula>
    </tableColumn>
    <tableColumn id="42" name="Monto Canasta" totalsRowFunction="sum" dataDxfId="178" totalsRowDxfId="177">
      <calculatedColumnFormula>VLOOKUP(Tabla3[[#This Row],[Grado]],[2]Cuotas!$A:$E,3,0)</calculatedColumnFormula>
    </tableColumn>
    <tableColumn id="35" name="% Beca Colegio 16-17" totalsRowFunction="count" dataDxfId="176" totalsRowDxfId="175"/>
    <tableColumn id="23" name="Cantidad Beca Colegio 16-17" totalsRowFunction="sum" dataDxfId="174" totalsRowDxfId="173">
      <calculatedColumnFormula>Tabla3[[#This Row],[Monto Colegiatura]]*Tabla3[[#This Row],[% Beca Colegio 16-17]]</calculatedColumnFormula>
    </tableColumn>
    <tableColumn id="45" name="% Beca Prestación 16-17" totalsRowFunction="count" dataDxfId="172" totalsRowDxfId="171"/>
    <tableColumn id="44" name="Cantidad Beca Prestación 16-17" totalsRowFunction="sum" dataDxfId="170" totalsRowDxfId="169">
      <calculatedColumnFormula>Tabla3[[#This Row],[Monto Colegiatura]]*Tabla3[[#This Row],[% Beca Prestación 16-17]]</calculatedColumnFormula>
    </tableColumn>
    <tableColumn id="25" name="% Beca Comunidad 16-17" totalsRowFunction="count" dataDxfId="168" totalsRowDxfId="167"/>
    <tableColumn id="24" name="Cantidad Beca Comunidad 16-17" totalsRowFunction="sum" dataDxfId="166" totalsRowDxfId="165">
      <calculatedColumnFormula>Tabla3[[#This Row],[Monto Colegiatura]]*Tabla3[[#This Row],[% Beca Comunidad 16-17]]</calculatedColumnFormula>
    </tableColumn>
    <tableColumn id="22" name="25% Beca Comunidad 16-18" totalsRowFunction="sum" dataDxfId="164" totalsRowDxfId="163">
      <calculatedColumnFormula>Tabla3[[#This Row],[Cantidad Beca Comunidad 16-17]]*25%</calculatedColumnFormula>
    </tableColumn>
    <tableColumn id="17" name="% Beca UNAM 16-17" totalsRowFunction="count" dataDxfId="162" totalsRowDxfId="161"/>
    <tableColumn id="19" name="Cantidad Beca UNAM 16-18" totalsRowFunction="sum" dataDxfId="160" totalsRowDxfId="159">
      <calculatedColumnFormula>Tabla3[[#This Row],[Monto Colegiatura]]*Tabla3[[#This Row],[% Beca UNAM 16-17]]</calculatedColumnFormula>
    </tableColumn>
    <tableColumn id="41" name="% Beca Reinscripción 16-17" totalsRowFunction="count" dataDxfId="158" totalsRowDxfId="157">
      <calculatedColumnFormula>VLOOKUP(Tabla3[[#This Row],[Nombre del Alumno]],'[4]BECAS REINSCRIPCIONES'!$B$9:$D$31,3,0)</calculatedColumnFormula>
    </tableColumn>
    <tableColumn id="40" name="Cantidad Reinscripción 16-17" totalsRowFunction="sum" dataDxfId="156" totalsRowDxfId="155">
      <calculatedColumnFormula>Tabla3[[#This Row],[Monto Reinscripción]]*Tabla3[[#This Row],[% Beca Reinscripción 16-17]]</calculatedColumnFormula>
    </tableColumn>
    <tableColumn id="34" name="% Beca Canasta 16-17" totalsRowFunction="count" dataDxfId="154" totalsRowDxfId="153">
      <calculatedColumnFormula>VLOOKUP(Tabla3[[#This Row],[Nombre del Alumno]],[4]Hoja3!$H$3:$J$16,3,0)</calculatedColumnFormula>
    </tableColumn>
    <tableColumn id="27" name="Cantidad Beca Canasta 16-17" totalsRowFunction="sum" dataDxfId="152" totalsRowDxfId="151">
      <calculatedColumnFormula>Tabla3[[#This Row],[Monto Canasta]]*Tabla3[[#This Row],[% Beca Canasta 16-17]]</calculatedColumnFormula>
    </tableColumn>
    <tableColumn id="46" name="Monto Becado 16-17" totalsRowFunction="sum" dataDxfId="150" totalsRowDxfId="149">
      <calculatedColumnFormula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calculatedColumnFormula>
    </tableColumn>
    <tableColumn id="47" name="Monto Pagado X Alumno 16-17" totalsRowFunction="sum" dataDxfId="148" totalsRowDxfId="147">
      <calculatedColumnFormula>Tabla3[[#This Row],[Monto Colegiatura]]+Tabla3[[#This Row],[Monto Reinscripción]]+Tabla3[[#This Row],[Monto Canasta]]-Tabla3[[#This Row],[Monto Becado 16-17]]</calculatedColumnFormula>
    </tableColumn>
    <tableColumn id="6" name="Antigüedad (Ciclos atrás)" dataDxfId="146" totalsRowDxfId="145"/>
    <tableColumn id="59" name="Matriz 2017-2018" totalsRowFunction="count" totalsRowDxfId="144"/>
    <tableColumn id="33" name="Grado 17-18" dataDxfId="143" totalsRowDxfId="142"/>
    <tableColumn id="37" name="Monto Colegiatura " totalsRowFunction="sum" dataDxfId="141" totalsRowDxfId="140">
      <calculatedColumnFormula>VLOOKUP(Tabla3[[#This Row],[Grado 17-18]],[2]Cuotas!$H:$L,2,0)</calculatedColumnFormula>
    </tableColumn>
    <tableColumn id="49" name="Reinscripción" totalsRowFunction="sum" dataDxfId="139" totalsRowDxfId="138">
      <calculatedColumnFormula>VLOOKUP(Tabla3[[#This Row],[Grado 17-18]],[2]Cuotas!$H:$L,3,0)</calculatedColumnFormula>
    </tableColumn>
    <tableColumn id="48" name="Canasta" totalsRowFunction="sum" dataDxfId="137" totalsRowDxfId="136">
      <calculatedColumnFormula>VLOOKUP(Tabla3[[#This Row],[Grado 17-18]],[2]Cuotas!$H:$L,4,0)</calculatedColumnFormula>
    </tableColumn>
    <tableColumn id="38" name="% Solicitado Beca Colegio" totalsRowFunction="count" dataDxfId="135" totalsRowDxfId="134"/>
    <tableColumn id="36" name="% AutorizadoBeca Colegiatura 17-18" totalsRowFunction="count" dataDxfId="133" totalsRowDxfId="132"/>
    <tableColumn id="28" name="Cantidad Beca Colegiatura 17-18" totalsRowFunction="sum" dataDxfId="131" totalsRowDxfId="130">
      <calculatedColumnFormula>Tabla3[[#This Row],[Monto Colegiatura ]]*Tabla3[[#This Row],[% AutorizadoBeca Colegiatura 17-18]]</calculatedColumnFormula>
    </tableColumn>
    <tableColumn id="58" name="% Beca Prestacion 17-18" totalsRowFunction="count" dataDxfId="129" totalsRowDxfId="128"/>
    <tableColumn id="57" name="Cantidad Beca Prestacion 17-18" totalsRowFunction="sum" dataDxfId="127" totalsRowDxfId="126">
      <calculatedColumnFormula>Tabla3[[#This Row],[Monto Colegiatura ]]*Tabla3[[#This Row],[% Beca Prestacion 17-18]]</calculatedColumnFormula>
    </tableColumn>
    <tableColumn id="64" name="% Beca Canasta 17-18" totalsRowFunction="count" dataDxfId="125" totalsRowDxfId="124"/>
    <tableColumn id="65" name="Cantidad Beca Canasta 17-18" totalsRowFunction="sum" dataDxfId="123" totalsRowDxfId="122">
      <calculatedColumnFormula>Tabla3[[#This Row],[Canasta]]*Tabla3[[#This Row],[% Beca Canasta 17-18]]</calculatedColumnFormula>
    </tableColumn>
    <tableColumn id="66" name="% Beca Reinscripciones 18-19" totalsRowFunction="count" dataDxfId="121" totalsRowDxfId="120"/>
    <tableColumn id="54" name="Cantidad Beca Reinscripciones 18-19" totalsRowFunction="sum" dataDxfId="119" totalsRowDxfId="118"/>
    <tableColumn id="50" name="25 % Cantidad Beca Comunidad Colegiatura 17-18" totalsRowFunction="sum" dataDxfId="117" totalsRowDxfId="116">
      <calculatedColumnFormula>Tabla3[[#This Row],[Cantidad Beca Comunidad Colegiatura 17-18]]*25%</calculatedColumnFormula>
    </tableColumn>
    <tableColumn id="12" name="30% Cantidad Beca Reinscripciones Comunidad 18-19" totalsRowFunction="sum" dataDxfId="115" totalsRowDxfId="114"/>
    <tableColumn id="55" name="% Beca UNAM 17-18" totalsRowFunction="count" dataDxfId="113" totalsRowDxfId="112"/>
    <tableColumn id="39" name="Cantidad Beca UNAM Colegiatura17-18" totalsRowFunction="sum" dataDxfId="111" totalsRowDxfId="110">
      <calculatedColumnFormula>Tabla3[[#This Row],[Monto Colegiatura ]]*Tabla3[[#This Row],[% Beca UNAM 17-18]]</calculatedColumnFormula>
    </tableColumn>
    <tableColumn id="32" name="% Beca Reinscripciones UNAM 17-18" totalsRowFunction="count" dataDxfId="109" totalsRowDxfId="108"/>
    <tableColumn id="56" name="Cantidad Beca Reinscripciones UNAM 17-18" totalsRowFunction="sum" dataDxfId="107" totalsRowDxfId="106">
      <calculatedColumnFormula>3200*Tabla3[[#This Row],[% Beca Reinscripciones UNAM 17-18]]</calculatedColumnFormula>
    </tableColumn>
    <tableColumn id="11" name="Cantidad Becada por el Colegio" totalsRowFunction="sum" dataDxfId="105" totalsRowDxfId="104">
      <calculatedColumnFormula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calculatedColumnFormula>
    </tableColumn>
    <tableColumn id="29" name="% Beca Comunidad 17-18" totalsRowFunction="count" dataDxfId="103" totalsRowDxfId="102"/>
    <tableColumn id="30" name="Cantidad Beca Comunidad Colegiatura 17-18" totalsRowFunction="sum" dataDxfId="101" totalsRowDxfId="100">
      <calculatedColumnFormula>Tabla3[[#This Row],[Monto Colegiatura ]]*Tabla3[[#This Row],[% Beca Comunidad 17-18]]</calculatedColumnFormula>
    </tableColumn>
    <tableColumn id="60" name="75% Cantidad Beca Comunidad Colegiatura 17-18" totalsRowFunction="sum" dataDxfId="99" totalsRowDxfId="98">
      <calculatedColumnFormula>Tabla3[[#This Row],[Cantidad Beca Comunidad Colegiatura 17-18]]*75%</calculatedColumnFormula>
    </tableColumn>
    <tableColumn id="52" name="% Beca Reinscripciones Comunidad 18-19" totalsRowFunction="count" dataDxfId="97" totalsRowDxfId="96">
      <calculatedColumnFormula>VLOOKUP(Tabla3[[#This Row],[Nombre del Alumno]],[5]Hoja2!$B:$O,14,0)</calculatedColumnFormula>
    </tableColumn>
    <tableColumn id="53" name="Cantidad Beca Reinscripciones Comunidad 18-19" totalsRowFunction="sum" dataDxfId="95" totalsRowDxfId="94">
      <calculatedColumnFormula>Tabla3[[#This Row],[Reinscripción]]*Tabla3[[#This Row],[% Beca Reinscripciones Comunidad 18-19]]</calculatedColumnFormula>
    </tableColumn>
    <tableColumn id="68" name="70% Cantidad Beca Reinscripciones 18-19" totalsRowFunction="sum" dataDxfId="93" totalsRowDxfId="92">
      <calculatedColumnFormula>Tabla3[[#This Row],[Cantidad Beca Reinscripciones Comunidad 18-19]]*70%</calculatedColumnFormula>
    </tableColumn>
    <tableColumn id="10" name="Cantidad  a recibir de la Comunidad" totalsRowFunction="sum" dataDxfId="91" totalsRowDxfId="90">
      <calculatedColumnFormula>Tabla3[[#This Row],[75% Cantidad Beca Comunidad Colegiatura 17-18]]+Tabla3[[#This Row],[70% Cantidad Beca Reinscripciones 18-19]]</calculatedColumnFormula>
    </tableColumn>
    <tableColumn id="8" name="Monto Becado 17-18 (no percibe el Colegio)" totalsRowFunction="sum" dataDxfId="89" totalsRowDxfId="88">
      <calculatedColumnFormula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calculatedColumnFormula>
    </tableColumn>
    <tableColumn id="51" name="Monto Pagado X Alumno 17-18" totalsRowFunction="sum" dataDxfId="87" totalsRowDxfId="86">
      <calculatedColumnFormula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calculatedColumnFormula>
    </tableColumn>
    <tableColumn id="9" name="Monto Pagado X Otro" dataDxfId="85" totalsRowDxfId="84"/>
    <tableColumn id="14" name="Observaciones" dataDxfId="83" totalsRowDxfId="82"/>
    <tableColumn id="18" name="ACUERDOS" dataDxfId="81" totalsRowDxfId="80"/>
    <tableColumn id="20" name="Columna1" dataDxfId="79" totalsRowDxfId="78"/>
    <tableColumn id="61" name="Colegio+Prestaciones+UNAM" dataDxfId="77" totalsRowDxfId="76">
      <calculatedColumnFormula>Tabla3[[#This Row],[% AutorizadoBeca Colegiatura 17-18]]+Tabla3[[#This Row],[% Beca Prestacion 17-18]]+Tabla3[[#This Row],[% Beca UNAM 17-18]]</calculatedColumnFormula>
    </tableColumn>
    <tableColumn id="62" name="Monto" totalsRowFunction="custom" dataDxfId="75" totalsRowDxfId="74">
      <calculatedColumnFormula>1147*BP10</calculatedColumnFormula>
      <totalsRowFormula>SUM(BQ10:BQ148)</totalsRowFormula>
    </tableColumn>
    <tableColumn id="63" name="Comunidad2" dataDxfId="73" totalsRowDxfId="72">
      <calculatedColumnFormula>Tabla3[[#This Row],[% Beca Comunidad 17-18]]</calculatedColumnFormula>
    </tableColumn>
    <tableColumn id="67" name="Monto3" totalsRowFunction="custom" dataDxfId="71" totalsRowDxfId="70">
      <calculatedColumnFormula>1147*BR10</calculatedColumnFormula>
      <totalsRowFormula>SUM(BS10:BS148)</totalsRowFormula>
    </tableColumn>
    <tableColumn id="69" name="25% de Monto" totalsRowFunction="custom" dataDxfId="69" totalsRowDxfId="68">
      <calculatedColumnFormula>BS10*25%</calculatedColumnFormula>
      <totalsRowFormula>BS149*25%</totalsRowFormula>
    </tableColumn>
    <tableColumn id="72" name="75% de Monto" dataDxfId="67" totalsRowDxfId="66">
      <calculatedColumnFormula>Tabla3[[#This Row],[Monto3]]*75%</calculatedColumnFormula>
    </tableColumn>
    <tableColumn id="73" name="especial" totalsRowFunction="sum" dataDxfId="65" totalsRowDxfId="64">
      <calculatedColumnFormula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calculatedColumnFormula>
    </tableColumn>
    <tableColumn id="74" name="Matriz 2" dataDxfId="63" totalsRowDxfId="62">
      <calculatedColumnFormula>VLOOKUP(Tabla3[[#This Row],[Nombre del Alumno]],'[3]BECAS COLEGIATURAS'!$I:$N,6,0)</calculatedColumnFormula>
    </tableColumn>
    <tableColumn id="75" name="Matriz 2018-2019" dataDxfId="61" totalsRowDxfId="60">
      <calculatedColumnFormula>VLOOKUP(Tabla3[[#This Row],[Nombre del Alumno]],[1]!Tabla1[[NOMBRE DEL ALUMNO]:[MATRIZ]],6,0)</calculatedColumnFormula>
    </tableColumn>
    <tableColumn id="77" name="Grado 18-19" dataDxfId="59" totalsRowDxfId="58"/>
    <tableColumn id="78" name="Monto Colegiatura 2018-2019" dataDxfId="57" totalsRowDxfId="56">
      <calculatedColumnFormula>VLOOKUP(Tabla3[[#This Row],[Grado 18-19]],[2]Cuotas!$Q:$U,2,0)</calculatedColumnFormula>
    </tableColumn>
    <tableColumn id="79" name="Reinscripción 2019-2020" dataDxfId="55" totalsRowDxfId="54">
      <calculatedColumnFormula>VLOOKUP(Tabla3[[#This Row],[Grado 18-19]],[2]Cuotas!$Q:$U,3,0)</calculatedColumnFormula>
    </tableColumn>
    <tableColumn id="80" name="Canasta 2018-2019" dataDxfId="53" totalsRowDxfId="52">
      <calculatedColumnFormula>VLOOKUP(Tabla3[[#This Row],[Grado 18-19]],[2]Cuotas!$Q:$U,4,0)</calculatedColumnFormula>
    </tableColumn>
    <tableColumn id="81" name="% Solicitado Beca Colegio 2018-2019" dataDxfId="51" totalsRowDxfId="50"/>
    <tableColumn id="82" name="% AutorizadoBeca Colegiatura 18-19" dataDxfId="49" totalsRowDxfId="48"/>
    <tableColumn id="83" name="Cantidad Beca Colegiatura 18-19" totalsRowFunction="sum" dataDxfId="47" totalsRowDxfId="46">
      <calculatedColumnFormula>Tabla3[[#This Row],[Monto Colegiatura 2018-2019]]*Tabla3[[#This Row],[% AutorizadoBeca Colegiatura 18-19]]</calculatedColumnFormula>
    </tableColumn>
    <tableColumn id="84" name="% Beca Prestacion 18-19" dataDxfId="45" totalsRowDxfId="44"/>
    <tableColumn id="85" name="Cantidad Beca Prestacion 18-19" totalsRowFunction="sum" dataDxfId="43" totalsRowDxfId="42">
      <calculatedColumnFormula>Tabla3[[#This Row],[Monto Colegiatura 2018-2019]]*Tabla3[[#This Row],[% Beca Prestacion 18-19]]</calculatedColumnFormula>
    </tableColumn>
    <tableColumn id="86" name="% Beca Canasta 18-19" dataDxfId="41" totalsRowDxfId="40">
      <calculatedColumnFormula>VLOOKUP(Tabla3[[#This Row],[Nombre del Alumno]],'[3]BECAS REINSCRIPCIONES'!$B$37:$D$40,3,0)</calculatedColumnFormula>
    </tableColumn>
    <tableColumn id="87" name="Cantidad Beca Canasta 18-19" totalsRowFunction="sum" dataDxfId="39" totalsRowDxfId="38">
      <calculatedColumnFormula>Tabla3[[#This Row],[Canasta 2018-2019]]*Tabla3[[#This Row],[% Beca Canasta 18-19]]</calculatedColumnFormula>
    </tableColumn>
    <tableColumn id="88" name="% Beca Reinscripciones 19-20" dataDxfId="37" totalsRowDxfId="36">
      <calculatedColumnFormula>VLOOKUP(Tabla3[[#This Row],[Nombre del Alumno]],'[3]BECAS REINSCRIPCIONES'!$B$8:$D$21,3,0)</calculatedColumnFormula>
    </tableColumn>
    <tableColumn id="89" name="Cantidad Beca Reinscripciones 19-20" totalsRowFunction="sum" dataDxfId="35" totalsRowDxfId="34">
      <calculatedColumnFormula>Tabla3[[#This Row],[Reinscripción 2019-2020]]*Tabla3[[#This Row],[% Beca Reinscripciones 19-20]]</calculatedColumnFormula>
    </tableColumn>
    <tableColumn id="90" name="25 % Cantidad Beca Comunidad Colegiatura 19-20" totalsRowFunction="sum" dataDxfId="33" totalsRowDxfId="32">
      <calculatedColumnFormula>Tabla3[[#This Row],[Cantidad Beca Comunidad Colegiatura 18-19]]*25%</calculatedColumnFormula>
    </tableColumn>
    <tableColumn id="91" name="25% Cantidad Beca Reinscripciones Comunidad 19-20" totalsRowFunction="sum" dataDxfId="31" totalsRowDxfId="30">
      <calculatedColumnFormula>Tabla3[[#This Row],[Cantidad Beca Reinscripciones Comunidad 19-20]]*25%</calculatedColumnFormula>
    </tableColumn>
    <tableColumn id="92" name="% Beca UNAM 18-19" dataDxfId="29" totalsRowDxfId="28"/>
    <tableColumn id="93" name="Cantidad Beca UNAM Colegiatura 18-19" totalsRowFunction="sum" dataDxfId="27" totalsRowDxfId="26">
      <calculatedColumnFormula>Tabla3[[#This Row],[Monto Colegiatura 2018-2019]]*Tabla3[[#This Row],[% Beca UNAM 18-19]]</calculatedColumnFormula>
    </tableColumn>
    <tableColumn id="94" name="% Beca Reinscripciones UNAM 18-19" dataDxfId="25" totalsRowDxfId="24"/>
    <tableColumn id="95" name="Cantidad Beca Reinscripciones UNAM 18-19" totalsRowFunction="sum" dataDxfId="23" totalsRowDxfId="22">
      <calculatedColumnFormula>3328*Tabla3[[#This Row],[% Beca Reinscripciones UNAM 18-19]]</calculatedColumnFormula>
    </tableColumn>
    <tableColumn id="96" name="Cantidad Becada por el Colegio sin Prestaciones" totalsRowFunction="sum" dataDxfId="21" totalsRowDxfId="20">
      <calculatedColumnFormula>Tabla3[[#This Row],[Cantidad Beca Colegiatura 18-19]]+Tabla3[[#This Row],[Cantidad Beca Canasta 18-19]]+Tabla3[[#This Row],[Cantidad Beca Reinscripciones 19-20]]</calculatedColumnFormula>
    </tableColumn>
    <tableColumn id="97" name="% Beca Comunidad 18-19" dataDxfId="19" totalsRowDxfId="18"/>
    <tableColumn id="98" name="Cantidad Beca Comunidad Colegiatura 18-19" totalsRowFunction="sum" dataDxfId="17" totalsRowDxfId="16">
      <calculatedColumnFormula>Tabla3[[#This Row],[Monto Colegiatura 2018-2019]]*Tabla3[[#This Row],[% Beca Comunidad 18-19]]</calculatedColumnFormula>
    </tableColumn>
    <tableColumn id="99" name="75% Cantidad Beca Comunidad Colegiatura 18-19" totalsRowFunction="sum" dataDxfId="15" totalsRowDxfId="14">
      <calculatedColumnFormula>Tabla3[[#This Row],[Cantidad Beca Comunidad Colegiatura 18-19]]*75%</calculatedColumnFormula>
    </tableColumn>
    <tableColumn id="100" name="% Beca Reinscripciones Comunidad 19-20" dataDxfId="13" totalsRowDxfId="12"/>
    <tableColumn id="101" name="Cantidad Beca Reinscripciones Comunidad 19-20" totalsRowFunction="sum" dataDxfId="11" totalsRowDxfId="10">
      <calculatedColumnFormula>Tabla3[[#This Row],[Reinscripción 2019-2020]]*Tabla3[[#This Row],[% Beca Reinscripciones Comunidad 19-20]]</calculatedColumnFormula>
    </tableColumn>
    <tableColumn id="102" name="75% Cantidad Beca Reinscripciones 19-20" totalsRowFunction="sum" dataDxfId="9" totalsRowDxfId="8">
      <calculatedColumnFormula>Tabla3[[#This Row],[Cantidad Beca Reinscripciones Comunidad 19-20]]*75%</calculatedColumnFormula>
    </tableColumn>
    <tableColumn id="103" name="Cantidad  a recibir de la Comunidad " totalsRowFunction="sum" dataDxfId="7" totalsRowDxfId="6">
      <calculatedColumnFormula>Tabla3[[#This Row],[75% Cantidad Beca Comunidad Colegiatura 18-19]]+Tabla3[[#This Row],[75% Cantidad Beca Reinscripciones 19-20]]</calculatedColumnFormula>
    </tableColumn>
    <tableColumn id="104" name="Monto Becado 18-19 (no percibe el Colegio)" totalsRowFunction="sum" dataDxfId="5" totalsRowDxfId="4">
      <calculatedColumnFormula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calculatedColumnFormula>
    </tableColumn>
    <tableColumn id="105" name="Monto Becado X Alumno 18-19" totalsRowFunction="sum" dataDxfId="3" totalsRowDxfId="2">
      <calculatedColumnFormula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calculatedColumnFormula>
    </tableColumn>
    <tableColumn id="70" name="Trasporte" totalsRowFunction="sum" dataDxfId="1" totalsRowDxfId="0">
      <calculatedColumnFormula>1440*(Tabla3[[#This Row],[% AutorizadoBeca Colegiatura 18-19]]+Tabla3[[#This Row],[% Beca Prestacion 18-19]]+Tabla3[[#This Row],[% Beca UNAM 18-19]]+Tabla3[[#This Row],[% Beca Comunidad 18-19]])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Normal="100" zoomScalePageLayoutView="140" workbookViewId="0">
      <pane xSplit="4" ySplit="9" topLeftCell="E73" activePane="bottomRight" state="frozen"/>
      <selection pane="topRight" activeCell="C1" sqref="C1"/>
      <selection pane="bottomLeft" activeCell="A2" sqref="A2"/>
      <selection pane="bottomRight" activeCell="H83" sqref="H83"/>
    </sheetView>
  </sheetViews>
  <sheetFormatPr baseColWidth="10" defaultRowHeight="15" x14ac:dyDescent="0.25"/>
  <cols>
    <col min="1" max="1" width="6" customWidth="1"/>
    <col min="2" max="2" width="7.28515625" style="3" customWidth="1"/>
    <col min="3" max="3" width="6.140625" style="13" customWidth="1"/>
    <col min="4" max="4" width="44" customWidth="1"/>
    <col min="5" max="5" width="7.7109375" style="3" customWidth="1"/>
    <col min="6" max="6" width="15.85546875" customWidth="1"/>
    <col min="7" max="7" width="16.28515625" customWidth="1"/>
    <col min="8" max="9" width="17.140625" customWidth="1"/>
    <col min="10" max="11" width="16.7109375" customWidth="1"/>
    <col min="12" max="12" width="16.42578125" customWidth="1"/>
    <col min="13" max="13" width="15" style="414" customWidth="1"/>
    <col min="14" max="14" width="0" style="3" hidden="1" customWidth="1"/>
    <col min="15" max="15" width="9.28515625" style="3" hidden="1" customWidth="1"/>
    <col min="16" max="16" width="5" style="3" hidden="1" customWidth="1"/>
    <col min="17" max="17" width="15.7109375" hidden="1" customWidth="1"/>
    <col min="18" max="18" width="0" style="3" hidden="1" customWidth="1"/>
    <col min="19" max="19" width="35.85546875" customWidth="1"/>
    <col min="20" max="20" width="30.42578125" bestFit="1" customWidth="1"/>
    <col min="21" max="21" width="24" bestFit="1" customWidth="1"/>
    <col min="22" max="22" width="54.42578125" bestFit="1" customWidth="1"/>
    <col min="23" max="23" width="40.7109375" customWidth="1"/>
  </cols>
  <sheetData>
    <row r="1" spans="1:23" x14ac:dyDescent="0.25">
      <c r="B1" s="21" t="s">
        <v>22</v>
      </c>
    </row>
    <row r="2" spans="1:23" x14ac:dyDescent="0.25">
      <c r="B2" s="21" t="s">
        <v>25</v>
      </c>
    </row>
    <row r="3" spans="1:23" x14ac:dyDescent="0.25">
      <c r="C3" s="4"/>
      <c r="D3" t="s">
        <v>6</v>
      </c>
      <c r="E3" s="27"/>
      <c r="F3" t="s">
        <v>23</v>
      </c>
    </row>
    <row r="4" spans="1:23" x14ac:dyDescent="0.25">
      <c r="C4" s="14"/>
      <c r="D4" t="s">
        <v>13</v>
      </c>
      <c r="E4" s="28"/>
      <c r="F4" t="s">
        <v>24</v>
      </c>
    </row>
    <row r="5" spans="1:23" x14ac:dyDescent="0.25">
      <c r="C5" s="15"/>
      <c r="D5" t="s">
        <v>14</v>
      </c>
      <c r="E5" s="35"/>
      <c r="F5" t="s">
        <v>113</v>
      </c>
    </row>
    <row r="6" spans="1:23" x14ac:dyDescent="0.25">
      <c r="C6" s="16"/>
      <c r="D6" t="s">
        <v>15</v>
      </c>
      <c r="E6" s="39"/>
      <c r="F6" t="s">
        <v>116</v>
      </c>
    </row>
    <row r="7" spans="1:23" x14ac:dyDescent="0.25">
      <c r="E7" s="44"/>
      <c r="F7" t="s">
        <v>117</v>
      </c>
    </row>
    <row r="9" spans="1:23" s="3" customFormat="1" ht="30" x14ac:dyDescent="0.25">
      <c r="B9" s="5" t="s">
        <v>7</v>
      </c>
      <c r="C9" s="5" t="s">
        <v>8</v>
      </c>
      <c r="D9" s="22" t="s">
        <v>2</v>
      </c>
      <c r="E9" s="17" t="s">
        <v>19</v>
      </c>
      <c r="F9" s="17" t="s">
        <v>18</v>
      </c>
      <c r="G9" s="22" t="s">
        <v>20</v>
      </c>
      <c r="H9" s="17" t="s">
        <v>1433</v>
      </c>
      <c r="I9" s="17" t="s">
        <v>1494</v>
      </c>
      <c r="J9" s="22" t="s">
        <v>110</v>
      </c>
      <c r="K9" s="22" t="s">
        <v>111</v>
      </c>
      <c r="L9" s="22" t="s">
        <v>112</v>
      </c>
      <c r="M9" s="415" t="s">
        <v>21</v>
      </c>
      <c r="N9" s="7" t="s">
        <v>9</v>
      </c>
      <c r="O9" s="8" t="s">
        <v>10</v>
      </c>
      <c r="P9" s="8" t="s">
        <v>11</v>
      </c>
      <c r="Q9" s="6" t="s">
        <v>0</v>
      </c>
      <c r="R9" s="6" t="s">
        <v>12</v>
      </c>
      <c r="S9" s="22" t="s">
        <v>4</v>
      </c>
      <c r="T9" s="22" t="s">
        <v>5</v>
      </c>
      <c r="U9" s="22" t="s">
        <v>1</v>
      </c>
      <c r="V9" s="22" t="s">
        <v>16</v>
      </c>
      <c r="W9" s="22" t="s">
        <v>17</v>
      </c>
    </row>
    <row r="10" spans="1:23" x14ac:dyDescent="0.25">
      <c r="B10" s="23">
        <f>1</f>
        <v>1</v>
      </c>
      <c r="C10" s="33">
        <v>2103</v>
      </c>
      <c r="D10" s="25" t="s">
        <v>26</v>
      </c>
      <c r="E10" s="23"/>
      <c r="F10" s="26">
        <v>70300</v>
      </c>
      <c r="G10" s="26"/>
      <c r="H10" s="26">
        <v>0</v>
      </c>
      <c r="I10" s="26"/>
      <c r="J10" s="26">
        <v>23000</v>
      </c>
      <c r="K10" s="26">
        <v>23000</v>
      </c>
      <c r="L10" s="26"/>
      <c r="M10" s="26">
        <f>F10-G10-H10-I10-J10-K10-L10</f>
        <v>24300</v>
      </c>
      <c r="N10" s="29"/>
      <c r="O10" s="30"/>
      <c r="P10" s="30"/>
      <c r="Q10" s="25"/>
      <c r="R10" s="23"/>
      <c r="S10" s="25" t="s">
        <v>942</v>
      </c>
      <c r="T10" s="25" t="s">
        <v>943</v>
      </c>
      <c r="U10" s="31"/>
      <c r="V10" s="31"/>
      <c r="W10" s="25"/>
    </row>
    <row r="11" spans="1:23" x14ac:dyDescent="0.25">
      <c r="B11" s="23">
        <f>B10+1</f>
        <v>2</v>
      </c>
      <c r="C11" s="33">
        <v>2803</v>
      </c>
      <c r="D11" s="25" t="s">
        <v>27</v>
      </c>
      <c r="E11" s="23"/>
      <c r="F11" s="26">
        <v>70300</v>
      </c>
      <c r="G11" s="26"/>
      <c r="H11" s="26">
        <v>2080</v>
      </c>
      <c r="I11" s="26"/>
      <c r="J11" s="26">
        <v>23000</v>
      </c>
      <c r="K11" s="26">
        <v>23000</v>
      </c>
      <c r="L11" s="26">
        <v>22220</v>
      </c>
      <c r="M11" s="26">
        <f>F11-G11-H11-I11-J11-K11-L11</f>
        <v>0</v>
      </c>
      <c r="N11" s="29"/>
      <c r="O11" s="30"/>
      <c r="P11" s="30"/>
      <c r="Q11" s="25"/>
      <c r="R11" s="23"/>
      <c r="S11" s="25" t="s">
        <v>944</v>
      </c>
      <c r="T11" s="25" t="s">
        <v>945</v>
      </c>
      <c r="U11" s="31"/>
      <c r="V11" s="31"/>
      <c r="W11" s="25"/>
    </row>
    <row r="12" spans="1:23" x14ac:dyDescent="0.25">
      <c r="B12" s="23">
        <f>B11+1</f>
        <v>3</v>
      </c>
      <c r="C12" s="33">
        <v>1968</v>
      </c>
      <c r="D12" s="25" t="s">
        <v>28</v>
      </c>
      <c r="E12" s="23"/>
      <c r="F12" s="26">
        <v>70300</v>
      </c>
      <c r="G12" s="26"/>
      <c r="H12" s="26">
        <v>0</v>
      </c>
      <c r="I12" s="26"/>
      <c r="J12" s="26">
        <v>23000</v>
      </c>
      <c r="K12" s="26">
        <v>23000</v>
      </c>
      <c r="L12" s="26"/>
      <c r="M12" s="26">
        <f t="shared" ref="M12:M75" si="0">F12-G12-H12-I12-J12-K12-L12</f>
        <v>24300</v>
      </c>
      <c r="N12" s="29"/>
      <c r="O12" s="30"/>
      <c r="P12" s="30"/>
      <c r="Q12" s="25"/>
      <c r="R12" s="23"/>
      <c r="S12" s="25" t="s">
        <v>946</v>
      </c>
      <c r="T12" s="25" t="s">
        <v>947</v>
      </c>
      <c r="U12" s="31"/>
      <c r="V12" s="31"/>
      <c r="W12" s="25"/>
    </row>
    <row r="13" spans="1:23" x14ac:dyDescent="0.25">
      <c r="A13" s="445"/>
      <c r="B13" s="23">
        <f t="shared" ref="B13:B80" si="1">B12+1</f>
        <v>4</v>
      </c>
      <c r="C13" s="455">
        <v>2040</v>
      </c>
      <c r="D13" s="25" t="s">
        <v>29</v>
      </c>
      <c r="E13" s="23"/>
      <c r="F13" s="26">
        <v>70300</v>
      </c>
      <c r="G13" s="26"/>
      <c r="H13" s="26">
        <v>4400</v>
      </c>
      <c r="I13" s="26"/>
      <c r="J13" s="26"/>
      <c r="K13" s="26"/>
      <c r="L13" s="26"/>
      <c r="M13" s="26">
        <f t="shared" si="0"/>
        <v>65900</v>
      </c>
      <c r="N13" s="29"/>
      <c r="O13" s="30"/>
      <c r="P13" s="30"/>
      <c r="Q13" s="25"/>
      <c r="R13" s="23"/>
      <c r="S13" s="25" t="s">
        <v>948</v>
      </c>
      <c r="T13" s="25" t="s">
        <v>949</v>
      </c>
      <c r="U13" s="31"/>
      <c r="V13" s="31"/>
      <c r="W13" s="25"/>
    </row>
    <row r="14" spans="1:23" x14ac:dyDescent="0.25">
      <c r="B14" s="23">
        <f t="shared" si="1"/>
        <v>5</v>
      </c>
      <c r="C14" s="33">
        <v>1437</v>
      </c>
      <c r="D14" s="25" t="s">
        <v>30</v>
      </c>
      <c r="E14" s="23"/>
      <c r="F14" s="26">
        <v>70300</v>
      </c>
      <c r="G14" s="26"/>
      <c r="H14" s="26">
        <v>1600</v>
      </c>
      <c r="I14" s="26"/>
      <c r="J14" s="26">
        <v>23000</v>
      </c>
      <c r="K14" s="26">
        <v>23000</v>
      </c>
      <c r="L14" s="26"/>
      <c r="M14" s="26">
        <f t="shared" si="0"/>
        <v>22700</v>
      </c>
      <c r="N14" s="29"/>
      <c r="O14" s="30"/>
      <c r="P14" s="30"/>
      <c r="Q14" s="25"/>
      <c r="R14" s="23"/>
      <c r="S14" s="25" t="s">
        <v>950</v>
      </c>
      <c r="T14" s="25" t="s">
        <v>951</v>
      </c>
      <c r="U14" s="31"/>
      <c r="V14" s="31"/>
      <c r="W14" s="25"/>
    </row>
    <row r="15" spans="1:23" x14ac:dyDescent="0.25">
      <c r="B15" s="23">
        <f t="shared" si="1"/>
        <v>6</v>
      </c>
      <c r="C15" s="33">
        <v>2817</v>
      </c>
      <c r="D15" s="25" t="s">
        <v>31</v>
      </c>
      <c r="E15" s="23"/>
      <c r="F15" s="26">
        <v>70300</v>
      </c>
      <c r="G15" s="26"/>
      <c r="H15" s="26">
        <v>0</v>
      </c>
      <c r="I15" s="26"/>
      <c r="J15" s="26">
        <v>23000</v>
      </c>
      <c r="K15" s="26">
        <v>23000</v>
      </c>
      <c r="L15" s="26">
        <v>24300</v>
      </c>
      <c r="M15" s="26">
        <f t="shared" si="0"/>
        <v>0</v>
      </c>
      <c r="N15" s="29"/>
      <c r="O15" s="30"/>
      <c r="P15" s="30"/>
      <c r="Q15" s="25"/>
      <c r="R15" s="23"/>
      <c r="S15" s="25" t="s">
        <v>952</v>
      </c>
      <c r="T15" s="25" t="s">
        <v>953</v>
      </c>
      <c r="U15" s="31"/>
      <c r="V15" s="31"/>
      <c r="W15" s="25"/>
    </row>
    <row r="16" spans="1:23" x14ac:dyDescent="0.25">
      <c r="B16" s="23">
        <f t="shared" si="1"/>
        <v>7</v>
      </c>
      <c r="C16" s="33">
        <v>1714</v>
      </c>
      <c r="D16" s="25" t="s">
        <v>32</v>
      </c>
      <c r="E16" s="23"/>
      <c r="F16" s="26">
        <v>70300</v>
      </c>
      <c r="G16" s="26"/>
      <c r="H16" s="26">
        <v>2400</v>
      </c>
      <c r="I16" s="26"/>
      <c r="J16" s="26">
        <v>23000</v>
      </c>
      <c r="K16" s="26">
        <v>23000</v>
      </c>
      <c r="L16" s="26"/>
      <c r="M16" s="26">
        <f t="shared" si="0"/>
        <v>21900</v>
      </c>
      <c r="N16" s="29"/>
      <c r="O16" s="30"/>
      <c r="P16" s="30"/>
      <c r="Q16" s="25"/>
      <c r="R16" s="23"/>
      <c r="S16" s="25" t="s">
        <v>954</v>
      </c>
      <c r="T16" s="25" t="s">
        <v>963</v>
      </c>
      <c r="U16" s="31"/>
      <c r="V16" s="31"/>
      <c r="W16" s="25"/>
    </row>
    <row r="17" spans="1:23" x14ac:dyDescent="0.25">
      <c r="B17" s="23">
        <f t="shared" si="1"/>
        <v>8</v>
      </c>
      <c r="C17" s="33">
        <v>1719</v>
      </c>
      <c r="D17" s="25" t="s">
        <v>33</v>
      </c>
      <c r="E17" s="23"/>
      <c r="F17" s="26">
        <v>70300</v>
      </c>
      <c r="G17" s="26"/>
      <c r="H17" s="26">
        <v>3040</v>
      </c>
      <c r="I17" s="26"/>
      <c r="J17" s="26">
        <v>23000</v>
      </c>
      <c r="K17" s="26"/>
      <c r="L17" s="26"/>
      <c r="M17" s="26">
        <f t="shared" si="0"/>
        <v>44260</v>
      </c>
      <c r="N17" s="29"/>
      <c r="O17" s="30"/>
      <c r="P17" s="30"/>
      <c r="Q17" s="25"/>
      <c r="R17" s="23"/>
      <c r="S17" s="25" t="s">
        <v>962</v>
      </c>
      <c r="T17" s="25" t="s">
        <v>955</v>
      </c>
      <c r="U17" s="31"/>
      <c r="V17" s="31"/>
      <c r="W17" s="25"/>
    </row>
    <row r="18" spans="1:23" x14ac:dyDescent="0.25">
      <c r="B18" s="23">
        <f t="shared" si="1"/>
        <v>9</v>
      </c>
      <c r="C18" s="33">
        <v>1860</v>
      </c>
      <c r="D18" s="25" t="s">
        <v>34</v>
      </c>
      <c r="E18" s="23"/>
      <c r="F18" s="26">
        <v>70300</v>
      </c>
      <c r="G18" s="26"/>
      <c r="H18" s="26">
        <v>1600</v>
      </c>
      <c r="I18" s="26"/>
      <c r="J18" s="26">
        <v>23000</v>
      </c>
      <c r="K18" s="26">
        <v>23000</v>
      </c>
      <c r="L18" s="26">
        <v>22700</v>
      </c>
      <c r="M18" s="26">
        <f t="shared" si="0"/>
        <v>0</v>
      </c>
      <c r="N18" s="29"/>
      <c r="O18" s="30"/>
      <c r="P18" s="30"/>
      <c r="Q18" s="25"/>
      <c r="R18" s="23"/>
      <c r="S18" s="25" t="s">
        <v>964</v>
      </c>
      <c r="T18" s="25" t="s">
        <v>956</v>
      </c>
      <c r="U18" s="31"/>
      <c r="V18" s="31"/>
      <c r="W18" s="25"/>
    </row>
    <row r="19" spans="1:23" x14ac:dyDescent="0.25">
      <c r="B19" s="23">
        <f t="shared" si="1"/>
        <v>10</v>
      </c>
      <c r="C19" s="33">
        <v>1946</v>
      </c>
      <c r="D19" s="25" t="s">
        <v>35</v>
      </c>
      <c r="E19" s="23"/>
      <c r="F19" s="26">
        <v>70300</v>
      </c>
      <c r="G19" s="26"/>
      <c r="H19" s="26">
        <v>880</v>
      </c>
      <c r="I19" s="26"/>
      <c r="J19" s="26">
        <v>23000</v>
      </c>
      <c r="K19" s="26"/>
      <c r="L19" s="26"/>
      <c r="M19" s="26">
        <f t="shared" si="0"/>
        <v>46420</v>
      </c>
      <c r="N19" s="29"/>
      <c r="O19" s="30"/>
      <c r="P19" s="30"/>
      <c r="Q19" s="25"/>
      <c r="R19" s="23"/>
      <c r="S19" s="25" t="s">
        <v>965</v>
      </c>
      <c r="T19" s="25" t="s">
        <v>957</v>
      </c>
      <c r="U19" s="31"/>
      <c r="V19" s="31"/>
      <c r="W19" s="25"/>
    </row>
    <row r="20" spans="1:23" x14ac:dyDescent="0.25">
      <c r="B20" s="23">
        <f t="shared" si="1"/>
        <v>11</v>
      </c>
      <c r="C20" s="33">
        <v>1861</v>
      </c>
      <c r="D20" s="25" t="s">
        <v>36</v>
      </c>
      <c r="E20" s="23"/>
      <c r="F20" s="26">
        <v>70300</v>
      </c>
      <c r="G20" s="26"/>
      <c r="H20" s="26">
        <v>2400</v>
      </c>
      <c r="I20" s="26"/>
      <c r="J20" s="26">
        <v>23000</v>
      </c>
      <c r="K20" s="26">
        <v>23000</v>
      </c>
      <c r="L20" s="26">
        <v>24300</v>
      </c>
      <c r="M20" s="418">
        <f t="shared" si="0"/>
        <v>-2400</v>
      </c>
      <c r="N20" s="29"/>
      <c r="O20" s="30"/>
      <c r="P20" s="30"/>
      <c r="Q20" s="25"/>
      <c r="R20" s="23"/>
      <c r="S20" s="25" t="s">
        <v>958</v>
      </c>
      <c r="T20" s="25" t="s">
        <v>959</v>
      </c>
      <c r="U20" s="31"/>
      <c r="V20" s="31"/>
      <c r="W20" s="25"/>
    </row>
    <row r="21" spans="1:23" x14ac:dyDescent="0.25">
      <c r="B21" s="23">
        <f t="shared" si="1"/>
        <v>12</v>
      </c>
      <c r="C21" s="33">
        <v>1941</v>
      </c>
      <c r="D21" s="25" t="s">
        <v>37</v>
      </c>
      <c r="E21" s="23"/>
      <c r="F21" s="26">
        <v>70300</v>
      </c>
      <c r="G21" s="26"/>
      <c r="H21" s="26">
        <v>2000</v>
      </c>
      <c r="I21" s="26"/>
      <c r="J21" s="26">
        <v>23000</v>
      </c>
      <c r="K21" s="26">
        <v>23000</v>
      </c>
      <c r="L21" s="26">
        <v>22300</v>
      </c>
      <c r="M21" s="26">
        <f t="shared" si="0"/>
        <v>0</v>
      </c>
      <c r="N21" s="29"/>
      <c r="O21" s="30"/>
      <c r="P21" s="30"/>
      <c r="Q21" s="25"/>
      <c r="R21" s="23"/>
      <c r="S21" s="25" t="s">
        <v>960</v>
      </c>
      <c r="T21" s="25" t="s">
        <v>961</v>
      </c>
      <c r="U21" s="31"/>
      <c r="V21" s="31"/>
      <c r="W21" s="25"/>
    </row>
    <row r="22" spans="1:23" x14ac:dyDescent="0.25">
      <c r="B22" s="23">
        <f t="shared" si="1"/>
        <v>13</v>
      </c>
      <c r="C22" s="33">
        <v>1949</v>
      </c>
      <c r="D22" s="25" t="s">
        <v>38</v>
      </c>
      <c r="E22" s="23"/>
      <c r="F22" s="26">
        <v>70300</v>
      </c>
      <c r="G22" s="26"/>
      <c r="H22" s="26">
        <v>960</v>
      </c>
      <c r="I22" s="26"/>
      <c r="J22" s="26">
        <v>23000</v>
      </c>
      <c r="K22" s="26">
        <v>23000</v>
      </c>
      <c r="L22" s="26"/>
      <c r="M22" s="26">
        <f t="shared" si="0"/>
        <v>23340</v>
      </c>
      <c r="N22" s="29"/>
      <c r="O22" s="30"/>
      <c r="P22" s="30"/>
      <c r="Q22" s="25"/>
      <c r="R22" s="23"/>
      <c r="S22" s="25" t="s">
        <v>1085</v>
      </c>
      <c r="T22" s="25" t="s">
        <v>966</v>
      </c>
      <c r="U22" s="31"/>
      <c r="V22" s="31"/>
      <c r="W22" s="390"/>
    </row>
    <row r="23" spans="1:23" x14ac:dyDescent="0.25">
      <c r="B23" s="23">
        <f t="shared" si="1"/>
        <v>14</v>
      </c>
      <c r="C23" s="33">
        <v>1543</v>
      </c>
      <c r="D23" s="25" t="s">
        <v>39</v>
      </c>
      <c r="E23" s="23"/>
      <c r="F23" s="26">
        <v>70300</v>
      </c>
      <c r="G23" s="26"/>
      <c r="H23" s="26">
        <v>1600</v>
      </c>
      <c r="I23" s="26"/>
      <c r="J23" s="26">
        <v>23000</v>
      </c>
      <c r="K23" s="26"/>
      <c r="L23" s="26"/>
      <c r="M23" s="26">
        <f t="shared" si="0"/>
        <v>45700</v>
      </c>
      <c r="N23" s="29"/>
      <c r="O23" s="30"/>
      <c r="P23" s="30"/>
      <c r="Q23" s="25"/>
      <c r="R23" s="23"/>
      <c r="S23" s="25" t="s">
        <v>967</v>
      </c>
      <c r="T23" s="25" t="s">
        <v>968</v>
      </c>
      <c r="U23" s="31"/>
      <c r="V23" s="31"/>
      <c r="W23" s="25"/>
    </row>
    <row r="24" spans="1:23" x14ac:dyDescent="0.25">
      <c r="B24" s="23">
        <f t="shared" si="1"/>
        <v>15</v>
      </c>
      <c r="C24" s="33">
        <v>1708</v>
      </c>
      <c r="D24" s="25" t="s">
        <v>40</v>
      </c>
      <c r="E24" s="23"/>
      <c r="F24" s="26">
        <v>70300</v>
      </c>
      <c r="G24" s="26"/>
      <c r="H24" s="26">
        <v>1600</v>
      </c>
      <c r="I24" s="26"/>
      <c r="J24" s="26">
        <f>23000</f>
        <v>23000</v>
      </c>
      <c r="K24" s="26">
        <v>23000</v>
      </c>
      <c r="L24" s="26">
        <v>24300</v>
      </c>
      <c r="M24" s="418">
        <f t="shared" si="0"/>
        <v>-1600</v>
      </c>
      <c r="N24" s="29"/>
      <c r="O24" s="30"/>
      <c r="P24" s="30"/>
      <c r="Q24" s="25"/>
      <c r="R24" s="23"/>
      <c r="S24" s="25" t="s">
        <v>969</v>
      </c>
      <c r="T24" s="25" t="s">
        <v>970</v>
      </c>
      <c r="U24" s="31"/>
      <c r="V24" s="31"/>
      <c r="W24" s="25"/>
    </row>
    <row r="25" spans="1:23" x14ac:dyDescent="0.25">
      <c r="A25" s="445"/>
      <c r="B25" s="23">
        <f t="shared" si="1"/>
        <v>16</v>
      </c>
      <c r="C25" s="33">
        <v>1539</v>
      </c>
      <c r="D25" s="25" t="s">
        <v>41</v>
      </c>
      <c r="E25" s="23"/>
      <c r="F25" s="26">
        <v>70300</v>
      </c>
      <c r="G25" s="26"/>
      <c r="H25" s="26">
        <v>0</v>
      </c>
      <c r="I25" s="26"/>
      <c r="J25" s="26">
        <v>23000</v>
      </c>
      <c r="K25" s="26">
        <v>23000</v>
      </c>
      <c r="L25" s="26">
        <v>24300</v>
      </c>
      <c r="M25" s="26">
        <f t="shared" si="0"/>
        <v>0</v>
      </c>
      <c r="N25" s="29"/>
      <c r="O25" s="30"/>
      <c r="P25" s="30"/>
      <c r="Q25" s="25"/>
      <c r="R25" s="23"/>
      <c r="S25" s="25" t="s">
        <v>971</v>
      </c>
      <c r="T25" s="25" t="s">
        <v>972</v>
      </c>
      <c r="U25" s="31"/>
      <c r="V25" s="31"/>
      <c r="W25" s="25"/>
    </row>
    <row r="26" spans="1:23" x14ac:dyDescent="0.25">
      <c r="B26" s="23">
        <f t="shared" si="1"/>
        <v>17</v>
      </c>
      <c r="C26" s="33">
        <v>2136</v>
      </c>
      <c r="D26" s="25" t="s">
        <v>42</v>
      </c>
      <c r="E26" s="23"/>
      <c r="F26" s="26">
        <v>70300</v>
      </c>
      <c r="G26" s="26"/>
      <c r="H26" s="26">
        <v>3200</v>
      </c>
      <c r="I26" s="26"/>
      <c r="J26" s="26">
        <v>23000</v>
      </c>
      <c r="K26" s="26">
        <v>23000</v>
      </c>
      <c r="L26" s="26">
        <v>21100</v>
      </c>
      <c r="M26" s="26">
        <f t="shared" si="0"/>
        <v>0</v>
      </c>
      <c r="N26" s="29"/>
      <c r="O26" s="30"/>
      <c r="P26" s="30"/>
      <c r="Q26" s="25"/>
      <c r="R26" s="23"/>
      <c r="S26" s="25" t="s">
        <v>978</v>
      </c>
      <c r="T26" s="25" t="s">
        <v>973</v>
      </c>
      <c r="U26" s="31"/>
      <c r="V26" s="31"/>
      <c r="W26" s="25"/>
    </row>
    <row r="27" spans="1:23" x14ac:dyDescent="0.25">
      <c r="B27" s="23">
        <f t="shared" si="1"/>
        <v>18</v>
      </c>
      <c r="C27" s="33">
        <v>2036</v>
      </c>
      <c r="D27" s="25" t="s">
        <v>43</v>
      </c>
      <c r="E27" s="23"/>
      <c r="F27" s="26">
        <v>70300</v>
      </c>
      <c r="G27" s="26"/>
      <c r="H27" s="26">
        <v>1600</v>
      </c>
      <c r="I27" s="26"/>
      <c r="J27" s="26">
        <v>23000</v>
      </c>
      <c r="K27" s="26">
        <v>23000</v>
      </c>
      <c r="L27" s="26"/>
      <c r="M27" s="26">
        <f t="shared" si="0"/>
        <v>22700</v>
      </c>
      <c r="N27" s="29"/>
      <c r="O27" s="30"/>
      <c r="P27" s="30"/>
      <c r="Q27" s="25"/>
      <c r="R27" s="23"/>
      <c r="S27" s="25" t="s">
        <v>974</v>
      </c>
      <c r="T27" s="25" t="s">
        <v>975</v>
      </c>
      <c r="U27" s="31"/>
      <c r="V27" s="31"/>
      <c r="W27" s="25"/>
    </row>
    <row r="28" spans="1:23" x14ac:dyDescent="0.25">
      <c r="B28" s="23">
        <f t="shared" si="1"/>
        <v>19</v>
      </c>
      <c r="C28" s="33">
        <v>1033</v>
      </c>
      <c r="D28" s="25" t="s">
        <v>44</v>
      </c>
      <c r="E28" s="23"/>
      <c r="F28" s="26">
        <v>70300</v>
      </c>
      <c r="G28" s="26"/>
      <c r="H28" s="26">
        <v>0</v>
      </c>
      <c r="I28" s="26"/>
      <c r="J28" s="26">
        <v>23000</v>
      </c>
      <c r="K28" s="26">
        <v>23000</v>
      </c>
      <c r="L28" s="26">
        <v>24300</v>
      </c>
      <c r="M28" s="26">
        <f t="shared" si="0"/>
        <v>0</v>
      </c>
      <c r="N28" s="29"/>
      <c r="O28" s="30"/>
      <c r="P28" s="30"/>
      <c r="Q28" s="25"/>
      <c r="R28" s="23"/>
      <c r="S28" s="25" t="s">
        <v>976</v>
      </c>
      <c r="T28" s="25" t="s">
        <v>977</v>
      </c>
      <c r="U28" s="31"/>
      <c r="V28" s="31"/>
      <c r="W28" s="25"/>
    </row>
    <row r="29" spans="1:23" x14ac:dyDescent="0.25">
      <c r="B29" s="23">
        <f t="shared" si="1"/>
        <v>20</v>
      </c>
      <c r="C29" s="33">
        <v>1502</v>
      </c>
      <c r="D29" s="25" t="s">
        <v>45</v>
      </c>
      <c r="E29" s="23"/>
      <c r="F29" s="26">
        <v>70300</v>
      </c>
      <c r="G29" s="26"/>
      <c r="H29" s="26">
        <v>0</v>
      </c>
      <c r="I29" s="26"/>
      <c r="J29" s="26">
        <v>23000</v>
      </c>
      <c r="K29" s="26">
        <v>23000</v>
      </c>
      <c r="L29" s="26"/>
      <c r="M29" s="26">
        <f t="shared" si="0"/>
        <v>24300</v>
      </c>
      <c r="N29" s="29"/>
      <c r="O29" s="30"/>
      <c r="P29" s="30"/>
      <c r="Q29" s="25"/>
      <c r="R29" s="23"/>
      <c r="S29" s="25" t="s">
        <v>979</v>
      </c>
      <c r="T29" s="25" t="s">
        <v>980</v>
      </c>
      <c r="U29" s="31"/>
      <c r="V29" s="31"/>
      <c r="W29" s="25"/>
    </row>
    <row r="30" spans="1:23" x14ac:dyDescent="0.25">
      <c r="A30" s="445"/>
      <c r="B30" s="23">
        <f t="shared" si="1"/>
        <v>21</v>
      </c>
      <c r="C30" s="33">
        <v>1858</v>
      </c>
      <c r="D30" s="25" t="s">
        <v>46</v>
      </c>
      <c r="E30" s="23"/>
      <c r="F30" s="26">
        <v>70300</v>
      </c>
      <c r="G30" s="26"/>
      <c r="H30" s="26">
        <v>4400</v>
      </c>
      <c r="I30" s="26"/>
      <c r="J30" s="26">
        <v>15000</v>
      </c>
      <c r="K30" s="26"/>
      <c r="L30" s="26"/>
      <c r="M30" s="26">
        <f t="shared" si="0"/>
        <v>50900</v>
      </c>
      <c r="N30" s="29"/>
      <c r="O30" s="30"/>
      <c r="P30" s="30"/>
      <c r="Q30" s="25"/>
      <c r="R30" s="23"/>
      <c r="S30" s="25" t="s">
        <v>988</v>
      </c>
      <c r="T30" s="25" t="s">
        <v>981</v>
      </c>
      <c r="U30" s="31"/>
      <c r="V30" s="31"/>
      <c r="W30" s="25"/>
    </row>
    <row r="31" spans="1:23" x14ac:dyDescent="0.25">
      <c r="B31" s="23">
        <f t="shared" si="1"/>
        <v>22</v>
      </c>
      <c r="C31" s="36">
        <v>1848</v>
      </c>
      <c r="D31" s="37" t="s">
        <v>47</v>
      </c>
      <c r="E31" s="23"/>
      <c r="F31" s="26">
        <v>70300</v>
      </c>
      <c r="G31" s="26"/>
      <c r="H31" s="26">
        <v>1600</v>
      </c>
      <c r="I31" s="26"/>
      <c r="J31" s="26"/>
      <c r="K31" s="26"/>
      <c r="L31" s="26"/>
      <c r="M31" s="26">
        <f t="shared" si="0"/>
        <v>68700</v>
      </c>
      <c r="N31" s="29"/>
      <c r="O31" s="30"/>
      <c r="P31" s="30"/>
      <c r="Q31" s="25"/>
      <c r="R31" s="23"/>
      <c r="S31" s="25" t="s">
        <v>982</v>
      </c>
      <c r="T31" s="25" t="s">
        <v>983</v>
      </c>
      <c r="U31" s="31"/>
      <c r="V31" s="31" t="s">
        <v>114</v>
      </c>
      <c r="W31" s="25"/>
    </row>
    <row r="32" spans="1:23" x14ac:dyDescent="0.25">
      <c r="B32" s="23">
        <f t="shared" si="1"/>
        <v>23</v>
      </c>
      <c r="C32" s="33">
        <v>2037</v>
      </c>
      <c r="D32" s="25" t="s">
        <v>48</v>
      </c>
      <c r="E32" s="23"/>
      <c r="F32" s="26">
        <v>70300</v>
      </c>
      <c r="G32" s="26"/>
      <c r="H32" s="26">
        <v>1600</v>
      </c>
      <c r="I32" s="26"/>
      <c r="J32" s="26">
        <f>23000</f>
        <v>23000</v>
      </c>
      <c r="K32" s="389">
        <v>23000</v>
      </c>
      <c r="L32" s="26">
        <v>24300</v>
      </c>
      <c r="M32" s="418">
        <f t="shared" si="0"/>
        <v>-1600</v>
      </c>
      <c r="N32" s="29"/>
      <c r="O32" s="30"/>
      <c r="P32" s="30"/>
      <c r="Q32" s="25"/>
      <c r="R32" s="23"/>
      <c r="S32" s="25" t="s">
        <v>989</v>
      </c>
      <c r="T32" s="25" t="s">
        <v>984</v>
      </c>
      <c r="U32" s="31"/>
      <c r="V32" s="31"/>
      <c r="W32" s="25"/>
    </row>
    <row r="33" spans="1:23" x14ac:dyDescent="0.25">
      <c r="B33" s="23">
        <f t="shared" si="1"/>
        <v>24</v>
      </c>
      <c r="C33" s="397">
        <v>1913</v>
      </c>
      <c r="D33" s="103" t="s">
        <v>49</v>
      </c>
      <c r="E33" s="23"/>
      <c r="F33" s="26">
        <v>70300</v>
      </c>
      <c r="G33" s="26"/>
      <c r="H33" s="26">
        <v>0</v>
      </c>
      <c r="I33" s="26"/>
      <c r="J33" s="26">
        <v>5000</v>
      </c>
      <c r="K33" s="26"/>
      <c r="L33" s="26"/>
      <c r="M33" s="26">
        <f t="shared" si="0"/>
        <v>65300</v>
      </c>
      <c r="N33" s="29"/>
      <c r="O33" s="30"/>
      <c r="P33" s="30"/>
      <c r="Q33" s="25"/>
      <c r="R33" s="23"/>
      <c r="S33" s="25" t="s">
        <v>417</v>
      </c>
      <c r="T33" s="25" t="s">
        <v>990</v>
      </c>
      <c r="U33" s="31"/>
      <c r="V33" s="391" t="s">
        <v>1091</v>
      </c>
      <c r="W33" s="25"/>
    </row>
    <row r="34" spans="1:23" x14ac:dyDescent="0.25">
      <c r="B34" s="23">
        <f t="shared" si="1"/>
        <v>25</v>
      </c>
      <c r="C34" s="416">
        <v>3040</v>
      </c>
      <c r="D34" s="25" t="s">
        <v>1431</v>
      </c>
      <c r="E34" s="23"/>
      <c r="F34" s="26">
        <v>70300</v>
      </c>
      <c r="G34" s="26"/>
      <c r="H34" s="26">
        <v>1600</v>
      </c>
      <c r="I34" s="26"/>
      <c r="J34" s="26">
        <v>23000</v>
      </c>
      <c r="K34" s="26">
        <v>7000</v>
      </c>
      <c r="L34" s="26"/>
      <c r="M34" s="26">
        <f t="shared" si="0"/>
        <v>38700</v>
      </c>
      <c r="N34" s="29"/>
      <c r="O34" s="30"/>
      <c r="P34" s="30"/>
      <c r="Q34" s="25"/>
      <c r="R34" s="23"/>
      <c r="S34" s="25"/>
      <c r="T34" s="25"/>
      <c r="U34" s="31"/>
      <c r="V34" s="391"/>
      <c r="W34" s="25"/>
    </row>
    <row r="35" spans="1:23" x14ac:dyDescent="0.25">
      <c r="B35" s="23">
        <f t="shared" si="1"/>
        <v>26</v>
      </c>
      <c r="C35" s="33">
        <v>1392</v>
      </c>
      <c r="D35" s="25" t="s">
        <v>50</v>
      </c>
      <c r="E35" s="23"/>
      <c r="F35" s="26">
        <v>70300</v>
      </c>
      <c r="G35" s="26"/>
      <c r="H35" s="26">
        <v>80</v>
      </c>
      <c r="I35" s="26"/>
      <c r="J35" s="26">
        <v>23000</v>
      </c>
      <c r="K35" s="26">
        <v>23000</v>
      </c>
      <c r="L35" s="26">
        <v>24220</v>
      </c>
      <c r="M35" s="26">
        <f t="shared" si="0"/>
        <v>0</v>
      </c>
      <c r="N35" s="29"/>
      <c r="O35" s="30"/>
      <c r="P35" s="30"/>
      <c r="Q35" s="25"/>
      <c r="R35" s="23"/>
      <c r="S35" s="25" t="s">
        <v>985</v>
      </c>
      <c r="T35" s="25" t="s">
        <v>986</v>
      </c>
      <c r="U35" s="31"/>
      <c r="V35" s="31"/>
      <c r="W35" s="25"/>
    </row>
    <row r="36" spans="1:23" x14ac:dyDescent="0.25">
      <c r="B36" s="23">
        <f t="shared" si="1"/>
        <v>27</v>
      </c>
      <c r="C36" s="33">
        <v>1717</v>
      </c>
      <c r="D36" s="25" t="s">
        <v>51</v>
      </c>
      <c r="E36" s="23"/>
      <c r="F36" s="26">
        <v>70300</v>
      </c>
      <c r="G36" s="26"/>
      <c r="H36" s="26">
        <v>1680</v>
      </c>
      <c r="I36" s="26"/>
      <c r="J36" s="26">
        <v>23000</v>
      </c>
      <c r="K36" s="26">
        <v>23000</v>
      </c>
      <c r="L36" s="26"/>
      <c r="M36" s="26">
        <f t="shared" si="0"/>
        <v>22620</v>
      </c>
      <c r="N36" s="29"/>
      <c r="O36" s="30"/>
      <c r="P36" s="30"/>
      <c r="Q36" s="25"/>
      <c r="R36" s="23"/>
      <c r="S36" s="25" t="s">
        <v>991</v>
      </c>
      <c r="T36" s="25" t="s">
        <v>987</v>
      </c>
      <c r="U36" s="31"/>
      <c r="V36" s="31"/>
      <c r="W36" s="25"/>
    </row>
    <row r="37" spans="1:23" x14ac:dyDescent="0.25">
      <c r="B37" s="23">
        <f t="shared" si="1"/>
        <v>28</v>
      </c>
      <c r="C37" s="33">
        <v>1857</v>
      </c>
      <c r="D37" s="25" t="s">
        <v>52</v>
      </c>
      <c r="E37" s="23"/>
      <c r="F37" s="26">
        <v>70300</v>
      </c>
      <c r="G37" s="26"/>
      <c r="H37" s="26">
        <v>1600</v>
      </c>
      <c r="I37" s="26"/>
      <c r="J37" s="26">
        <v>23000</v>
      </c>
      <c r="K37" s="26">
        <v>23000</v>
      </c>
      <c r="L37" s="26"/>
      <c r="M37" s="26">
        <f t="shared" si="0"/>
        <v>22700</v>
      </c>
      <c r="N37" s="29"/>
      <c r="O37" s="30"/>
      <c r="P37" s="30"/>
      <c r="Q37" s="25"/>
      <c r="R37" s="23"/>
      <c r="S37" s="25" t="s">
        <v>992</v>
      </c>
      <c r="T37" s="25" t="s">
        <v>993</v>
      </c>
      <c r="U37" s="31"/>
      <c r="V37" s="392"/>
      <c r="W37" s="25"/>
    </row>
    <row r="38" spans="1:23" x14ac:dyDescent="0.25">
      <c r="B38" s="23">
        <f t="shared" si="1"/>
        <v>29</v>
      </c>
      <c r="C38" s="33">
        <v>1648</v>
      </c>
      <c r="D38" s="25" t="s">
        <v>53</v>
      </c>
      <c r="E38" s="23"/>
      <c r="F38" s="26">
        <v>70300</v>
      </c>
      <c r="G38" s="26"/>
      <c r="H38" s="26">
        <v>1600</v>
      </c>
      <c r="I38" s="26"/>
      <c r="J38" s="26">
        <v>23000</v>
      </c>
      <c r="K38" s="26">
        <v>23000</v>
      </c>
      <c r="L38" s="26"/>
      <c r="M38" s="26">
        <f t="shared" si="0"/>
        <v>22700</v>
      </c>
      <c r="N38" s="29"/>
      <c r="O38" s="30"/>
      <c r="P38" s="30"/>
      <c r="Q38" s="25"/>
      <c r="R38" s="23"/>
      <c r="S38" s="25" t="s">
        <v>994</v>
      </c>
      <c r="T38" s="25" t="s">
        <v>995</v>
      </c>
      <c r="U38" s="31"/>
      <c r="V38" s="31"/>
      <c r="W38" s="25"/>
    </row>
    <row r="39" spans="1:23" x14ac:dyDescent="0.25">
      <c r="B39" s="23">
        <f t="shared" si="1"/>
        <v>30</v>
      </c>
      <c r="C39" s="33">
        <v>1847</v>
      </c>
      <c r="D39" s="25" t="s">
        <v>54</v>
      </c>
      <c r="E39" s="23"/>
      <c r="F39" s="26">
        <v>70300</v>
      </c>
      <c r="G39" s="26"/>
      <c r="H39" s="26">
        <v>0</v>
      </c>
      <c r="I39" s="26"/>
      <c r="J39" s="26">
        <v>23000</v>
      </c>
      <c r="K39" s="26">
        <v>23000</v>
      </c>
      <c r="L39" s="26"/>
      <c r="M39" s="26">
        <f t="shared" si="0"/>
        <v>24300</v>
      </c>
      <c r="N39" s="29"/>
      <c r="O39" s="30"/>
      <c r="P39" s="30"/>
      <c r="Q39" s="25"/>
      <c r="R39" s="23"/>
      <c r="S39" s="25" t="s">
        <v>996</v>
      </c>
      <c r="T39" s="25" t="s">
        <v>997</v>
      </c>
      <c r="U39" s="31"/>
      <c r="V39" s="31"/>
      <c r="W39" s="25"/>
    </row>
    <row r="40" spans="1:23" x14ac:dyDescent="0.25">
      <c r="B40" s="23">
        <f t="shared" si="1"/>
        <v>31</v>
      </c>
      <c r="C40" s="102">
        <v>1101</v>
      </c>
      <c r="D40" s="103" t="s">
        <v>55</v>
      </c>
      <c r="E40" s="23"/>
      <c r="F40" s="26">
        <v>70300</v>
      </c>
      <c r="G40" s="26"/>
      <c r="H40" s="26">
        <v>5120</v>
      </c>
      <c r="I40" s="26">
        <v>10000</v>
      </c>
      <c r="J40" s="26">
        <v>23000</v>
      </c>
      <c r="K40" s="26">
        <v>23000</v>
      </c>
      <c r="L40" s="26">
        <v>14300</v>
      </c>
      <c r="M40" s="418">
        <f t="shared" si="0"/>
        <v>-5120</v>
      </c>
      <c r="N40" s="29"/>
      <c r="O40" s="30"/>
      <c r="P40" s="30"/>
      <c r="Q40" s="25"/>
      <c r="R40" s="23"/>
      <c r="S40" s="25" t="s">
        <v>998</v>
      </c>
      <c r="T40" s="25" t="s">
        <v>999</v>
      </c>
      <c r="U40" s="31"/>
      <c r="V40" s="31"/>
      <c r="W40" s="25"/>
    </row>
    <row r="41" spans="1:23" x14ac:dyDescent="0.25">
      <c r="B41" s="23">
        <f t="shared" si="1"/>
        <v>32</v>
      </c>
      <c r="C41" s="33">
        <v>1948</v>
      </c>
      <c r="D41" s="25" t="s">
        <v>56</v>
      </c>
      <c r="E41" s="23"/>
      <c r="F41" s="26">
        <v>70300</v>
      </c>
      <c r="G41" s="26"/>
      <c r="H41" s="26">
        <v>1120</v>
      </c>
      <c r="I41" s="26"/>
      <c r="J41" s="26">
        <v>23000</v>
      </c>
      <c r="K41" s="26">
        <v>23000</v>
      </c>
      <c r="L41" s="26">
        <v>23180</v>
      </c>
      <c r="M41" s="26">
        <f t="shared" si="0"/>
        <v>0</v>
      </c>
      <c r="N41" s="29"/>
      <c r="O41" s="30"/>
      <c r="P41" s="30"/>
      <c r="Q41" s="25"/>
      <c r="R41" s="23"/>
      <c r="S41" s="25" t="s">
        <v>1000</v>
      </c>
      <c r="T41" s="25" t="s">
        <v>1001</v>
      </c>
      <c r="U41" s="31"/>
      <c r="V41" s="31"/>
      <c r="W41" s="25"/>
    </row>
    <row r="42" spans="1:23" x14ac:dyDescent="0.25">
      <c r="B42" s="23">
        <f t="shared" si="1"/>
        <v>33</v>
      </c>
      <c r="C42" s="33">
        <v>1626</v>
      </c>
      <c r="D42" s="25" t="s">
        <v>57</v>
      </c>
      <c r="E42" s="23"/>
      <c r="F42" s="26">
        <v>70300</v>
      </c>
      <c r="G42" s="26"/>
      <c r="H42" s="26">
        <v>2400</v>
      </c>
      <c r="I42" s="26"/>
      <c r="J42" s="26">
        <v>23000</v>
      </c>
      <c r="K42" s="26">
        <v>23000</v>
      </c>
      <c r="L42" s="26">
        <v>24300</v>
      </c>
      <c r="M42" s="418">
        <f t="shared" si="0"/>
        <v>-2400</v>
      </c>
      <c r="N42" s="29"/>
      <c r="O42" s="30"/>
      <c r="P42" s="30"/>
      <c r="Q42" s="25"/>
      <c r="R42" s="23"/>
      <c r="S42" s="25" t="s">
        <v>1004</v>
      </c>
      <c r="T42" s="25" t="s">
        <v>1005</v>
      </c>
      <c r="U42" s="31"/>
      <c r="V42" s="31"/>
      <c r="W42" s="25"/>
    </row>
    <row r="43" spans="1:23" x14ac:dyDescent="0.25">
      <c r="B43" s="23">
        <f t="shared" si="1"/>
        <v>34</v>
      </c>
      <c r="C43" s="33">
        <v>1550</v>
      </c>
      <c r="D43" s="25" t="s">
        <v>58</v>
      </c>
      <c r="E43" s="23"/>
      <c r="F43" s="26">
        <v>70300</v>
      </c>
      <c r="G43" s="26"/>
      <c r="H43" s="26">
        <v>1120</v>
      </c>
      <c r="I43" s="26"/>
      <c r="J43" s="26">
        <v>23000</v>
      </c>
      <c r="K43" s="26">
        <v>23000</v>
      </c>
      <c r="L43" s="26"/>
      <c r="M43" s="26">
        <f t="shared" si="0"/>
        <v>23180</v>
      </c>
      <c r="N43" s="29"/>
      <c r="O43" s="30"/>
      <c r="P43" s="30"/>
      <c r="Q43" s="25"/>
      <c r="R43" s="23"/>
      <c r="S43" s="25" t="s">
        <v>1002</v>
      </c>
      <c r="T43" s="25" t="s">
        <v>1003</v>
      </c>
      <c r="U43" s="31"/>
      <c r="V43" s="31"/>
      <c r="W43" s="25"/>
    </row>
    <row r="44" spans="1:23" x14ac:dyDescent="0.25">
      <c r="B44" s="23">
        <f t="shared" si="1"/>
        <v>35</v>
      </c>
      <c r="C44" s="33">
        <v>1827</v>
      </c>
      <c r="D44" s="25" t="s">
        <v>59</v>
      </c>
      <c r="E44" s="23"/>
      <c r="F44" s="26">
        <v>70300</v>
      </c>
      <c r="G44" s="26"/>
      <c r="H44" s="26">
        <v>1600</v>
      </c>
      <c r="I44" s="26"/>
      <c r="J44" s="26">
        <v>23000</v>
      </c>
      <c r="K44" s="26">
        <v>23000</v>
      </c>
      <c r="L44" s="26">
        <v>24300</v>
      </c>
      <c r="M44" s="418">
        <f t="shared" si="0"/>
        <v>-1600</v>
      </c>
      <c r="N44" s="29"/>
      <c r="O44" s="30"/>
      <c r="P44" s="30"/>
      <c r="Q44" s="25"/>
      <c r="R44" s="23"/>
      <c r="S44" s="25" t="s">
        <v>1006</v>
      </c>
      <c r="T44" s="25" t="s">
        <v>1007</v>
      </c>
      <c r="U44" s="31"/>
      <c r="V44" s="392"/>
      <c r="W44" s="25"/>
    </row>
    <row r="45" spans="1:23" x14ac:dyDescent="0.25">
      <c r="A45" s="445"/>
      <c r="B45" s="23">
        <f t="shared" si="1"/>
        <v>36</v>
      </c>
      <c r="C45" s="38">
        <v>1531</v>
      </c>
      <c r="D45" s="34" t="s">
        <v>60</v>
      </c>
      <c r="E45" s="23"/>
      <c r="F45" s="26">
        <v>70300</v>
      </c>
      <c r="G45" s="26"/>
      <c r="H45" s="26">
        <v>6400</v>
      </c>
      <c r="I45" s="26"/>
      <c r="J45" s="26">
        <f>10000+10000</f>
        <v>20000</v>
      </c>
      <c r="K45" s="26"/>
      <c r="L45" s="26"/>
      <c r="M45" s="26">
        <f t="shared" si="0"/>
        <v>43900</v>
      </c>
      <c r="N45" s="29"/>
      <c r="O45" s="30"/>
      <c r="P45" s="30"/>
      <c r="Q45" s="25"/>
      <c r="R45" s="23"/>
      <c r="S45" s="25" t="s">
        <v>456</v>
      </c>
      <c r="T45" s="25" t="s">
        <v>1015</v>
      </c>
      <c r="U45" s="31"/>
      <c r="V45" s="31"/>
      <c r="W45" s="25"/>
    </row>
    <row r="46" spans="1:23" x14ac:dyDescent="0.25">
      <c r="B46" s="23">
        <f t="shared" si="1"/>
        <v>37</v>
      </c>
      <c r="C46" s="33">
        <v>1942</v>
      </c>
      <c r="D46" s="25" t="s">
        <v>61</v>
      </c>
      <c r="E46" s="23"/>
      <c r="F46" s="26">
        <v>70300</v>
      </c>
      <c r="G46" s="26"/>
      <c r="H46" s="26">
        <v>4080</v>
      </c>
      <c r="I46" s="26"/>
      <c r="J46" s="26">
        <v>23000</v>
      </c>
      <c r="K46" s="26">
        <v>23000</v>
      </c>
      <c r="L46" s="26">
        <v>24300</v>
      </c>
      <c r="M46" s="418">
        <f t="shared" si="0"/>
        <v>-4080</v>
      </c>
      <c r="N46" s="29"/>
      <c r="O46" s="30"/>
      <c r="P46" s="30"/>
      <c r="Q46" s="25"/>
      <c r="R46" s="23"/>
      <c r="S46" s="25" t="s">
        <v>1008</v>
      </c>
      <c r="T46" s="25" t="s">
        <v>1009</v>
      </c>
      <c r="U46" s="31"/>
      <c r="V46" s="31"/>
      <c r="W46" s="25"/>
    </row>
    <row r="47" spans="1:23" x14ac:dyDescent="0.25">
      <c r="A47" s="445"/>
      <c r="B47" s="23">
        <f t="shared" si="1"/>
        <v>38</v>
      </c>
      <c r="C47" s="38">
        <v>2157</v>
      </c>
      <c r="D47" s="34" t="s">
        <v>62</v>
      </c>
      <c r="E47" s="23"/>
      <c r="F47" s="26">
        <v>70300</v>
      </c>
      <c r="G47" s="26"/>
      <c r="H47" s="26">
        <v>400</v>
      </c>
      <c r="I47" s="26">
        <v>40000</v>
      </c>
      <c r="J47" s="26"/>
      <c r="K47" s="26"/>
      <c r="L47" s="26"/>
      <c r="M47" s="26">
        <f t="shared" si="0"/>
        <v>29900</v>
      </c>
      <c r="N47" s="29"/>
      <c r="O47" s="30"/>
      <c r="P47" s="30"/>
      <c r="Q47" s="25"/>
      <c r="R47" s="23"/>
      <c r="S47" s="25" t="s">
        <v>476</v>
      </c>
      <c r="T47" s="25" t="s">
        <v>477</v>
      </c>
      <c r="U47" s="31"/>
      <c r="V47" s="396" t="s">
        <v>1092</v>
      </c>
      <c r="W47" s="395"/>
    </row>
    <row r="48" spans="1:23" x14ac:dyDescent="0.25">
      <c r="B48" s="23">
        <f t="shared" si="1"/>
        <v>39</v>
      </c>
      <c r="C48" s="33">
        <v>1852</v>
      </c>
      <c r="D48" s="25" t="s">
        <v>63</v>
      </c>
      <c r="E48" s="23"/>
      <c r="F48" s="26">
        <v>70300</v>
      </c>
      <c r="G48" s="26"/>
      <c r="H48" s="26">
        <v>3280</v>
      </c>
      <c r="I48" s="26"/>
      <c r="J48" s="26">
        <v>23000</v>
      </c>
      <c r="K48" s="26">
        <v>23000</v>
      </c>
      <c r="L48" s="26">
        <v>24300</v>
      </c>
      <c r="M48" s="418">
        <f t="shared" si="0"/>
        <v>-3280</v>
      </c>
      <c r="N48" s="29"/>
      <c r="O48" s="30"/>
      <c r="P48" s="30"/>
      <c r="Q48" s="25"/>
      <c r="R48" s="23"/>
      <c r="S48" s="25" t="s">
        <v>1010</v>
      </c>
      <c r="T48" s="25" t="s">
        <v>1011</v>
      </c>
      <c r="U48" s="31"/>
      <c r="V48" s="393"/>
      <c r="W48" s="395"/>
    </row>
    <row r="49" spans="1:23" x14ac:dyDescent="0.25">
      <c r="B49" s="23">
        <f t="shared" si="1"/>
        <v>40</v>
      </c>
      <c r="C49" s="33">
        <v>2106</v>
      </c>
      <c r="D49" s="25" t="s">
        <v>64</v>
      </c>
      <c r="E49" s="23"/>
      <c r="F49" s="26">
        <v>70300</v>
      </c>
      <c r="G49" s="26"/>
      <c r="H49" s="26">
        <v>1600</v>
      </c>
      <c r="I49" s="26"/>
      <c r="J49" s="26">
        <f>23000</f>
        <v>23000</v>
      </c>
      <c r="K49" s="26">
        <f>23000</f>
        <v>23000</v>
      </c>
      <c r="L49" s="26">
        <v>24300</v>
      </c>
      <c r="M49" s="418">
        <f t="shared" si="0"/>
        <v>-1600</v>
      </c>
      <c r="N49" s="29"/>
      <c r="O49" s="30"/>
      <c r="P49" s="30"/>
      <c r="Q49" s="25"/>
      <c r="R49" s="23"/>
      <c r="S49" s="25" t="s">
        <v>1083</v>
      </c>
      <c r="T49" s="25" t="s">
        <v>1012</v>
      </c>
      <c r="U49" s="31"/>
      <c r="V49" s="31"/>
      <c r="W49" s="25"/>
    </row>
    <row r="50" spans="1:23" x14ac:dyDescent="0.25">
      <c r="B50" s="23">
        <f t="shared" si="1"/>
        <v>41</v>
      </c>
      <c r="C50" s="33">
        <v>1728</v>
      </c>
      <c r="D50" s="25" t="s">
        <v>65</v>
      </c>
      <c r="E50" s="23"/>
      <c r="F50" s="26">
        <v>70300</v>
      </c>
      <c r="G50" s="26"/>
      <c r="H50" s="26">
        <v>6000</v>
      </c>
      <c r="I50" s="26"/>
      <c r="J50" s="26">
        <v>23000</v>
      </c>
      <c r="K50" s="26">
        <v>23000</v>
      </c>
      <c r="L50" s="26">
        <v>24300</v>
      </c>
      <c r="M50" s="418">
        <f t="shared" si="0"/>
        <v>-6000</v>
      </c>
      <c r="N50" s="29"/>
      <c r="O50" s="30"/>
      <c r="P50" s="30"/>
      <c r="Q50" s="25"/>
      <c r="R50" s="23"/>
      <c r="S50" s="25" t="s">
        <v>1013</v>
      </c>
      <c r="T50" s="25" t="s">
        <v>1014</v>
      </c>
      <c r="U50" s="31"/>
      <c r="V50" s="31"/>
      <c r="W50" s="25"/>
    </row>
    <row r="51" spans="1:23" x14ac:dyDescent="0.25">
      <c r="B51" s="23">
        <f t="shared" si="1"/>
        <v>42</v>
      </c>
      <c r="C51" s="33">
        <v>1945</v>
      </c>
      <c r="D51" s="25" t="s">
        <v>66</v>
      </c>
      <c r="E51" s="23"/>
      <c r="F51" s="26">
        <v>70300</v>
      </c>
      <c r="G51" s="26"/>
      <c r="H51" s="26">
        <v>1600</v>
      </c>
      <c r="I51" s="26"/>
      <c r="J51" s="26">
        <v>23000</v>
      </c>
      <c r="K51" s="26">
        <v>23000</v>
      </c>
      <c r="L51" s="26">
        <v>24300</v>
      </c>
      <c r="M51" s="418">
        <f t="shared" si="0"/>
        <v>-1600</v>
      </c>
      <c r="N51" s="29"/>
      <c r="O51" s="30"/>
      <c r="P51" s="30"/>
      <c r="Q51" s="25"/>
      <c r="R51" s="23"/>
      <c r="S51" s="25" t="s">
        <v>1084</v>
      </c>
      <c r="T51" s="25" t="s">
        <v>1016</v>
      </c>
      <c r="U51" s="31"/>
      <c r="V51" s="31"/>
      <c r="W51" s="25"/>
    </row>
    <row r="52" spans="1:23" x14ac:dyDescent="0.25">
      <c r="A52" s="445"/>
      <c r="B52" s="23">
        <f t="shared" si="1"/>
        <v>43</v>
      </c>
      <c r="C52" s="33">
        <v>2031</v>
      </c>
      <c r="D52" s="25" t="s">
        <v>67</v>
      </c>
      <c r="E52" s="23"/>
      <c r="F52" s="26">
        <v>0</v>
      </c>
      <c r="G52" s="26"/>
      <c r="H52" s="26">
        <v>0</v>
      </c>
      <c r="I52" s="26"/>
      <c r="J52" s="26"/>
      <c r="K52" s="26"/>
      <c r="L52" s="26"/>
      <c r="M52" s="26">
        <f t="shared" si="0"/>
        <v>0</v>
      </c>
      <c r="N52" s="29"/>
      <c r="O52" s="30"/>
      <c r="P52" s="30"/>
      <c r="Q52" s="25"/>
      <c r="R52" s="23"/>
      <c r="S52" s="25" t="s">
        <v>1017</v>
      </c>
      <c r="T52" s="25" t="s">
        <v>1018</v>
      </c>
      <c r="U52" s="31"/>
      <c r="V52" s="31"/>
      <c r="W52" s="25"/>
    </row>
    <row r="53" spans="1:23" x14ac:dyDescent="0.25">
      <c r="B53" s="23">
        <f t="shared" si="1"/>
        <v>44</v>
      </c>
      <c r="C53" s="33">
        <v>1716</v>
      </c>
      <c r="D53" s="25" t="s">
        <v>68</v>
      </c>
      <c r="E53" s="23"/>
      <c r="F53" s="26">
        <v>70300</v>
      </c>
      <c r="G53" s="26"/>
      <c r="H53" s="26">
        <v>4560</v>
      </c>
      <c r="I53" s="26"/>
      <c r="J53" s="26">
        <v>23000</v>
      </c>
      <c r="K53" s="26">
        <v>23000</v>
      </c>
      <c r="L53" s="26"/>
      <c r="M53" s="26">
        <f t="shared" si="0"/>
        <v>19740</v>
      </c>
      <c r="N53" s="29"/>
      <c r="O53" s="30"/>
      <c r="P53" s="30"/>
      <c r="Q53" s="25"/>
      <c r="R53" s="23"/>
      <c r="S53" s="25" t="s">
        <v>1019</v>
      </c>
      <c r="T53" s="25" t="s">
        <v>1020</v>
      </c>
      <c r="U53" s="31"/>
      <c r="V53" s="392"/>
      <c r="W53" s="390"/>
    </row>
    <row r="54" spans="1:23" x14ac:dyDescent="0.25">
      <c r="B54" s="23">
        <f t="shared" si="1"/>
        <v>45</v>
      </c>
      <c r="C54" s="33">
        <v>1855</v>
      </c>
      <c r="D54" s="25" t="s">
        <v>69</v>
      </c>
      <c r="E54" s="23"/>
      <c r="F54" s="26">
        <v>70300</v>
      </c>
      <c r="G54" s="26"/>
      <c r="H54" s="26">
        <v>0</v>
      </c>
      <c r="I54" s="26"/>
      <c r="J54" s="26">
        <v>23000</v>
      </c>
      <c r="K54" s="26">
        <v>23000</v>
      </c>
      <c r="L54" s="26">
        <v>24300</v>
      </c>
      <c r="M54" s="26">
        <f t="shared" si="0"/>
        <v>0</v>
      </c>
      <c r="N54" s="29"/>
      <c r="O54" s="30"/>
      <c r="P54" s="30"/>
      <c r="Q54" s="25"/>
      <c r="R54" s="23"/>
      <c r="S54" s="25" t="s">
        <v>1021</v>
      </c>
      <c r="T54" s="25" t="s">
        <v>1022</v>
      </c>
      <c r="U54" s="31"/>
      <c r="V54" s="31"/>
      <c r="W54" s="25"/>
    </row>
    <row r="55" spans="1:23" x14ac:dyDescent="0.25">
      <c r="B55" s="23">
        <f t="shared" si="1"/>
        <v>46</v>
      </c>
      <c r="C55" s="33">
        <v>1950</v>
      </c>
      <c r="D55" s="25" t="s">
        <v>70</v>
      </c>
      <c r="E55" s="23"/>
      <c r="F55" s="26">
        <v>70300</v>
      </c>
      <c r="G55" s="26"/>
      <c r="H55" s="26">
        <v>1600</v>
      </c>
      <c r="I55" s="26"/>
      <c r="J55" s="26">
        <v>23000</v>
      </c>
      <c r="K55" s="26">
        <v>23000</v>
      </c>
      <c r="L55" s="26"/>
      <c r="M55" s="26">
        <f t="shared" si="0"/>
        <v>22700</v>
      </c>
      <c r="N55" s="29"/>
      <c r="O55" s="30"/>
      <c r="P55" s="30"/>
      <c r="Q55" s="25"/>
      <c r="R55" s="23"/>
      <c r="S55" s="25" t="s">
        <v>1023</v>
      </c>
      <c r="T55" s="25" t="s">
        <v>1024</v>
      </c>
      <c r="U55" s="31"/>
      <c r="V55" s="31"/>
      <c r="W55" s="25"/>
    </row>
    <row r="56" spans="1:23" ht="15" customHeight="1" x14ac:dyDescent="0.25">
      <c r="B56" s="23">
        <f t="shared" si="1"/>
        <v>47</v>
      </c>
      <c r="C56" s="33">
        <v>1601</v>
      </c>
      <c r="D56" s="25" t="s">
        <v>71</v>
      </c>
      <c r="E56" s="23"/>
      <c r="F56" s="26">
        <v>70300</v>
      </c>
      <c r="G56" s="26"/>
      <c r="H56" s="26">
        <v>1600</v>
      </c>
      <c r="I56" s="26"/>
      <c r="J56" s="26">
        <f>23000</f>
        <v>23000</v>
      </c>
      <c r="K56" s="26">
        <f>23000</f>
        <v>23000</v>
      </c>
      <c r="L56" s="26">
        <f>24300</f>
        <v>24300</v>
      </c>
      <c r="M56" s="418">
        <f t="shared" si="0"/>
        <v>-1600</v>
      </c>
      <c r="N56" s="29"/>
      <c r="O56" s="30"/>
      <c r="P56" s="30"/>
      <c r="Q56" s="25"/>
      <c r="R56" s="23"/>
      <c r="S56" s="25" t="s">
        <v>1025</v>
      </c>
      <c r="T56" s="25" t="s">
        <v>1026</v>
      </c>
      <c r="U56" s="31"/>
      <c r="V56" s="394"/>
      <c r="W56" s="25"/>
    </row>
    <row r="57" spans="1:23" ht="15" customHeight="1" x14ac:dyDescent="0.25">
      <c r="B57" s="23">
        <f t="shared" si="1"/>
        <v>48</v>
      </c>
      <c r="C57" s="42">
        <v>1915</v>
      </c>
      <c r="D57" s="43" t="s">
        <v>118</v>
      </c>
      <c r="E57" s="23"/>
      <c r="F57" s="26">
        <v>70300</v>
      </c>
      <c r="G57" s="26"/>
      <c r="H57" s="26">
        <v>0</v>
      </c>
      <c r="I57" s="26"/>
      <c r="J57" s="26">
        <v>23000</v>
      </c>
      <c r="K57" s="26">
        <v>23000</v>
      </c>
      <c r="L57" s="26">
        <v>24300</v>
      </c>
      <c r="M57" s="26">
        <f t="shared" si="0"/>
        <v>0</v>
      </c>
      <c r="N57" s="29"/>
      <c r="O57" s="30"/>
      <c r="P57" s="30"/>
      <c r="Q57" s="25"/>
      <c r="R57" s="23"/>
      <c r="S57" s="25" t="s">
        <v>1086</v>
      </c>
      <c r="T57" s="25" t="s">
        <v>1087</v>
      </c>
      <c r="U57" s="31"/>
      <c r="V57" s="394"/>
      <c r="W57" s="25"/>
    </row>
    <row r="58" spans="1:23" x14ac:dyDescent="0.25">
      <c r="B58" s="23">
        <f t="shared" si="1"/>
        <v>49</v>
      </c>
      <c r="C58" s="33">
        <v>1706</v>
      </c>
      <c r="D58" s="25" t="s">
        <v>72</v>
      </c>
      <c r="E58" s="23"/>
      <c r="F58" s="26">
        <v>70300</v>
      </c>
      <c r="G58" s="26"/>
      <c r="H58" s="26">
        <v>1600</v>
      </c>
      <c r="I58" s="26"/>
      <c r="J58" s="26">
        <f>2500+2500+5000+5000+2500+5000+500</f>
        <v>23000</v>
      </c>
      <c r="K58" s="26">
        <f>2000+7000+8300+2000+2000</f>
        <v>21300</v>
      </c>
      <c r="L58" s="26"/>
      <c r="M58" s="26">
        <f t="shared" si="0"/>
        <v>24400</v>
      </c>
      <c r="N58" s="29"/>
      <c r="O58" s="30"/>
      <c r="P58" s="30"/>
      <c r="Q58" s="25"/>
      <c r="R58" s="23"/>
      <c r="S58" s="25" t="s">
        <v>1027</v>
      </c>
      <c r="T58" s="25" t="s">
        <v>1028</v>
      </c>
      <c r="U58" s="31"/>
      <c r="V58" s="394"/>
      <c r="W58" s="25"/>
    </row>
    <row r="59" spans="1:23" x14ac:dyDescent="0.25">
      <c r="B59" s="23">
        <f t="shared" si="1"/>
        <v>50</v>
      </c>
      <c r="C59" s="33">
        <v>1127</v>
      </c>
      <c r="D59" s="25" t="s">
        <v>73</v>
      </c>
      <c r="E59" s="23"/>
      <c r="F59" s="26">
        <v>70300</v>
      </c>
      <c r="G59" s="26"/>
      <c r="H59" s="26">
        <v>1040</v>
      </c>
      <c r="I59" s="26"/>
      <c r="J59" s="26">
        <v>23000</v>
      </c>
      <c r="K59" s="26">
        <v>23000</v>
      </c>
      <c r="L59" s="26"/>
      <c r="M59" s="26">
        <f t="shared" si="0"/>
        <v>23260</v>
      </c>
      <c r="N59" s="29"/>
      <c r="O59" s="30"/>
      <c r="P59" s="30"/>
      <c r="Q59" s="25"/>
      <c r="R59" s="23"/>
      <c r="S59" s="25" t="s">
        <v>1029</v>
      </c>
      <c r="T59" s="25" t="s">
        <v>1030</v>
      </c>
      <c r="U59" s="31"/>
      <c r="V59" s="31"/>
      <c r="W59" s="25"/>
    </row>
    <row r="60" spans="1:23" x14ac:dyDescent="0.25">
      <c r="B60" s="23">
        <f t="shared" si="1"/>
        <v>51</v>
      </c>
      <c r="C60" s="33">
        <v>1451</v>
      </c>
      <c r="D60" s="25" t="s">
        <v>74</v>
      </c>
      <c r="E60" s="23"/>
      <c r="F60" s="26">
        <v>70300</v>
      </c>
      <c r="G60" s="26"/>
      <c r="H60" s="26">
        <v>0</v>
      </c>
      <c r="I60" s="26"/>
      <c r="J60" s="26">
        <f>23000</f>
        <v>23000</v>
      </c>
      <c r="K60" s="26">
        <f>23000</f>
        <v>23000</v>
      </c>
      <c r="L60" s="26">
        <f>24300</f>
        <v>24300</v>
      </c>
      <c r="M60" s="26">
        <f t="shared" si="0"/>
        <v>0</v>
      </c>
      <c r="N60" s="29"/>
      <c r="O60" s="30"/>
      <c r="P60" s="30"/>
      <c r="Q60" s="25"/>
      <c r="R60" s="23"/>
      <c r="S60" s="25" t="s">
        <v>1031</v>
      </c>
      <c r="T60" s="25" t="s">
        <v>1032</v>
      </c>
      <c r="U60" s="31"/>
      <c r="V60" s="31"/>
      <c r="W60" s="25"/>
    </row>
    <row r="61" spans="1:23" x14ac:dyDescent="0.25">
      <c r="B61" s="23">
        <f t="shared" si="1"/>
        <v>52</v>
      </c>
      <c r="C61" s="33">
        <v>1715</v>
      </c>
      <c r="D61" s="25" t="s">
        <v>75</v>
      </c>
      <c r="E61" s="23"/>
      <c r="F61" s="26">
        <v>70300</v>
      </c>
      <c r="G61" s="26"/>
      <c r="H61" s="26">
        <v>1600</v>
      </c>
      <c r="I61" s="26"/>
      <c r="J61" s="26">
        <v>23000</v>
      </c>
      <c r="K61" s="26">
        <v>23000</v>
      </c>
      <c r="L61" s="26"/>
      <c r="M61" s="26">
        <f t="shared" si="0"/>
        <v>22700</v>
      </c>
      <c r="N61" s="29"/>
      <c r="O61" s="30"/>
      <c r="P61" s="30"/>
      <c r="Q61" s="25"/>
      <c r="R61" s="23"/>
      <c r="S61" s="25" t="s">
        <v>1033</v>
      </c>
      <c r="T61" s="25" t="s">
        <v>1034</v>
      </c>
      <c r="U61" s="31"/>
      <c r="V61" s="31"/>
      <c r="W61" s="25"/>
    </row>
    <row r="62" spans="1:23" x14ac:dyDescent="0.25">
      <c r="B62" s="23">
        <f t="shared" si="1"/>
        <v>53</v>
      </c>
      <c r="C62" s="33">
        <v>1621</v>
      </c>
      <c r="D62" s="25" t="s">
        <v>76</v>
      </c>
      <c r="E62" s="23"/>
      <c r="F62" s="26">
        <v>70300</v>
      </c>
      <c r="G62" s="26"/>
      <c r="H62" s="26">
        <v>3200</v>
      </c>
      <c r="I62" s="26"/>
      <c r="J62" s="26">
        <v>23000</v>
      </c>
      <c r="K62" s="26">
        <v>23000</v>
      </c>
      <c r="L62" s="26"/>
      <c r="M62" s="26">
        <f t="shared" si="0"/>
        <v>21100</v>
      </c>
      <c r="N62" s="29"/>
      <c r="O62" s="30"/>
      <c r="P62" s="30"/>
      <c r="Q62" s="25"/>
      <c r="R62" s="23"/>
      <c r="S62" s="25" t="s">
        <v>1040</v>
      </c>
      <c r="T62" s="25" t="s">
        <v>1035</v>
      </c>
      <c r="U62" s="31"/>
      <c r="V62" s="31"/>
      <c r="W62" s="25"/>
    </row>
    <row r="63" spans="1:23" x14ac:dyDescent="0.25">
      <c r="B63" s="23">
        <f t="shared" si="1"/>
        <v>54</v>
      </c>
      <c r="C63" s="33">
        <v>1122</v>
      </c>
      <c r="D63" s="25" t="s">
        <v>77</v>
      </c>
      <c r="E63" s="23"/>
      <c r="F63" s="26">
        <v>70300</v>
      </c>
      <c r="G63" s="26"/>
      <c r="H63" s="26">
        <v>1600</v>
      </c>
      <c r="I63" s="26"/>
      <c r="J63" s="26">
        <v>23000</v>
      </c>
      <c r="K63" s="26">
        <v>23000</v>
      </c>
      <c r="L63" s="26">
        <v>24300</v>
      </c>
      <c r="M63" s="418">
        <f t="shared" si="0"/>
        <v>-1600</v>
      </c>
      <c r="N63" s="29"/>
      <c r="O63" s="30"/>
      <c r="P63" s="30"/>
      <c r="Q63" s="25"/>
      <c r="R63" s="23"/>
      <c r="S63" s="25" t="s">
        <v>1036</v>
      </c>
      <c r="T63" s="25" t="s">
        <v>1041</v>
      </c>
      <c r="U63" s="31"/>
      <c r="V63" s="31"/>
      <c r="W63" s="25"/>
    </row>
    <row r="64" spans="1:23" x14ac:dyDescent="0.25">
      <c r="B64" s="23">
        <f t="shared" si="1"/>
        <v>55</v>
      </c>
      <c r="C64" s="33">
        <v>1523</v>
      </c>
      <c r="D64" s="25" t="s">
        <v>78</v>
      </c>
      <c r="E64" s="23"/>
      <c r="F64" s="26">
        <v>70300</v>
      </c>
      <c r="G64" s="26"/>
      <c r="H64" s="26">
        <v>1040</v>
      </c>
      <c r="I64" s="26"/>
      <c r="J64" s="26">
        <v>23000</v>
      </c>
      <c r="K64" s="26">
        <v>23000</v>
      </c>
      <c r="L64" s="26">
        <v>23260</v>
      </c>
      <c r="M64" s="26">
        <f t="shared" si="0"/>
        <v>0</v>
      </c>
      <c r="N64" s="29"/>
      <c r="O64" s="30"/>
      <c r="P64" s="30"/>
      <c r="Q64" s="25"/>
      <c r="R64" s="23"/>
      <c r="S64" s="25" t="s">
        <v>1042</v>
      </c>
      <c r="T64" s="25" t="s">
        <v>555</v>
      </c>
      <c r="U64" s="31"/>
      <c r="V64" s="31"/>
      <c r="W64" s="25"/>
    </row>
    <row r="65" spans="1:23" x14ac:dyDescent="0.25">
      <c r="B65" s="23">
        <f t="shared" si="1"/>
        <v>56</v>
      </c>
      <c r="C65" s="33">
        <v>820</v>
      </c>
      <c r="D65" s="25" t="s">
        <v>79</v>
      </c>
      <c r="E65" s="23"/>
      <c r="F65" s="26">
        <v>70300</v>
      </c>
      <c r="G65" s="26"/>
      <c r="H65" s="26">
        <v>1440</v>
      </c>
      <c r="I65" s="26"/>
      <c r="J65" s="26">
        <v>23000</v>
      </c>
      <c r="K65" s="26">
        <v>23000</v>
      </c>
      <c r="L65" s="26"/>
      <c r="M65" s="26">
        <f t="shared" si="0"/>
        <v>22860</v>
      </c>
      <c r="N65" s="29"/>
      <c r="O65" s="30"/>
      <c r="P65" s="30"/>
      <c r="Q65" s="25"/>
      <c r="R65" s="23"/>
      <c r="S65" s="25" t="s">
        <v>1043</v>
      </c>
      <c r="T65" s="25" t="s">
        <v>1037</v>
      </c>
      <c r="U65" s="31"/>
      <c r="V65" s="31"/>
      <c r="W65" s="25"/>
    </row>
    <row r="66" spans="1:23" x14ac:dyDescent="0.25">
      <c r="B66" s="23">
        <f t="shared" si="1"/>
        <v>57</v>
      </c>
      <c r="C66" s="33">
        <v>1833</v>
      </c>
      <c r="D66" s="25" t="s">
        <v>80</v>
      </c>
      <c r="E66" s="23"/>
      <c r="F66" s="26">
        <v>70300</v>
      </c>
      <c r="G66" s="26"/>
      <c r="H66" s="26">
        <v>1600</v>
      </c>
      <c r="I66" s="26"/>
      <c r="J66" s="26">
        <v>23000</v>
      </c>
      <c r="K66" s="26">
        <v>23000</v>
      </c>
      <c r="L66" s="26"/>
      <c r="M66" s="26">
        <f t="shared" si="0"/>
        <v>22700</v>
      </c>
      <c r="N66" s="29"/>
      <c r="O66" s="30"/>
      <c r="P66" s="30"/>
      <c r="Q66" s="25"/>
      <c r="R66" s="23"/>
      <c r="S66" s="25" t="s">
        <v>1038</v>
      </c>
      <c r="T66" s="25" t="s">
        <v>1039</v>
      </c>
      <c r="U66" s="31"/>
      <c r="V66" s="31"/>
      <c r="W66" s="25"/>
    </row>
    <row r="67" spans="1:23" x14ac:dyDescent="0.25">
      <c r="B67" s="23">
        <f t="shared" si="1"/>
        <v>58</v>
      </c>
      <c r="C67" s="397">
        <v>1707</v>
      </c>
      <c r="D67" s="398" t="s">
        <v>81</v>
      </c>
      <c r="E67" s="23"/>
      <c r="F67" s="26">
        <v>70300</v>
      </c>
      <c r="G67" s="26"/>
      <c r="H67" s="26">
        <v>0</v>
      </c>
      <c r="I67" s="26"/>
      <c r="J67" s="26">
        <v>23000</v>
      </c>
      <c r="K67" s="26">
        <v>23000</v>
      </c>
      <c r="L67" s="26"/>
      <c r="M67" s="26">
        <f t="shared" si="0"/>
        <v>24300</v>
      </c>
      <c r="N67" s="29"/>
      <c r="O67" s="30"/>
      <c r="P67" s="30"/>
      <c r="Q67" s="25"/>
      <c r="R67" s="23"/>
      <c r="S67" s="25" t="s">
        <v>579</v>
      </c>
      <c r="T67" s="25" t="s">
        <v>580</v>
      </c>
      <c r="U67" s="31"/>
      <c r="V67" s="391" t="s">
        <v>1094</v>
      </c>
      <c r="W67" s="25"/>
    </row>
    <row r="68" spans="1:23" x14ac:dyDescent="0.25">
      <c r="B68" s="23">
        <f t="shared" si="1"/>
        <v>59</v>
      </c>
      <c r="C68" s="33">
        <v>1944</v>
      </c>
      <c r="D68" s="25" t="s">
        <v>82</v>
      </c>
      <c r="E68" s="32"/>
      <c r="F68" s="26">
        <v>70300</v>
      </c>
      <c r="G68" s="26"/>
      <c r="H68" s="26">
        <v>2960</v>
      </c>
      <c r="I68" s="26"/>
      <c r="J68" s="26">
        <v>23000</v>
      </c>
      <c r="K68" s="26">
        <v>23000</v>
      </c>
      <c r="L68" s="26"/>
      <c r="M68" s="26">
        <f t="shared" si="0"/>
        <v>21340</v>
      </c>
      <c r="N68" s="29"/>
      <c r="O68" s="30"/>
      <c r="P68" s="30"/>
      <c r="Q68" s="25"/>
      <c r="R68" s="23"/>
      <c r="S68" s="25" t="s">
        <v>1044</v>
      </c>
      <c r="T68" s="25" t="s">
        <v>1045</v>
      </c>
      <c r="U68" s="31"/>
      <c r="V68" s="392"/>
      <c r="W68" s="25"/>
    </row>
    <row r="69" spans="1:23" x14ac:dyDescent="0.25">
      <c r="A69" s="445"/>
      <c r="B69" s="23">
        <f t="shared" si="1"/>
        <v>60</v>
      </c>
      <c r="C69" s="102">
        <v>2141</v>
      </c>
      <c r="D69" s="103" t="s">
        <v>83</v>
      </c>
      <c r="E69" s="23"/>
      <c r="F69" s="26">
        <v>70300</v>
      </c>
      <c r="G69" s="26"/>
      <c r="H69" s="26">
        <v>4000</v>
      </c>
      <c r="I69" s="26"/>
      <c r="J69" s="26"/>
      <c r="K69" s="26"/>
      <c r="L69" s="26"/>
      <c r="M69" s="26">
        <f t="shared" si="0"/>
        <v>66300</v>
      </c>
      <c r="N69" s="29"/>
      <c r="O69" s="30"/>
      <c r="P69" s="30"/>
      <c r="Q69" s="25"/>
      <c r="R69" s="23"/>
      <c r="S69" s="25" t="s">
        <v>603</v>
      </c>
      <c r="T69" s="25" t="s">
        <v>604</v>
      </c>
      <c r="U69" s="31"/>
      <c r="V69" s="391" t="s">
        <v>1093</v>
      </c>
      <c r="W69" s="25"/>
    </row>
    <row r="70" spans="1:23" x14ac:dyDescent="0.25">
      <c r="A70" s="445"/>
      <c r="B70" s="23">
        <f t="shared" si="1"/>
        <v>61</v>
      </c>
      <c r="C70" s="102">
        <v>2125</v>
      </c>
      <c r="D70" s="103" t="s">
        <v>84</v>
      </c>
      <c r="E70" s="23"/>
      <c r="F70" s="26">
        <v>70300</v>
      </c>
      <c r="G70" s="26"/>
      <c r="H70" s="26">
        <v>1600</v>
      </c>
      <c r="I70" s="26"/>
      <c r="J70" s="26"/>
      <c r="K70" s="26"/>
      <c r="L70" s="26"/>
      <c r="M70" s="26">
        <f t="shared" si="0"/>
        <v>68700</v>
      </c>
      <c r="N70" s="29"/>
      <c r="O70" s="30"/>
      <c r="P70" s="30"/>
      <c r="Q70" s="25"/>
      <c r="R70" s="23"/>
      <c r="S70" s="25" t="s">
        <v>614</v>
      </c>
      <c r="T70" s="25" t="s">
        <v>615</v>
      </c>
      <c r="U70" s="31"/>
      <c r="V70" s="391" t="s">
        <v>1095</v>
      </c>
      <c r="W70" s="25"/>
    </row>
    <row r="71" spans="1:23" x14ac:dyDescent="0.25">
      <c r="B71" s="23">
        <f t="shared" si="1"/>
        <v>62</v>
      </c>
      <c r="C71" s="33">
        <v>2053</v>
      </c>
      <c r="D71" s="25" t="s">
        <v>85</v>
      </c>
      <c r="E71" s="23"/>
      <c r="F71" s="26">
        <v>70300</v>
      </c>
      <c r="G71" s="26"/>
      <c r="H71" s="26">
        <v>0</v>
      </c>
      <c r="I71" s="26"/>
      <c r="J71" s="26">
        <f>23000</f>
        <v>23000</v>
      </c>
      <c r="K71" s="26">
        <f>7000</f>
        <v>7000</v>
      </c>
      <c r="L71" s="26"/>
      <c r="M71" s="26">
        <f t="shared" si="0"/>
        <v>40300</v>
      </c>
      <c r="N71" s="29"/>
      <c r="O71" s="30"/>
      <c r="P71" s="30"/>
      <c r="Q71" s="25"/>
      <c r="R71" s="23"/>
      <c r="S71" s="25" t="s">
        <v>1046</v>
      </c>
      <c r="T71" s="25" t="s">
        <v>1047</v>
      </c>
      <c r="U71" s="31"/>
      <c r="V71" s="31"/>
      <c r="W71" s="25"/>
    </row>
    <row r="72" spans="1:23" x14ac:dyDescent="0.25">
      <c r="A72" s="445"/>
      <c r="B72" s="23">
        <f t="shared" si="1"/>
        <v>63</v>
      </c>
      <c r="C72" s="33">
        <v>2000</v>
      </c>
      <c r="D72" s="25" t="s">
        <v>86</v>
      </c>
      <c r="E72" s="23"/>
      <c r="F72" s="26">
        <v>70300</v>
      </c>
      <c r="G72" s="26"/>
      <c r="H72" s="26">
        <v>1600</v>
      </c>
      <c r="I72" s="26"/>
      <c r="J72" s="26">
        <v>23000</v>
      </c>
      <c r="K72" s="26">
        <v>23000</v>
      </c>
      <c r="L72" s="26">
        <v>22700</v>
      </c>
      <c r="M72" s="26">
        <f t="shared" si="0"/>
        <v>0</v>
      </c>
      <c r="N72" s="29"/>
      <c r="O72" s="30"/>
      <c r="P72" s="30"/>
      <c r="Q72" s="25"/>
      <c r="R72" s="23"/>
      <c r="S72" s="25" t="s">
        <v>1052</v>
      </c>
      <c r="T72" s="25" t="s">
        <v>1051</v>
      </c>
      <c r="U72" s="31"/>
      <c r="V72" s="31"/>
      <c r="W72" s="25"/>
    </row>
    <row r="73" spans="1:23" x14ac:dyDescent="0.25">
      <c r="B73" s="23">
        <f t="shared" si="1"/>
        <v>64</v>
      </c>
      <c r="C73" s="33">
        <v>2137</v>
      </c>
      <c r="D73" s="25" t="s">
        <v>87</v>
      </c>
      <c r="E73" s="23"/>
      <c r="F73" s="26">
        <v>70300</v>
      </c>
      <c r="G73" s="26"/>
      <c r="H73" s="26">
        <v>1600</v>
      </c>
      <c r="I73" s="26"/>
      <c r="J73" s="26">
        <v>23000</v>
      </c>
      <c r="K73" s="26">
        <v>23000</v>
      </c>
      <c r="L73" s="26"/>
      <c r="M73" s="26">
        <f t="shared" si="0"/>
        <v>22700</v>
      </c>
      <c r="N73" s="29"/>
      <c r="O73" s="30"/>
      <c r="P73" s="30"/>
      <c r="Q73" s="25"/>
      <c r="R73" s="23"/>
      <c r="S73" s="25" t="s">
        <v>1048</v>
      </c>
      <c r="T73" s="25" t="s">
        <v>1049</v>
      </c>
      <c r="U73" s="31"/>
      <c r="V73" s="31"/>
      <c r="W73" s="25"/>
    </row>
    <row r="74" spans="1:23" x14ac:dyDescent="0.25">
      <c r="B74" s="23">
        <f t="shared" si="1"/>
        <v>65</v>
      </c>
      <c r="C74" s="33">
        <v>1713</v>
      </c>
      <c r="D74" s="25" t="s">
        <v>88</v>
      </c>
      <c r="E74" s="23"/>
      <c r="F74" s="26">
        <v>70300</v>
      </c>
      <c r="G74" s="26"/>
      <c r="H74" s="26">
        <v>2480</v>
      </c>
      <c r="I74" s="26"/>
      <c r="J74" s="26">
        <v>23000</v>
      </c>
      <c r="K74" s="26">
        <v>23000</v>
      </c>
      <c r="L74" s="26"/>
      <c r="M74" s="26">
        <f t="shared" si="0"/>
        <v>21820</v>
      </c>
      <c r="N74" s="29"/>
      <c r="O74" s="30"/>
      <c r="P74" s="30"/>
      <c r="Q74" s="25"/>
      <c r="R74" s="23"/>
      <c r="S74" s="25" t="s">
        <v>1053</v>
      </c>
      <c r="T74" s="25" t="s">
        <v>1050</v>
      </c>
      <c r="U74" s="31"/>
      <c r="V74" s="31"/>
      <c r="W74" s="25"/>
    </row>
    <row r="75" spans="1:23" x14ac:dyDescent="0.25">
      <c r="B75" s="23">
        <f t="shared" si="1"/>
        <v>66</v>
      </c>
      <c r="C75" s="33">
        <v>1433</v>
      </c>
      <c r="D75" s="25" t="s">
        <v>89</v>
      </c>
      <c r="E75" s="23"/>
      <c r="F75" s="26">
        <v>70300</v>
      </c>
      <c r="G75" s="26"/>
      <c r="H75" s="26">
        <v>880</v>
      </c>
      <c r="I75" s="26"/>
      <c r="J75" s="26">
        <v>23000</v>
      </c>
      <c r="K75" s="26">
        <v>23000</v>
      </c>
      <c r="L75" s="26"/>
      <c r="M75" s="26">
        <f t="shared" si="0"/>
        <v>23420</v>
      </c>
      <c r="N75" s="29"/>
      <c r="O75" s="30"/>
      <c r="P75" s="30"/>
      <c r="Q75" s="25"/>
      <c r="R75" s="23"/>
      <c r="S75" s="25" t="s">
        <v>1062</v>
      </c>
      <c r="T75" s="25" t="s">
        <v>1054</v>
      </c>
      <c r="U75" s="31"/>
      <c r="V75" s="31"/>
      <c r="W75" s="25"/>
    </row>
    <row r="76" spans="1:23" x14ac:dyDescent="0.25">
      <c r="B76" s="23">
        <f t="shared" si="1"/>
        <v>67</v>
      </c>
      <c r="C76" s="33">
        <v>1527</v>
      </c>
      <c r="D76" s="25" t="s">
        <v>90</v>
      </c>
      <c r="E76" s="23"/>
      <c r="F76" s="26">
        <v>70300</v>
      </c>
      <c r="G76" s="26"/>
      <c r="H76" s="26">
        <v>0</v>
      </c>
      <c r="I76" s="26"/>
      <c r="J76" s="26">
        <v>23000</v>
      </c>
      <c r="K76" s="26">
        <v>23000</v>
      </c>
      <c r="L76" s="26"/>
      <c r="M76" s="26">
        <f t="shared" ref="M76:M96" si="2">F76-G76-H76-I76-J76-K76-L76</f>
        <v>24300</v>
      </c>
      <c r="N76" s="29"/>
      <c r="O76" s="30"/>
      <c r="P76" s="30"/>
      <c r="Q76" s="25"/>
      <c r="R76" s="23"/>
      <c r="S76" s="25" t="s">
        <v>1055</v>
      </c>
      <c r="T76" s="25" t="s">
        <v>1056</v>
      </c>
      <c r="U76" s="31"/>
      <c r="V76" s="31"/>
      <c r="W76" s="25"/>
    </row>
    <row r="77" spans="1:23" x14ac:dyDescent="0.25">
      <c r="B77" s="23">
        <f t="shared" si="1"/>
        <v>68</v>
      </c>
      <c r="C77" s="33">
        <v>1613</v>
      </c>
      <c r="D77" s="25" t="s">
        <v>91</v>
      </c>
      <c r="E77" s="23"/>
      <c r="F77" s="26">
        <v>70300</v>
      </c>
      <c r="G77" s="26"/>
      <c r="H77" s="26">
        <v>1600</v>
      </c>
      <c r="I77" s="26"/>
      <c r="J77" s="26">
        <v>23000</v>
      </c>
      <c r="K77" s="26">
        <v>23000</v>
      </c>
      <c r="L77" s="26"/>
      <c r="M77" s="26">
        <f t="shared" si="2"/>
        <v>22700</v>
      </c>
      <c r="N77" s="29"/>
      <c r="O77" s="30"/>
      <c r="P77" s="30"/>
      <c r="Q77" s="25"/>
      <c r="R77" s="23"/>
      <c r="S77" s="25" t="s">
        <v>854</v>
      </c>
      <c r="T77" s="25" t="s">
        <v>855</v>
      </c>
      <c r="U77" s="31"/>
      <c r="V77" s="31"/>
      <c r="W77" s="25"/>
    </row>
    <row r="78" spans="1:23" x14ac:dyDescent="0.25">
      <c r="A78" s="445"/>
      <c r="B78" s="23">
        <f t="shared" si="1"/>
        <v>69</v>
      </c>
      <c r="C78" s="38">
        <v>1580</v>
      </c>
      <c r="D78" s="34" t="s">
        <v>92</v>
      </c>
      <c r="E78" s="23"/>
      <c r="F78" s="26">
        <v>70300</v>
      </c>
      <c r="G78" s="26"/>
      <c r="H78" s="26">
        <v>400</v>
      </c>
      <c r="I78" s="26"/>
      <c r="J78" s="26"/>
      <c r="K78" s="26"/>
      <c r="L78" s="26"/>
      <c r="M78" s="26">
        <f t="shared" si="2"/>
        <v>69900</v>
      </c>
      <c r="N78" s="29"/>
      <c r="O78" s="30"/>
      <c r="P78" s="30"/>
      <c r="Q78" s="25"/>
      <c r="R78" s="23"/>
      <c r="S78" s="25" t="s">
        <v>1057</v>
      </c>
      <c r="T78" s="25" t="s">
        <v>1058</v>
      </c>
      <c r="U78" s="31"/>
      <c r="V78" s="392"/>
      <c r="W78" s="390"/>
    </row>
    <row r="79" spans="1:23" x14ac:dyDescent="0.25">
      <c r="B79" s="23">
        <f t="shared" si="1"/>
        <v>70</v>
      </c>
      <c r="C79" s="40"/>
      <c r="D79" s="41" t="s">
        <v>115</v>
      </c>
      <c r="E79" s="23"/>
      <c r="F79" s="26">
        <v>70300</v>
      </c>
      <c r="G79" s="26"/>
      <c r="H79" s="26">
        <v>0</v>
      </c>
      <c r="I79" s="26"/>
      <c r="J79" s="26">
        <v>23000</v>
      </c>
      <c r="K79" s="26">
        <v>23000</v>
      </c>
      <c r="L79" s="26"/>
      <c r="M79" s="26">
        <f t="shared" si="2"/>
        <v>24300</v>
      </c>
      <c r="N79" s="29"/>
      <c r="O79" s="30"/>
      <c r="P79" s="30"/>
      <c r="Q79" s="25"/>
      <c r="R79" s="23"/>
      <c r="S79" s="25"/>
      <c r="T79" s="25" t="s">
        <v>1088</v>
      </c>
      <c r="U79" s="31"/>
      <c r="V79" s="392"/>
      <c r="W79" s="390"/>
    </row>
    <row r="80" spans="1:23" x14ac:dyDescent="0.25">
      <c r="B80" s="23">
        <f t="shared" si="1"/>
        <v>71</v>
      </c>
      <c r="C80" s="33">
        <v>2135</v>
      </c>
      <c r="D80" s="25" t="s">
        <v>93</v>
      </c>
      <c r="E80" s="23"/>
      <c r="F80" s="26">
        <v>70300</v>
      </c>
      <c r="G80" s="26"/>
      <c r="H80" s="26">
        <v>0</v>
      </c>
      <c r="I80" s="26"/>
      <c r="J80" s="26">
        <v>23000</v>
      </c>
      <c r="K80" s="26"/>
      <c r="L80" s="26"/>
      <c r="M80" s="26">
        <f t="shared" si="2"/>
        <v>47300</v>
      </c>
      <c r="N80" s="29"/>
      <c r="O80" s="30"/>
      <c r="P80" s="30"/>
      <c r="Q80" s="25"/>
      <c r="R80" s="23"/>
      <c r="S80" s="25" t="s">
        <v>1063</v>
      </c>
      <c r="T80" s="25" t="s">
        <v>1059</v>
      </c>
      <c r="U80" s="31"/>
      <c r="V80" s="392"/>
      <c r="W80" s="25"/>
    </row>
    <row r="81" spans="1:23" x14ac:dyDescent="0.25">
      <c r="A81" s="445"/>
      <c r="B81" s="23">
        <f t="shared" ref="B81:B96" si="3">B80+1</f>
        <v>72</v>
      </c>
      <c r="C81" s="38">
        <v>2932</v>
      </c>
      <c r="D81" s="34" t="s">
        <v>94</v>
      </c>
      <c r="E81" s="23"/>
      <c r="F81" s="26">
        <v>70300</v>
      </c>
      <c r="G81" s="26"/>
      <c r="H81" s="26">
        <v>480</v>
      </c>
      <c r="I81" s="26"/>
      <c r="J81" s="26"/>
      <c r="K81" s="26"/>
      <c r="L81" s="26"/>
      <c r="M81" s="26">
        <f t="shared" si="2"/>
        <v>69820</v>
      </c>
      <c r="N81" s="29"/>
      <c r="O81" s="30"/>
      <c r="P81" s="30"/>
      <c r="Q81" s="25"/>
      <c r="R81" s="23"/>
      <c r="S81" s="25" t="s">
        <v>1060</v>
      </c>
      <c r="T81" s="25" t="s">
        <v>1061</v>
      </c>
      <c r="U81" s="31"/>
      <c r="V81" s="31"/>
      <c r="W81" s="25"/>
    </row>
    <row r="82" spans="1:23" x14ac:dyDescent="0.25">
      <c r="A82" s="445"/>
      <c r="B82" s="23">
        <f t="shared" si="3"/>
        <v>73</v>
      </c>
      <c r="C82" s="33">
        <v>1831</v>
      </c>
      <c r="D82" s="25" t="s">
        <v>95</v>
      </c>
      <c r="E82" s="23"/>
      <c r="F82" s="26">
        <v>70300</v>
      </c>
      <c r="G82" s="26"/>
      <c r="H82" s="26">
        <v>24880</v>
      </c>
      <c r="I82" s="26"/>
      <c r="J82" s="26"/>
      <c r="K82" s="26"/>
      <c r="L82" s="26"/>
      <c r="M82" s="26">
        <f t="shared" si="2"/>
        <v>45420</v>
      </c>
      <c r="N82" s="29"/>
      <c r="O82" s="30"/>
      <c r="P82" s="30"/>
      <c r="Q82" s="25"/>
      <c r="R82" s="23"/>
      <c r="S82" s="25" t="s">
        <v>1064</v>
      </c>
      <c r="T82" s="25" t="s">
        <v>1065</v>
      </c>
      <c r="U82" s="31"/>
      <c r="V82" s="31"/>
      <c r="W82" s="25"/>
    </row>
    <row r="83" spans="1:23" x14ac:dyDescent="0.25">
      <c r="A83" s="445"/>
      <c r="B83" s="23">
        <f t="shared" si="3"/>
        <v>74</v>
      </c>
      <c r="C83" s="38">
        <v>1878</v>
      </c>
      <c r="D83" s="34" t="s">
        <v>96</v>
      </c>
      <c r="E83" s="23"/>
      <c r="F83" s="26">
        <v>70300</v>
      </c>
      <c r="G83" s="26"/>
      <c r="H83" s="26">
        <v>1600</v>
      </c>
      <c r="I83" s="26"/>
      <c r="J83" s="26">
        <v>23000</v>
      </c>
      <c r="K83" s="26"/>
      <c r="L83" s="26"/>
      <c r="M83" s="26">
        <f t="shared" si="2"/>
        <v>45700</v>
      </c>
      <c r="N83" s="29"/>
      <c r="O83" s="30"/>
      <c r="P83" s="30"/>
      <c r="Q83" s="25"/>
      <c r="R83" s="23"/>
      <c r="S83" s="25" t="s">
        <v>1066</v>
      </c>
      <c r="T83" s="25" t="s">
        <v>1067</v>
      </c>
      <c r="U83" s="31"/>
      <c r="V83" s="31"/>
      <c r="W83" s="25"/>
    </row>
    <row r="84" spans="1:23" x14ac:dyDescent="0.25">
      <c r="B84" s="23">
        <f t="shared" si="3"/>
        <v>75</v>
      </c>
      <c r="C84" s="33">
        <v>1947</v>
      </c>
      <c r="D84" s="25" t="s">
        <v>97</v>
      </c>
      <c r="E84" s="23"/>
      <c r="F84" s="26">
        <v>70300</v>
      </c>
      <c r="G84" s="26"/>
      <c r="H84" s="26">
        <v>1600</v>
      </c>
      <c r="I84" s="26"/>
      <c r="J84" s="26">
        <v>23000</v>
      </c>
      <c r="K84" s="26">
        <v>23000</v>
      </c>
      <c r="L84" s="26"/>
      <c r="M84" s="26">
        <f t="shared" si="2"/>
        <v>22700</v>
      </c>
      <c r="N84" s="29"/>
      <c r="O84" s="30"/>
      <c r="P84" s="30"/>
      <c r="Q84" s="25"/>
      <c r="R84" s="23"/>
      <c r="S84" s="25" t="s">
        <v>1089</v>
      </c>
      <c r="T84" s="25" t="s">
        <v>1090</v>
      </c>
      <c r="U84" s="31"/>
      <c r="V84" s="31"/>
      <c r="W84" s="25"/>
    </row>
    <row r="85" spans="1:23" x14ac:dyDescent="0.25">
      <c r="B85" s="23">
        <f t="shared" si="3"/>
        <v>76</v>
      </c>
      <c r="C85" s="102">
        <v>1425</v>
      </c>
      <c r="D85" s="103" t="s">
        <v>98</v>
      </c>
      <c r="E85" s="23"/>
      <c r="F85" s="26">
        <v>70300</v>
      </c>
      <c r="G85" s="26"/>
      <c r="H85" s="26">
        <v>1600</v>
      </c>
      <c r="I85" s="26"/>
      <c r="J85" s="26"/>
      <c r="K85" s="26"/>
      <c r="L85" s="26"/>
      <c r="M85" s="26">
        <f t="shared" si="2"/>
        <v>68700</v>
      </c>
      <c r="N85" s="29"/>
      <c r="O85" s="30"/>
      <c r="P85" s="30"/>
      <c r="Q85" s="25"/>
      <c r="R85" s="23"/>
      <c r="S85" s="25" t="s">
        <v>710</v>
      </c>
      <c r="T85" s="25" t="s">
        <v>711</v>
      </c>
      <c r="U85" s="31"/>
      <c r="V85" s="391" t="s">
        <v>1096</v>
      </c>
      <c r="W85" s="25"/>
    </row>
    <row r="86" spans="1:23" x14ac:dyDescent="0.25">
      <c r="B86" s="23">
        <f t="shared" si="3"/>
        <v>77</v>
      </c>
      <c r="C86" s="33">
        <v>1866</v>
      </c>
      <c r="D86" s="25" t="s">
        <v>99</v>
      </c>
      <c r="E86" s="23"/>
      <c r="F86" s="26">
        <v>70300</v>
      </c>
      <c r="G86" s="26"/>
      <c r="H86" s="26">
        <v>2160</v>
      </c>
      <c r="I86" s="26"/>
      <c r="J86" s="26">
        <f>23000</f>
        <v>23000</v>
      </c>
      <c r="K86" s="26">
        <f>23000</f>
        <v>23000</v>
      </c>
      <c r="L86" s="26">
        <f>24300</f>
        <v>24300</v>
      </c>
      <c r="M86" s="418">
        <f t="shared" si="2"/>
        <v>-2160</v>
      </c>
      <c r="N86" s="29"/>
      <c r="O86" s="30"/>
      <c r="P86" s="30"/>
      <c r="Q86" s="25"/>
      <c r="R86" s="23"/>
      <c r="S86" s="25" t="s">
        <v>1068</v>
      </c>
      <c r="T86" s="25" t="s">
        <v>1069</v>
      </c>
      <c r="U86" s="31"/>
      <c r="V86" s="31"/>
      <c r="W86" s="25"/>
    </row>
    <row r="87" spans="1:23" x14ac:dyDescent="0.25">
      <c r="A87" s="445"/>
      <c r="B87" s="23">
        <f t="shared" si="3"/>
        <v>78</v>
      </c>
      <c r="C87" s="102">
        <v>1618</v>
      </c>
      <c r="D87" s="103" t="s">
        <v>100</v>
      </c>
      <c r="E87" s="23"/>
      <c r="F87" s="26">
        <v>70300</v>
      </c>
      <c r="G87" s="26"/>
      <c r="H87" s="26">
        <v>640</v>
      </c>
      <c r="I87" s="26"/>
      <c r="J87" s="26">
        <v>15000</v>
      </c>
      <c r="K87" s="26"/>
      <c r="L87" s="26"/>
      <c r="M87" s="26">
        <f t="shared" si="2"/>
        <v>54660</v>
      </c>
      <c r="N87" s="29"/>
      <c r="O87" s="30"/>
      <c r="P87" s="30"/>
      <c r="Q87" s="25"/>
      <c r="R87" s="23"/>
      <c r="S87" s="25" t="s">
        <v>736</v>
      </c>
      <c r="T87" s="25" t="s">
        <v>737</v>
      </c>
      <c r="U87" s="31"/>
      <c r="V87" s="391" t="s">
        <v>1097</v>
      </c>
      <c r="W87" s="25"/>
    </row>
    <row r="88" spans="1:23" x14ac:dyDescent="0.25">
      <c r="B88" s="23">
        <f t="shared" si="3"/>
        <v>79</v>
      </c>
      <c r="C88" s="102">
        <v>2051</v>
      </c>
      <c r="D88" s="103" t="s">
        <v>101</v>
      </c>
      <c r="E88" s="23"/>
      <c r="F88" s="26">
        <v>70300</v>
      </c>
      <c r="G88" s="26"/>
      <c r="H88" s="26">
        <v>0</v>
      </c>
      <c r="I88" s="26"/>
      <c r="J88" s="26"/>
      <c r="K88" s="26"/>
      <c r="L88" s="26"/>
      <c r="M88" s="26">
        <f t="shared" si="2"/>
        <v>70300</v>
      </c>
      <c r="N88" s="29"/>
      <c r="O88" s="30"/>
      <c r="P88" s="30"/>
      <c r="Q88" s="25"/>
      <c r="R88" s="23"/>
      <c r="S88" s="25" t="s">
        <v>814</v>
      </c>
      <c r="T88" s="25" t="s">
        <v>815</v>
      </c>
      <c r="U88" s="31"/>
      <c r="V88" s="31"/>
      <c r="W88" s="25"/>
    </row>
    <row r="89" spans="1:23" x14ac:dyDescent="0.25">
      <c r="B89" s="23">
        <f t="shared" si="3"/>
        <v>80</v>
      </c>
      <c r="C89" s="33">
        <v>1960</v>
      </c>
      <c r="D89" s="25" t="s">
        <v>102</v>
      </c>
      <c r="E89" s="23"/>
      <c r="F89" s="26">
        <v>70300</v>
      </c>
      <c r="G89" s="26"/>
      <c r="H89" s="26">
        <v>1600</v>
      </c>
      <c r="I89" s="26"/>
      <c r="J89" s="26">
        <v>23000</v>
      </c>
      <c r="K89" s="26">
        <v>23000</v>
      </c>
      <c r="L89" s="26">
        <v>1000</v>
      </c>
      <c r="M89" s="26">
        <f t="shared" si="2"/>
        <v>21700</v>
      </c>
      <c r="N89" s="29"/>
      <c r="O89" s="30"/>
      <c r="P89" s="30"/>
      <c r="Q89" s="25"/>
      <c r="R89" s="23"/>
      <c r="S89" s="25" t="s">
        <v>1070</v>
      </c>
      <c r="T89" s="25" t="s">
        <v>1071</v>
      </c>
      <c r="U89" s="31"/>
      <c r="V89" s="31"/>
      <c r="W89" s="25"/>
    </row>
    <row r="90" spans="1:23" x14ac:dyDescent="0.25">
      <c r="B90" s="23">
        <f t="shared" si="3"/>
        <v>81</v>
      </c>
      <c r="C90" s="397">
        <v>1810</v>
      </c>
      <c r="D90" s="398" t="s">
        <v>103</v>
      </c>
      <c r="E90" s="23"/>
      <c r="F90" s="26">
        <v>70300</v>
      </c>
      <c r="G90" s="26"/>
      <c r="H90" s="26">
        <v>3200</v>
      </c>
      <c r="I90" s="26"/>
      <c r="J90" s="26">
        <v>23000</v>
      </c>
      <c r="K90" s="26">
        <v>23000</v>
      </c>
      <c r="L90" s="26"/>
      <c r="M90" s="26">
        <f t="shared" si="2"/>
        <v>21100</v>
      </c>
      <c r="N90" s="29"/>
      <c r="O90" s="30"/>
      <c r="P90" s="30"/>
      <c r="Q90" s="25"/>
      <c r="R90" s="23"/>
      <c r="S90" s="25" t="s">
        <v>757</v>
      </c>
      <c r="T90" s="25" t="s">
        <v>758</v>
      </c>
      <c r="U90" s="31"/>
      <c r="V90" s="399" t="s">
        <v>1098</v>
      </c>
      <c r="W90" s="390"/>
    </row>
    <row r="91" spans="1:23" x14ac:dyDescent="0.25">
      <c r="B91" s="23">
        <f t="shared" si="3"/>
        <v>82</v>
      </c>
      <c r="C91" s="397">
        <v>1863</v>
      </c>
      <c r="D91" s="398" t="s">
        <v>104</v>
      </c>
      <c r="E91" s="23"/>
      <c r="F91" s="26">
        <v>70300</v>
      </c>
      <c r="G91" s="26"/>
      <c r="H91" s="26">
        <v>1280</v>
      </c>
      <c r="I91" s="26"/>
      <c r="J91" s="26">
        <v>23000</v>
      </c>
      <c r="K91" s="26">
        <v>23000</v>
      </c>
      <c r="L91" s="26"/>
      <c r="M91" s="26">
        <f t="shared" si="2"/>
        <v>23020</v>
      </c>
      <c r="N91" s="29"/>
      <c r="O91" s="30"/>
      <c r="P91" s="30"/>
      <c r="Q91" s="25"/>
      <c r="R91" s="23"/>
      <c r="S91" s="25" t="s">
        <v>1073</v>
      </c>
      <c r="T91" s="25" t="s">
        <v>777</v>
      </c>
      <c r="U91" s="31"/>
      <c r="V91" s="391" t="s">
        <v>1099</v>
      </c>
      <c r="W91" s="25"/>
    </row>
    <row r="92" spans="1:23" x14ac:dyDescent="0.25">
      <c r="B92" s="23">
        <f t="shared" si="3"/>
        <v>83</v>
      </c>
      <c r="C92" s="33">
        <v>1711</v>
      </c>
      <c r="D92" s="25" t="s">
        <v>105</v>
      </c>
      <c r="E92" s="23"/>
      <c r="F92" s="26">
        <v>70300</v>
      </c>
      <c r="G92" s="26"/>
      <c r="H92" s="26">
        <v>1600</v>
      </c>
      <c r="I92" s="26"/>
      <c r="J92" s="26">
        <v>23000</v>
      </c>
      <c r="K92" s="26">
        <v>23000</v>
      </c>
      <c r="L92" s="26"/>
      <c r="M92" s="26">
        <f t="shared" si="2"/>
        <v>22700</v>
      </c>
      <c r="N92" s="29"/>
      <c r="O92" s="30"/>
      <c r="P92" s="30"/>
      <c r="Q92" s="25"/>
      <c r="R92" s="23"/>
      <c r="S92" s="25" t="s">
        <v>1074</v>
      </c>
      <c r="T92" s="25" t="s">
        <v>1072</v>
      </c>
      <c r="U92" s="31"/>
      <c r="V92" s="31"/>
      <c r="W92" s="25"/>
    </row>
    <row r="93" spans="1:23" x14ac:dyDescent="0.25">
      <c r="B93" s="23">
        <f t="shared" si="3"/>
        <v>84</v>
      </c>
      <c r="C93" s="33">
        <v>1877</v>
      </c>
      <c r="D93" s="25" t="s">
        <v>106</v>
      </c>
      <c r="E93" s="23"/>
      <c r="F93" s="26">
        <v>70300</v>
      </c>
      <c r="G93" s="26"/>
      <c r="H93" s="26">
        <v>0</v>
      </c>
      <c r="I93" s="26"/>
      <c r="J93" s="26">
        <v>23000</v>
      </c>
      <c r="K93" s="26"/>
      <c r="L93" s="26"/>
      <c r="M93" s="26">
        <f t="shared" si="2"/>
        <v>47300</v>
      </c>
      <c r="N93" s="29"/>
      <c r="O93" s="30"/>
      <c r="P93" s="30"/>
      <c r="Q93" s="25"/>
      <c r="R93" s="23"/>
      <c r="S93" s="25" t="s">
        <v>1082</v>
      </c>
      <c r="T93" s="25" t="s">
        <v>1075</v>
      </c>
      <c r="U93" s="31"/>
      <c r="V93" s="31"/>
      <c r="W93" s="25"/>
    </row>
    <row r="94" spans="1:23" x14ac:dyDescent="0.25">
      <c r="A94" s="445"/>
      <c r="B94" s="23">
        <f t="shared" si="3"/>
        <v>85</v>
      </c>
      <c r="C94" s="33">
        <v>1382</v>
      </c>
      <c r="D94" s="25" t="s">
        <v>107</v>
      </c>
      <c r="E94" s="23"/>
      <c r="F94" s="26">
        <v>70300</v>
      </c>
      <c r="G94" s="26"/>
      <c r="H94" s="26">
        <v>0</v>
      </c>
      <c r="I94" s="26"/>
      <c r="J94" s="26"/>
      <c r="K94" s="26"/>
      <c r="L94" s="26"/>
      <c r="M94" s="26">
        <f t="shared" si="2"/>
        <v>70300</v>
      </c>
      <c r="N94" s="29"/>
      <c r="O94" s="30"/>
      <c r="P94" s="30"/>
      <c r="Q94" s="25"/>
      <c r="R94" s="23"/>
      <c r="S94" s="25" t="s">
        <v>1076</v>
      </c>
      <c r="T94" s="25" t="s">
        <v>1077</v>
      </c>
      <c r="U94" s="31"/>
      <c r="V94" s="31"/>
      <c r="W94" s="25"/>
    </row>
    <row r="95" spans="1:23" x14ac:dyDescent="0.25">
      <c r="B95" s="23">
        <f t="shared" si="3"/>
        <v>86</v>
      </c>
      <c r="C95" s="33">
        <v>1566</v>
      </c>
      <c r="D95" s="25" t="s">
        <v>108</v>
      </c>
      <c r="E95" s="23"/>
      <c r="F95" s="26">
        <v>70300</v>
      </c>
      <c r="G95" s="26"/>
      <c r="H95" s="26">
        <v>0</v>
      </c>
      <c r="I95" s="26"/>
      <c r="J95" s="26">
        <v>23000</v>
      </c>
      <c r="K95" s="26">
        <v>23000</v>
      </c>
      <c r="L95" s="26"/>
      <c r="M95" s="26">
        <f t="shared" si="2"/>
        <v>24300</v>
      </c>
      <c r="N95" s="29"/>
      <c r="O95" s="30"/>
      <c r="P95" s="30"/>
      <c r="Q95" s="25"/>
      <c r="R95" s="23"/>
      <c r="S95" s="25" t="s">
        <v>1078</v>
      </c>
      <c r="T95" s="25" t="s">
        <v>1079</v>
      </c>
      <c r="U95" s="31"/>
      <c r="V95" s="31"/>
      <c r="W95" s="25"/>
    </row>
    <row r="96" spans="1:23" x14ac:dyDescent="0.25">
      <c r="B96" s="23">
        <f t="shared" si="3"/>
        <v>87</v>
      </c>
      <c r="C96" s="33">
        <v>1841</v>
      </c>
      <c r="D96" s="25" t="s">
        <v>109</v>
      </c>
      <c r="E96" s="23"/>
      <c r="F96" s="26">
        <v>70300</v>
      </c>
      <c r="G96" s="26"/>
      <c r="H96" s="26">
        <v>0</v>
      </c>
      <c r="I96" s="26"/>
      <c r="J96" s="26">
        <f>23000</f>
        <v>23000</v>
      </c>
      <c r="K96" s="26">
        <v>23000</v>
      </c>
      <c r="L96" s="26">
        <v>24300</v>
      </c>
      <c r="M96" s="26">
        <f t="shared" si="2"/>
        <v>0</v>
      </c>
      <c r="N96" s="29"/>
      <c r="O96" s="30"/>
      <c r="P96" s="30"/>
      <c r="Q96" s="25"/>
      <c r="R96" s="23"/>
      <c r="S96" s="25" t="s">
        <v>1080</v>
      </c>
      <c r="T96" s="25" t="s">
        <v>1081</v>
      </c>
      <c r="U96" s="31"/>
      <c r="V96" s="31"/>
      <c r="W96" s="25"/>
    </row>
    <row r="97" spans="2:23" x14ac:dyDescent="0.25">
      <c r="B97" s="9">
        <f>B96</f>
        <v>87</v>
      </c>
      <c r="C97" s="10" t="s">
        <v>3</v>
      </c>
      <c r="D97" s="19" t="s">
        <v>3</v>
      </c>
      <c r="E97" s="12"/>
      <c r="F97" s="20">
        <f>SUM(F10:F96)</f>
        <v>6045800</v>
      </c>
      <c r="G97" s="20">
        <f>SUM(G10:G96)</f>
        <v>0</v>
      </c>
      <c r="H97" s="20">
        <f>SUM(H10:H96)</f>
        <v>156880</v>
      </c>
      <c r="I97" s="20">
        <f>SUM(I10:I96)</f>
        <v>50000</v>
      </c>
      <c r="J97" s="20">
        <f t="shared" ref="J97" si="4">SUM(J10:J96)</f>
        <v>1688000</v>
      </c>
      <c r="K97" s="20">
        <f>SUM(K10:K96)</f>
        <v>1461300</v>
      </c>
      <c r="L97" s="20">
        <f>SUM(L10:L96)</f>
        <v>682980</v>
      </c>
      <c r="M97" s="417">
        <f>SUM(M10:M96)</f>
        <v>2006640</v>
      </c>
      <c r="N97" s="12"/>
      <c r="O97" s="12"/>
      <c r="P97" s="12"/>
      <c r="Q97" s="11"/>
      <c r="R97" s="12"/>
      <c r="S97" s="11"/>
      <c r="T97" s="11"/>
      <c r="U97" s="11"/>
      <c r="V97" s="11"/>
      <c r="W97" s="11"/>
    </row>
    <row r="98" spans="2:23" x14ac:dyDescent="0.25">
      <c r="D98" s="18"/>
    </row>
    <row r="99" spans="2:23" x14ac:dyDescent="0.25">
      <c r="B99" s="9"/>
      <c r="C99" s="10" t="s">
        <v>3</v>
      </c>
      <c r="D99" s="19" t="s">
        <v>3</v>
      </c>
      <c r="E99" s="12"/>
      <c r="F99" s="20"/>
      <c r="G99" s="20"/>
      <c r="H99" s="20"/>
      <c r="I99" s="20"/>
      <c r="J99" s="20">
        <f>23000*87</f>
        <v>2001000</v>
      </c>
      <c r="K99" s="20">
        <f>23000*87</f>
        <v>2001000</v>
      </c>
      <c r="L99" s="20">
        <f>24300*87</f>
        <v>2114100</v>
      </c>
      <c r="M99" s="417"/>
      <c r="N99" s="12"/>
      <c r="O99" s="12"/>
      <c r="P99" s="12"/>
      <c r="Q99" s="11"/>
      <c r="R99" s="12"/>
      <c r="S99" s="11"/>
      <c r="T99" s="11"/>
      <c r="U99" s="11"/>
      <c r="V99" s="11"/>
      <c r="W99" s="11"/>
    </row>
    <row r="100" spans="2:23" x14ac:dyDescent="0.25">
      <c r="B100" s="9"/>
      <c r="C100" s="10" t="s">
        <v>3</v>
      </c>
      <c r="D100" s="19" t="s">
        <v>3</v>
      </c>
      <c r="E100" s="12"/>
      <c r="F100" s="20"/>
      <c r="G100" s="20"/>
      <c r="H100" s="20"/>
      <c r="I100" s="20"/>
      <c r="J100" s="453">
        <f>J97/J99</f>
        <v>0.84357821089455276</v>
      </c>
      <c r="K100" s="453">
        <f>K97/K99</f>
        <v>0.73028485757121442</v>
      </c>
      <c r="L100" s="453">
        <f>L97/L99</f>
        <v>0.32305945792535828</v>
      </c>
      <c r="M100" s="454">
        <f>M97/F97</f>
        <v>0.33190644745112308</v>
      </c>
      <c r="N100" s="12"/>
      <c r="O100" s="12"/>
      <c r="P100" s="12"/>
      <c r="Q100" s="11"/>
      <c r="R100" s="12"/>
      <c r="S100" s="11"/>
      <c r="T100" s="11"/>
      <c r="U100" s="11"/>
      <c r="V100" s="11"/>
      <c r="W100" s="11"/>
    </row>
    <row r="101" spans="2:23" x14ac:dyDescent="0.25">
      <c r="F101" s="24"/>
    </row>
    <row r="102" spans="2:23" x14ac:dyDescent="0.25">
      <c r="F102" s="24"/>
    </row>
    <row r="103" spans="2:23" x14ac:dyDescent="0.25">
      <c r="F103" s="24"/>
    </row>
    <row r="104" spans="2:23" x14ac:dyDescent="0.25">
      <c r="F104" s="24"/>
    </row>
    <row r="105" spans="2:23" x14ac:dyDescent="0.25">
      <c r="F105" s="24"/>
    </row>
  </sheetData>
  <autoFilter ref="B9:W97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30"/>
  <sheetViews>
    <sheetView zoomScale="130" zoomScaleNormal="130" zoomScalePageLayoutView="130" workbookViewId="0">
      <selection activeCell="C3" sqref="C3:H3"/>
    </sheetView>
  </sheetViews>
  <sheetFormatPr baseColWidth="10" defaultRowHeight="15" x14ac:dyDescent="0.25"/>
  <cols>
    <col min="2" max="2" width="4.7109375" customWidth="1"/>
    <col min="3" max="3" width="11.7109375" customWidth="1"/>
    <col min="4" max="4" width="25.7109375" customWidth="1"/>
    <col min="5" max="7" width="14" customWidth="1"/>
    <col min="9" max="9" width="3.7109375" customWidth="1"/>
  </cols>
  <sheetData>
    <row r="1" spans="2:9" ht="18" customHeight="1" thickBot="1" x14ac:dyDescent="0.3"/>
    <row r="2" spans="2:9" x14ac:dyDescent="0.25">
      <c r="B2" s="46"/>
      <c r="C2" s="47"/>
      <c r="D2" s="47"/>
      <c r="E2" s="47"/>
      <c r="F2" s="47"/>
      <c r="G2" s="47"/>
      <c r="H2" s="47"/>
      <c r="I2" s="48"/>
    </row>
    <row r="3" spans="2:9" ht="30.75" customHeight="1" x14ac:dyDescent="0.25">
      <c r="B3" s="49"/>
      <c r="C3" s="456" t="s">
        <v>1483</v>
      </c>
      <c r="D3" s="456"/>
      <c r="E3" s="456"/>
      <c r="F3" s="456"/>
      <c r="G3" s="456"/>
      <c r="H3" s="456"/>
      <c r="I3" s="50"/>
    </row>
    <row r="4" spans="2:9" x14ac:dyDescent="0.25">
      <c r="B4" s="49"/>
      <c r="C4" s="51"/>
      <c r="D4" s="52"/>
      <c r="E4" s="52"/>
      <c r="F4" s="52"/>
      <c r="G4" s="52"/>
      <c r="H4" s="51"/>
      <c r="I4" s="50"/>
    </row>
    <row r="5" spans="2:9" x14ac:dyDescent="0.25">
      <c r="B5" s="49"/>
      <c r="C5" s="51"/>
      <c r="D5" s="53"/>
      <c r="E5" s="53"/>
      <c r="F5" s="53"/>
      <c r="G5" s="53"/>
      <c r="H5" s="51"/>
      <c r="I5" s="50"/>
    </row>
    <row r="6" spans="2:9" x14ac:dyDescent="0.25">
      <c r="B6" s="49"/>
      <c r="C6" s="429" t="s">
        <v>121</v>
      </c>
      <c r="D6" s="430" t="s">
        <v>122</v>
      </c>
      <c r="E6" s="431" t="s">
        <v>1484</v>
      </c>
      <c r="F6" s="431" t="s">
        <v>1484</v>
      </c>
      <c r="G6" s="430" t="s">
        <v>3</v>
      </c>
      <c r="H6" s="51"/>
      <c r="I6" s="50"/>
    </row>
    <row r="7" spans="2:9" x14ac:dyDescent="0.25">
      <c r="B7" s="49"/>
      <c r="C7" s="457" t="s">
        <v>1485</v>
      </c>
      <c r="D7" s="458"/>
      <c r="E7" s="458"/>
      <c r="F7" s="458"/>
      <c r="G7" s="459"/>
      <c r="H7" s="51"/>
      <c r="I7" s="50"/>
    </row>
    <row r="8" spans="2:9" s="445" customFormat="1" x14ac:dyDescent="0.25">
      <c r="B8" s="443"/>
      <c r="C8" s="446"/>
      <c r="D8" s="447" t="s">
        <v>1490</v>
      </c>
      <c r="E8" s="448"/>
      <c r="F8" s="448"/>
      <c r="G8" s="449">
        <f>'EDO DE CTA 2017-2018'!H51</f>
        <v>66560</v>
      </c>
      <c r="H8" s="63"/>
      <c r="I8" s="444"/>
    </row>
    <row r="9" spans="2:9" x14ac:dyDescent="0.25">
      <c r="B9" s="49"/>
      <c r="C9" s="57"/>
      <c r="D9" s="434" t="s">
        <v>125</v>
      </c>
      <c r="E9" s="59">
        <f>0</f>
        <v>0</v>
      </c>
      <c r="F9" s="59">
        <f>0</f>
        <v>0</v>
      </c>
      <c r="G9" s="59">
        <f>E9+F9</f>
        <v>0</v>
      </c>
      <c r="H9" s="51"/>
      <c r="I9" s="50"/>
    </row>
    <row r="10" spans="2:9" x14ac:dyDescent="0.25">
      <c r="B10" s="49"/>
      <c r="C10" s="62"/>
      <c r="D10" s="434" t="s">
        <v>126</v>
      </c>
      <c r="E10" s="59">
        <f>0</f>
        <v>0</v>
      </c>
      <c r="F10" s="59">
        <f>0</f>
        <v>0</v>
      </c>
      <c r="G10" s="59">
        <f t="shared" ref="G10:G18" si="0">E10+F10</f>
        <v>0</v>
      </c>
      <c r="H10" s="51"/>
      <c r="I10" s="50"/>
    </row>
    <row r="11" spans="2:9" x14ac:dyDescent="0.25">
      <c r="B11" s="49"/>
      <c r="C11" s="62"/>
      <c r="D11" s="434" t="s">
        <v>127</v>
      </c>
      <c r="E11" s="59">
        <f>0</f>
        <v>0</v>
      </c>
      <c r="F11" s="59">
        <f>0</f>
        <v>0</v>
      </c>
      <c r="G11" s="59">
        <f t="shared" si="0"/>
        <v>0</v>
      </c>
      <c r="H11" s="51"/>
      <c r="I11" s="50"/>
    </row>
    <row r="12" spans="2:9" x14ac:dyDescent="0.25">
      <c r="B12" s="49"/>
      <c r="C12" s="62"/>
      <c r="D12" s="434" t="s">
        <v>128</v>
      </c>
      <c r="E12" s="59">
        <f>87500</f>
        <v>87500</v>
      </c>
      <c r="F12" s="59">
        <f>0</f>
        <v>0</v>
      </c>
      <c r="G12" s="59">
        <f t="shared" si="0"/>
        <v>87500</v>
      </c>
      <c r="H12" s="63"/>
      <c r="I12" s="50"/>
    </row>
    <row r="13" spans="2:9" x14ac:dyDescent="0.25">
      <c r="B13" s="49"/>
      <c r="C13" s="62"/>
      <c r="D13" s="434" t="s">
        <v>1486</v>
      </c>
      <c r="E13" s="59"/>
      <c r="F13" s="59"/>
      <c r="G13" s="59">
        <f t="shared" si="0"/>
        <v>0</v>
      </c>
      <c r="H13" s="63"/>
      <c r="I13" s="50"/>
    </row>
    <row r="14" spans="2:9" x14ac:dyDescent="0.25">
      <c r="B14" s="49"/>
      <c r="C14" s="62"/>
      <c r="D14" s="434" t="s">
        <v>130</v>
      </c>
      <c r="E14" s="59"/>
      <c r="F14" s="59"/>
      <c r="G14" s="59">
        <f t="shared" si="0"/>
        <v>0</v>
      </c>
      <c r="H14" s="63"/>
      <c r="I14" s="50"/>
    </row>
    <row r="15" spans="2:9" x14ac:dyDescent="0.25">
      <c r="B15" s="49"/>
      <c r="C15" s="57"/>
      <c r="D15" s="434" t="s">
        <v>131</v>
      </c>
      <c r="E15" s="59"/>
      <c r="F15" s="59"/>
      <c r="G15" s="59">
        <f t="shared" si="0"/>
        <v>0</v>
      </c>
      <c r="H15" s="63"/>
      <c r="I15" s="50"/>
    </row>
    <row r="16" spans="2:9" x14ac:dyDescent="0.25">
      <c r="B16" s="49"/>
      <c r="C16" s="57"/>
      <c r="D16" s="435" t="s">
        <v>132</v>
      </c>
      <c r="E16" s="432"/>
      <c r="F16" s="66"/>
      <c r="G16" s="59">
        <f t="shared" si="0"/>
        <v>0</v>
      </c>
      <c r="H16" s="63"/>
      <c r="I16" s="50"/>
    </row>
    <row r="17" spans="2:9" x14ac:dyDescent="0.25">
      <c r="B17" s="49"/>
      <c r="C17" s="62"/>
      <c r="D17" s="436" t="s">
        <v>133</v>
      </c>
      <c r="E17" s="66">
        <f>48500</f>
        <v>48500</v>
      </c>
      <c r="F17" s="66"/>
      <c r="G17" s="59">
        <f t="shared" si="0"/>
        <v>48500</v>
      </c>
      <c r="H17" s="51"/>
      <c r="I17" s="50"/>
    </row>
    <row r="18" spans="2:9" x14ac:dyDescent="0.25">
      <c r="B18" s="49"/>
      <c r="C18" s="62"/>
      <c r="D18" s="435" t="s">
        <v>135</v>
      </c>
      <c r="E18" s="432"/>
      <c r="F18" s="66"/>
      <c r="G18" s="59">
        <f t="shared" si="0"/>
        <v>0</v>
      </c>
      <c r="H18" s="51"/>
      <c r="I18" s="50"/>
    </row>
    <row r="19" spans="2:9" x14ac:dyDescent="0.25">
      <c r="B19" s="49"/>
      <c r="C19" s="438"/>
      <c r="D19" s="439"/>
      <c r="E19" s="440"/>
      <c r="F19" s="441"/>
      <c r="G19" s="442"/>
      <c r="H19" s="51"/>
      <c r="I19" s="50"/>
    </row>
    <row r="20" spans="2:9" x14ac:dyDescent="0.25">
      <c r="B20" s="49"/>
      <c r="C20" s="71"/>
      <c r="D20" s="437" t="s">
        <v>136</v>
      </c>
      <c r="E20" s="73">
        <f>SUM(E9:E19)</f>
        <v>136000</v>
      </c>
      <c r="F20" s="73">
        <f>SUM(F9:F19)</f>
        <v>0</v>
      </c>
      <c r="G20" s="73">
        <f>SUM(G9:G19)</f>
        <v>136000</v>
      </c>
      <c r="H20" s="51"/>
      <c r="I20" s="50"/>
    </row>
    <row r="21" spans="2:9" x14ac:dyDescent="0.25">
      <c r="B21" s="49"/>
      <c r="C21" s="457" t="s">
        <v>1487</v>
      </c>
      <c r="D21" s="458"/>
      <c r="E21" s="458"/>
      <c r="F21" s="458"/>
      <c r="G21" s="459"/>
      <c r="H21" s="51"/>
      <c r="I21" s="50"/>
    </row>
    <row r="22" spans="2:9" x14ac:dyDescent="0.25">
      <c r="B22" s="49"/>
      <c r="C22" s="62"/>
      <c r="D22" s="434" t="s">
        <v>1488</v>
      </c>
      <c r="E22" s="59">
        <f>'Patrocinios y Lonas'!F18</f>
        <v>142500</v>
      </c>
      <c r="F22" s="66">
        <f>'Patrocinios y Lonas'!F23</f>
        <v>30000</v>
      </c>
      <c r="G22" s="59">
        <f>E22+F22</f>
        <v>172500</v>
      </c>
      <c r="H22" s="51"/>
      <c r="I22" s="50"/>
    </row>
    <row r="23" spans="2:9" x14ac:dyDescent="0.25">
      <c r="B23" s="49"/>
      <c r="C23" s="62"/>
      <c r="D23" s="434" t="s">
        <v>1489</v>
      </c>
      <c r="E23" s="59">
        <f>'Patrocinios y Lonas'!F37</f>
        <v>120000</v>
      </c>
      <c r="F23" s="66">
        <f>0</f>
        <v>0</v>
      </c>
      <c r="G23" s="59">
        <f>E23+F23</f>
        <v>120000</v>
      </c>
      <c r="H23" s="51"/>
      <c r="I23" s="50"/>
    </row>
    <row r="24" spans="2:9" x14ac:dyDescent="0.25">
      <c r="B24" s="49"/>
      <c r="C24" s="62"/>
      <c r="D24" s="434"/>
      <c r="E24" s="59"/>
      <c r="F24" s="66"/>
      <c r="G24" s="59"/>
      <c r="H24" s="51"/>
      <c r="I24" s="50"/>
    </row>
    <row r="25" spans="2:9" x14ac:dyDescent="0.25">
      <c r="B25" s="49"/>
      <c r="C25" s="62"/>
      <c r="D25" s="58"/>
      <c r="E25" s="59"/>
      <c r="F25" s="59"/>
      <c r="G25" s="59"/>
      <c r="H25" s="51"/>
      <c r="I25" s="50"/>
    </row>
    <row r="26" spans="2:9" x14ac:dyDescent="0.25">
      <c r="B26" s="49"/>
      <c r="C26" s="71"/>
      <c r="D26" s="437" t="s">
        <v>136</v>
      </c>
      <c r="E26" s="73">
        <f>SUM(E22:E25)</f>
        <v>262500</v>
      </c>
      <c r="F26" s="73">
        <f>SUM(F22:F25)</f>
        <v>30000</v>
      </c>
      <c r="G26" s="73">
        <f>SUM(G22:G25)</f>
        <v>292500</v>
      </c>
      <c r="H26" s="51"/>
      <c r="I26" s="50"/>
    </row>
    <row r="27" spans="2:9" x14ac:dyDescent="0.25">
      <c r="B27" s="49"/>
      <c r="C27" s="51"/>
      <c r="D27" s="51"/>
      <c r="E27" s="63"/>
      <c r="F27" s="63"/>
      <c r="G27" s="63"/>
      <c r="H27" s="51"/>
      <c r="I27" s="50"/>
    </row>
    <row r="28" spans="2:9" x14ac:dyDescent="0.25">
      <c r="B28" s="49"/>
      <c r="C28" s="71"/>
      <c r="D28" s="437" t="s">
        <v>1491</v>
      </c>
      <c r="E28" s="73">
        <f>E20+E26+E8</f>
        <v>398500</v>
      </c>
      <c r="F28" s="73">
        <f t="shared" ref="F28:G28" si="1">F20+F26+F8</f>
        <v>30000</v>
      </c>
      <c r="G28" s="73">
        <f t="shared" si="1"/>
        <v>495060</v>
      </c>
      <c r="H28" s="51"/>
      <c r="I28" s="50"/>
    </row>
    <row r="29" spans="2:9" x14ac:dyDescent="0.25">
      <c r="B29" s="49"/>
      <c r="C29" s="51"/>
      <c r="D29" s="51"/>
      <c r="E29" s="433"/>
      <c r="F29" s="433"/>
      <c r="G29" s="433"/>
      <c r="H29" s="51"/>
      <c r="I29" s="50"/>
    </row>
    <row r="30" spans="2:9" ht="15.75" thickBot="1" x14ac:dyDescent="0.3">
      <c r="B30" s="99"/>
      <c r="C30" s="100"/>
      <c r="D30" s="100"/>
      <c r="E30" s="100"/>
      <c r="F30" s="100"/>
      <c r="G30" s="100"/>
      <c r="H30" s="100"/>
      <c r="I30" s="101"/>
    </row>
  </sheetData>
  <mergeCells count="3">
    <mergeCell ref="C3:H3"/>
    <mergeCell ref="C7:G7"/>
    <mergeCell ref="C21:G21"/>
  </mergeCells>
  <pageMargins left="0.70866141732283472" right="0.70866141732283472" top="0.74803149606299213" bottom="0.74803149606299213" header="0.31496062992125984" footer="0.31496062992125984"/>
  <pageSetup scale="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I40"/>
  <sheetViews>
    <sheetView topLeftCell="C19" workbookViewId="0">
      <selection activeCell="H30" sqref="H30"/>
    </sheetView>
  </sheetViews>
  <sheetFormatPr baseColWidth="10" defaultRowHeight="15" x14ac:dyDescent="0.25"/>
  <cols>
    <col min="2" max="2" width="11.140625" customWidth="1"/>
    <col min="3" max="3" width="39.85546875" customWidth="1"/>
    <col min="4" max="4" width="14.85546875" bestFit="1" customWidth="1"/>
    <col min="5" max="5" width="14.28515625" customWidth="1"/>
    <col min="6" max="6" width="15.42578125" customWidth="1"/>
    <col min="7" max="7" width="29.28515625" customWidth="1"/>
    <col min="8" max="8" width="25.85546875" customWidth="1"/>
  </cols>
  <sheetData>
    <row r="3" spans="2:7" ht="21" x14ac:dyDescent="0.35">
      <c r="B3" s="460" t="s">
        <v>1434</v>
      </c>
      <c r="C3" s="460"/>
      <c r="D3" s="460"/>
      <c r="E3" s="460"/>
      <c r="F3" s="460"/>
      <c r="G3" s="460"/>
    </row>
    <row r="4" spans="2:7" ht="21.75" thickBot="1" x14ac:dyDescent="0.4">
      <c r="B4" s="460" t="s">
        <v>1435</v>
      </c>
      <c r="C4" s="460"/>
      <c r="D4" s="460"/>
      <c r="E4" s="460"/>
      <c r="F4" s="460"/>
      <c r="G4" s="460"/>
    </row>
    <row r="5" spans="2:7" ht="21.75" thickBot="1" x14ac:dyDescent="0.4">
      <c r="B5" s="419" t="s">
        <v>1436</v>
      </c>
      <c r="C5" s="419" t="s">
        <v>1437</v>
      </c>
      <c r="D5" s="419" t="s">
        <v>1340</v>
      </c>
      <c r="E5" s="419" t="s">
        <v>1438</v>
      </c>
      <c r="F5" s="419" t="s">
        <v>1439</v>
      </c>
      <c r="G5" s="419" t="s">
        <v>1440</v>
      </c>
    </row>
    <row r="6" spans="2:7" x14ac:dyDescent="0.25">
      <c r="B6">
        <v>402</v>
      </c>
      <c r="C6" t="s">
        <v>1441</v>
      </c>
      <c r="D6" s="420">
        <v>43444</v>
      </c>
      <c r="E6" t="s">
        <v>1442</v>
      </c>
      <c r="F6" s="421">
        <v>25000</v>
      </c>
      <c r="G6" t="s">
        <v>1443</v>
      </c>
    </row>
    <row r="7" spans="2:7" x14ac:dyDescent="0.25">
      <c r="B7">
        <v>460</v>
      </c>
      <c r="C7" t="s">
        <v>1444</v>
      </c>
      <c r="D7" s="422">
        <v>43549</v>
      </c>
      <c r="E7" t="s">
        <v>1445</v>
      </c>
      <c r="F7" s="421">
        <v>12500</v>
      </c>
      <c r="G7" s="423" t="s">
        <v>1446</v>
      </c>
    </row>
    <row r="8" spans="2:7" x14ac:dyDescent="0.25">
      <c r="B8">
        <v>419</v>
      </c>
      <c r="C8" t="s">
        <v>1447</v>
      </c>
      <c r="D8" s="420">
        <v>43489</v>
      </c>
      <c r="E8" t="s">
        <v>1448</v>
      </c>
      <c r="F8" s="421">
        <v>25000</v>
      </c>
      <c r="G8" s="423" t="s">
        <v>1446</v>
      </c>
    </row>
    <row r="9" spans="2:7" x14ac:dyDescent="0.25">
      <c r="B9">
        <v>425</v>
      </c>
      <c r="C9" t="s">
        <v>1449</v>
      </c>
      <c r="D9" s="422">
        <v>43494</v>
      </c>
      <c r="E9" t="s">
        <v>1450</v>
      </c>
      <c r="F9" s="421">
        <v>5000</v>
      </c>
      <c r="G9" s="423" t="s">
        <v>1446</v>
      </c>
    </row>
    <row r="10" spans="2:7" x14ac:dyDescent="0.25">
      <c r="B10">
        <v>426</v>
      </c>
      <c r="C10" t="s">
        <v>1451</v>
      </c>
      <c r="D10" s="422">
        <v>43494</v>
      </c>
      <c r="E10" t="s">
        <v>1452</v>
      </c>
      <c r="F10" s="421">
        <v>20000</v>
      </c>
      <c r="G10" s="423" t="s">
        <v>1446</v>
      </c>
    </row>
    <row r="11" spans="2:7" x14ac:dyDescent="0.25">
      <c r="B11">
        <v>428</v>
      </c>
      <c r="C11" t="s">
        <v>1453</v>
      </c>
      <c r="D11" s="422">
        <v>43501</v>
      </c>
      <c r="E11" t="s">
        <v>1454</v>
      </c>
      <c r="F11" s="421">
        <v>10000</v>
      </c>
      <c r="G11" s="423" t="s">
        <v>1446</v>
      </c>
    </row>
    <row r="12" spans="2:7" x14ac:dyDescent="0.25">
      <c r="B12">
        <v>429</v>
      </c>
      <c r="C12" t="s">
        <v>1455</v>
      </c>
      <c r="D12" s="422">
        <v>43502</v>
      </c>
      <c r="E12" t="s">
        <v>1456</v>
      </c>
      <c r="F12" s="421">
        <v>10000</v>
      </c>
      <c r="G12" t="s">
        <v>1446</v>
      </c>
    </row>
    <row r="13" spans="2:7" x14ac:dyDescent="0.25">
      <c r="B13">
        <v>433</v>
      </c>
      <c r="C13" t="s">
        <v>1457</v>
      </c>
      <c r="D13" s="422">
        <v>43508</v>
      </c>
      <c r="E13" t="s">
        <v>1458</v>
      </c>
      <c r="F13" s="421">
        <v>10000</v>
      </c>
      <c r="G13" t="s">
        <v>1446</v>
      </c>
    </row>
    <row r="14" spans="2:7" x14ac:dyDescent="0.25">
      <c r="B14">
        <v>441</v>
      </c>
      <c r="C14" t="s">
        <v>1444</v>
      </c>
      <c r="D14" s="422">
        <v>43518</v>
      </c>
      <c r="E14" t="s">
        <v>1445</v>
      </c>
      <c r="F14" s="421">
        <v>12500</v>
      </c>
      <c r="G14" t="s">
        <v>1446</v>
      </c>
    </row>
    <row r="15" spans="2:7" x14ac:dyDescent="0.25">
      <c r="B15">
        <v>444</v>
      </c>
      <c r="C15" t="s">
        <v>1459</v>
      </c>
      <c r="D15" s="422">
        <v>43523</v>
      </c>
      <c r="E15" t="s">
        <v>1460</v>
      </c>
      <c r="F15" s="421">
        <v>10000</v>
      </c>
      <c r="G15" t="s">
        <v>1446</v>
      </c>
    </row>
    <row r="16" spans="2:7" x14ac:dyDescent="0.25">
      <c r="B16">
        <v>446</v>
      </c>
      <c r="C16" t="s">
        <v>1461</v>
      </c>
      <c r="D16" s="422">
        <v>43524</v>
      </c>
      <c r="E16" t="s">
        <v>1462</v>
      </c>
      <c r="F16" s="421">
        <v>2500</v>
      </c>
      <c r="G16" t="s">
        <v>1446</v>
      </c>
    </row>
    <row r="17" spans="2:9" ht="15.75" thickBot="1" x14ac:dyDescent="0.3">
      <c r="D17" s="424"/>
    </row>
    <row r="18" spans="2:9" ht="15.75" thickBot="1" x14ac:dyDescent="0.3">
      <c r="E18" s="425" t="s">
        <v>1463</v>
      </c>
      <c r="F18" s="426">
        <f>SUM(F6:F17)</f>
        <v>142500</v>
      </c>
      <c r="I18" s="421"/>
    </row>
    <row r="19" spans="2:9" ht="15.75" thickTop="1" x14ac:dyDescent="0.25">
      <c r="E19" s="75"/>
      <c r="F19" s="427"/>
      <c r="I19" s="421"/>
    </row>
    <row r="20" spans="2:9" x14ac:dyDescent="0.25">
      <c r="C20" t="s">
        <v>1464</v>
      </c>
      <c r="E20" s="75"/>
      <c r="F20" s="427">
        <v>10000</v>
      </c>
      <c r="G20" t="s">
        <v>1465</v>
      </c>
      <c r="I20" s="421"/>
    </row>
    <row r="21" spans="2:9" x14ac:dyDescent="0.25">
      <c r="C21" t="s">
        <v>1466</v>
      </c>
      <c r="E21" s="75"/>
      <c r="F21" s="427">
        <v>10000</v>
      </c>
      <c r="G21" t="s">
        <v>1467</v>
      </c>
      <c r="I21" s="421"/>
    </row>
    <row r="22" spans="2:9" ht="15.75" thickBot="1" x14ac:dyDescent="0.3">
      <c r="C22" t="s">
        <v>1468</v>
      </c>
      <c r="E22" s="75"/>
      <c r="F22" s="427">
        <v>10000</v>
      </c>
      <c r="G22" t="s">
        <v>1465</v>
      </c>
      <c r="I22" s="421"/>
    </row>
    <row r="23" spans="2:9" ht="15.75" thickBot="1" x14ac:dyDescent="0.3">
      <c r="E23" s="425" t="s">
        <v>1463</v>
      </c>
      <c r="F23" s="426">
        <f>SUM(F20:F22)</f>
        <v>30000</v>
      </c>
      <c r="I23" s="421"/>
    </row>
    <row r="24" spans="2:9" ht="15.75" thickTop="1" x14ac:dyDescent="0.25">
      <c r="E24" s="75"/>
      <c r="F24" s="427"/>
      <c r="I24" s="421"/>
    </row>
    <row r="26" spans="2:9" x14ac:dyDescent="0.25">
      <c r="B26">
        <v>390</v>
      </c>
      <c r="C26" t="s">
        <v>1469</v>
      </c>
      <c r="D26" s="420">
        <v>43411</v>
      </c>
      <c r="E26" t="s">
        <v>1470</v>
      </c>
      <c r="F26" s="428">
        <v>30000</v>
      </c>
      <c r="G26" t="s">
        <v>1471</v>
      </c>
      <c r="H26" t="s">
        <v>1493</v>
      </c>
    </row>
    <row r="27" spans="2:9" x14ac:dyDescent="0.25">
      <c r="B27">
        <v>407</v>
      </c>
      <c r="C27" t="s">
        <v>1472</v>
      </c>
      <c r="D27" s="420">
        <v>43476</v>
      </c>
      <c r="E27" t="s">
        <v>1473</v>
      </c>
      <c r="F27" s="428">
        <v>30000</v>
      </c>
      <c r="G27" t="s">
        <v>1471</v>
      </c>
      <c r="H27" t="s">
        <v>62</v>
      </c>
    </row>
    <row r="28" spans="2:9" x14ac:dyDescent="0.25">
      <c r="B28">
        <v>409</v>
      </c>
      <c r="C28" t="s">
        <v>1474</v>
      </c>
      <c r="D28" s="420">
        <v>43481</v>
      </c>
      <c r="E28" t="s">
        <v>1475</v>
      </c>
      <c r="F28" s="428">
        <v>30000</v>
      </c>
      <c r="G28" t="s">
        <v>1471</v>
      </c>
      <c r="H28" t="s">
        <v>62</v>
      </c>
    </row>
    <row r="29" spans="2:9" x14ac:dyDescent="0.25">
      <c r="B29">
        <v>420</v>
      </c>
      <c r="C29" t="s">
        <v>1476</v>
      </c>
      <c r="D29" s="422">
        <v>43489</v>
      </c>
      <c r="E29" t="s">
        <v>1477</v>
      </c>
      <c r="F29" s="428">
        <v>30000</v>
      </c>
      <c r="G29" t="s">
        <v>1471</v>
      </c>
      <c r="H29" t="s">
        <v>62</v>
      </c>
    </row>
    <row r="30" spans="2:9" x14ac:dyDescent="0.25">
      <c r="B30">
        <v>421</v>
      </c>
      <c r="C30" t="s">
        <v>1478</v>
      </c>
      <c r="D30" s="422">
        <v>43504</v>
      </c>
      <c r="E30" t="s">
        <v>1479</v>
      </c>
      <c r="F30" s="428">
        <v>30000</v>
      </c>
      <c r="G30" t="s">
        <v>1471</v>
      </c>
      <c r="H30" t="s">
        <v>62</v>
      </c>
    </row>
    <row r="31" spans="2:9" x14ac:dyDescent="0.25">
      <c r="B31">
        <v>422</v>
      </c>
      <c r="C31" t="s">
        <v>1480</v>
      </c>
      <c r="D31" s="422">
        <v>43509</v>
      </c>
      <c r="E31" t="s">
        <v>1481</v>
      </c>
      <c r="F31" s="428">
        <v>30000</v>
      </c>
      <c r="G31" t="s">
        <v>1471</v>
      </c>
      <c r="H31" t="s">
        <v>1492</v>
      </c>
    </row>
    <row r="32" spans="2:9" ht="15.75" thickBot="1" x14ac:dyDescent="0.3">
      <c r="F32" s="428"/>
    </row>
    <row r="33" spans="4:6" ht="15.75" thickBot="1" x14ac:dyDescent="0.3">
      <c r="E33" s="425" t="s">
        <v>1463</v>
      </c>
      <c r="F33" s="426">
        <f>SUM(F26:F32)</f>
        <v>180000</v>
      </c>
    </row>
    <row r="34" spans="4:6" ht="15.75" thickTop="1" x14ac:dyDescent="0.25"/>
    <row r="35" spans="4:6" x14ac:dyDescent="0.25">
      <c r="D35" t="s">
        <v>176</v>
      </c>
      <c r="F35" s="389">
        <f>60000</f>
        <v>60000</v>
      </c>
    </row>
    <row r="36" spans="4:6" ht="15.75" thickBot="1" x14ac:dyDescent="0.3">
      <c r="F36" s="45"/>
    </row>
    <row r="37" spans="4:6" ht="15.75" thickBot="1" x14ac:dyDescent="0.3">
      <c r="E37" s="425" t="s">
        <v>1463</v>
      </c>
      <c r="F37" s="426">
        <f>F33-F35</f>
        <v>120000</v>
      </c>
    </row>
    <row r="38" spans="4:6" ht="16.5" thickTop="1" thickBot="1" x14ac:dyDescent="0.3"/>
    <row r="39" spans="4:6" ht="15.75" thickBot="1" x14ac:dyDescent="0.3">
      <c r="E39" s="425" t="s">
        <v>1482</v>
      </c>
      <c r="F39" s="426">
        <f>F18+F23+F33</f>
        <v>352500</v>
      </c>
    </row>
    <row r="40" spans="4:6" ht="15.75" thickTop="1" x14ac:dyDescent="0.25"/>
  </sheetData>
  <mergeCells count="2">
    <mergeCell ref="B3:G3"/>
    <mergeCell ref="B4:G4"/>
  </mergeCells>
  <pageMargins left="0.7" right="0.7" top="0.75" bottom="0.75" header="0.3" footer="0.3"/>
  <pageSetup paperSize="9" scale="5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opLeftCell="A83" workbookViewId="0">
      <selection activeCell="F34" sqref="F34"/>
    </sheetView>
  </sheetViews>
  <sheetFormatPr baseColWidth="10" defaultRowHeight="15" x14ac:dyDescent="0.25"/>
  <cols>
    <col min="2" max="2" width="35.42578125" bestFit="1" customWidth="1"/>
    <col min="4" max="4" width="21.42578125" bestFit="1" customWidth="1"/>
    <col min="5" max="5" width="12.42578125" style="409" bestFit="1" customWidth="1"/>
    <col min="6" max="6" width="15.42578125" style="412" bestFit="1" customWidth="1"/>
  </cols>
  <sheetData>
    <row r="1" spans="1:9" x14ac:dyDescent="0.25">
      <c r="A1" t="s">
        <v>12</v>
      </c>
      <c r="B1" s="77" t="s">
        <v>1100</v>
      </c>
      <c r="C1" t="s">
        <v>1101</v>
      </c>
      <c r="E1" s="407" t="s">
        <v>1102</v>
      </c>
      <c r="F1" s="410" t="s">
        <v>1430</v>
      </c>
      <c r="G1" s="401" t="s">
        <v>1103</v>
      </c>
      <c r="H1" t="s">
        <v>1104</v>
      </c>
      <c r="I1" t="s">
        <v>1105</v>
      </c>
    </row>
    <row r="2" spans="1:9" x14ac:dyDescent="0.25">
      <c r="A2" s="77" t="s">
        <v>1106</v>
      </c>
      <c r="B2" t="s">
        <v>1107</v>
      </c>
      <c r="C2" t="s">
        <v>1108</v>
      </c>
      <c r="E2" s="407">
        <v>0</v>
      </c>
      <c r="F2" s="413">
        <f>E2*0.8</f>
        <v>0</v>
      </c>
    </row>
    <row r="3" spans="1:9" x14ac:dyDescent="0.25">
      <c r="A3" s="77" t="s">
        <v>1106</v>
      </c>
      <c r="B3" t="s">
        <v>1109</v>
      </c>
      <c r="C3" t="s">
        <v>1110</v>
      </c>
      <c r="D3" t="s">
        <v>1110</v>
      </c>
      <c r="E3" s="407">
        <f>1600+2000+1900</f>
        <v>5500</v>
      </c>
      <c r="F3" s="410">
        <f>E3*0.8</f>
        <v>4400</v>
      </c>
      <c r="G3" s="401" t="s">
        <v>1111</v>
      </c>
      <c r="H3" t="s">
        <v>1112</v>
      </c>
    </row>
    <row r="4" spans="1:9" x14ac:dyDescent="0.25">
      <c r="A4" s="77" t="s">
        <v>1106</v>
      </c>
      <c r="B4" t="s">
        <v>1113</v>
      </c>
      <c r="C4" t="s">
        <v>1114</v>
      </c>
      <c r="D4" t="s">
        <v>1114</v>
      </c>
      <c r="E4" s="407">
        <v>2000</v>
      </c>
      <c r="F4" s="410">
        <f t="shared" ref="F4:F67" si="0">E4*0.8</f>
        <v>1600</v>
      </c>
      <c r="G4" s="401">
        <v>43473</v>
      </c>
      <c r="H4" t="s">
        <v>1115</v>
      </c>
    </row>
    <row r="5" spans="1:9" x14ac:dyDescent="0.25">
      <c r="A5" s="77" t="s">
        <v>1106</v>
      </c>
      <c r="B5" t="s">
        <v>1116</v>
      </c>
      <c r="C5" t="s">
        <v>1117</v>
      </c>
      <c r="D5" t="s">
        <v>1117</v>
      </c>
      <c r="E5" s="407">
        <f>1000+1000+2000+1500</f>
        <v>5500</v>
      </c>
      <c r="F5" s="410">
        <f t="shared" si="0"/>
        <v>4400</v>
      </c>
      <c r="G5" s="401" t="s">
        <v>1118</v>
      </c>
      <c r="H5" t="s">
        <v>1119</v>
      </c>
    </row>
    <row r="6" spans="1:9" x14ac:dyDescent="0.25">
      <c r="A6" s="77" t="s">
        <v>1106</v>
      </c>
      <c r="B6" t="s">
        <v>1120</v>
      </c>
      <c r="C6" t="s">
        <v>1121</v>
      </c>
      <c r="E6" s="407">
        <v>2000</v>
      </c>
      <c r="F6" s="410">
        <f t="shared" si="0"/>
        <v>1600</v>
      </c>
      <c r="G6" s="401">
        <v>43532</v>
      </c>
      <c r="I6" t="s">
        <v>1122</v>
      </c>
    </row>
    <row r="7" spans="1:9" x14ac:dyDescent="0.25">
      <c r="A7" s="77" t="s">
        <v>1106</v>
      </c>
      <c r="B7" t="s">
        <v>1123</v>
      </c>
      <c r="C7" t="s">
        <v>1124</v>
      </c>
      <c r="E7" s="407"/>
      <c r="F7" s="410">
        <f t="shared" si="0"/>
        <v>0</v>
      </c>
    </row>
    <row r="8" spans="1:9" x14ac:dyDescent="0.25">
      <c r="A8" s="77" t="s">
        <v>1106</v>
      </c>
      <c r="B8" t="s">
        <v>1125</v>
      </c>
      <c r="C8" t="s">
        <v>1126</v>
      </c>
      <c r="E8" s="407">
        <f>2000+100</f>
        <v>2100</v>
      </c>
      <c r="F8" s="410">
        <f t="shared" si="0"/>
        <v>1680</v>
      </c>
      <c r="G8" s="401">
        <v>43531</v>
      </c>
      <c r="H8" t="s">
        <v>1127</v>
      </c>
    </row>
    <row r="9" spans="1:9" x14ac:dyDescent="0.25">
      <c r="A9" s="77" t="s">
        <v>1106</v>
      </c>
      <c r="B9" t="s">
        <v>1128</v>
      </c>
      <c r="C9" t="s">
        <v>1129</v>
      </c>
      <c r="E9" s="407">
        <v>1400</v>
      </c>
      <c r="F9" s="410">
        <f t="shared" si="0"/>
        <v>1120</v>
      </c>
      <c r="G9" s="401">
        <v>43532</v>
      </c>
    </row>
    <row r="10" spans="1:9" x14ac:dyDescent="0.25">
      <c r="A10" s="77" t="s">
        <v>1106</v>
      </c>
      <c r="B10" t="s">
        <v>1130</v>
      </c>
      <c r="C10" t="s">
        <v>1131</v>
      </c>
      <c r="E10" s="407">
        <v>2000</v>
      </c>
      <c r="F10" s="410">
        <f t="shared" si="0"/>
        <v>1600</v>
      </c>
      <c r="G10" s="401">
        <v>43534</v>
      </c>
    </row>
    <row r="11" spans="1:9" x14ac:dyDescent="0.25">
      <c r="A11" s="77" t="s">
        <v>1106</v>
      </c>
      <c r="B11" t="s">
        <v>1132</v>
      </c>
      <c r="C11" t="s">
        <v>1133</v>
      </c>
      <c r="D11" t="s">
        <v>1134</v>
      </c>
      <c r="E11" s="407">
        <f>2000+2000+2000+2000</f>
        <v>8000</v>
      </c>
      <c r="F11" s="410">
        <f t="shared" si="0"/>
        <v>6400</v>
      </c>
      <c r="G11" s="401" t="s">
        <v>1135</v>
      </c>
      <c r="H11" t="s">
        <v>1136</v>
      </c>
      <c r="I11" t="s">
        <v>1137</v>
      </c>
    </row>
    <row r="12" spans="1:9" x14ac:dyDescent="0.25">
      <c r="A12" s="77" t="s">
        <v>1106</v>
      </c>
      <c r="B12" t="s">
        <v>1138</v>
      </c>
      <c r="C12" t="s">
        <v>1139</v>
      </c>
      <c r="D12" t="s">
        <v>1140</v>
      </c>
      <c r="E12" s="407">
        <f>2200+2000+1000+2000+300</f>
        <v>7500</v>
      </c>
      <c r="F12" s="410">
        <f t="shared" si="0"/>
        <v>6000</v>
      </c>
      <c r="G12" s="401" t="s">
        <v>1141</v>
      </c>
      <c r="H12" t="s">
        <v>1142</v>
      </c>
    </row>
    <row r="13" spans="1:9" x14ac:dyDescent="0.25">
      <c r="A13" s="77" t="s">
        <v>1106</v>
      </c>
      <c r="B13" t="s">
        <v>1143</v>
      </c>
      <c r="C13" t="s">
        <v>1140</v>
      </c>
      <c r="E13" s="407"/>
      <c r="F13" s="410">
        <f t="shared" si="0"/>
        <v>0</v>
      </c>
    </row>
    <row r="14" spans="1:9" x14ac:dyDescent="0.25">
      <c r="A14" s="77" t="s">
        <v>1106</v>
      </c>
      <c r="B14" t="s">
        <v>71</v>
      </c>
      <c r="C14" t="s">
        <v>1145</v>
      </c>
      <c r="E14" s="407">
        <v>2000</v>
      </c>
      <c r="F14" s="410">
        <f t="shared" si="0"/>
        <v>1600</v>
      </c>
      <c r="G14" s="401">
        <v>43534</v>
      </c>
    </row>
    <row r="15" spans="1:9" x14ac:dyDescent="0.25">
      <c r="A15" s="77" t="s">
        <v>1106</v>
      </c>
      <c r="B15" t="s">
        <v>1146</v>
      </c>
      <c r="C15" t="s">
        <v>1147</v>
      </c>
      <c r="E15" s="407">
        <v>1800</v>
      </c>
      <c r="F15" s="410">
        <f t="shared" si="0"/>
        <v>1440</v>
      </c>
      <c r="G15" s="401">
        <v>43532</v>
      </c>
    </row>
    <row r="16" spans="1:9" x14ac:dyDescent="0.25">
      <c r="A16" s="77" t="s">
        <v>1106</v>
      </c>
      <c r="B16" t="s">
        <v>1148</v>
      </c>
      <c r="C16" t="s">
        <v>1149</v>
      </c>
      <c r="D16" t="s">
        <v>1150</v>
      </c>
      <c r="E16" s="407">
        <v>2000</v>
      </c>
      <c r="F16" s="410">
        <f t="shared" si="0"/>
        <v>1600</v>
      </c>
      <c r="G16" s="401">
        <v>43532</v>
      </c>
    </row>
    <row r="17" spans="1:8" x14ac:dyDescent="0.25">
      <c r="A17" s="77" t="s">
        <v>1106</v>
      </c>
      <c r="B17" t="s">
        <v>1151</v>
      </c>
      <c r="C17" t="s">
        <v>1150</v>
      </c>
      <c r="E17" s="407">
        <v>500</v>
      </c>
      <c r="F17" s="410">
        <f t="shared" si="0"/>
        <v>400</v>
      </c>
      <c r="G17" s="401">
        <v>43532</v>
      </c>
    </row>
    <row r="18" spans="1:8" x14ac:dyDescent="0.25">
      <c r="A18" s="77" t="s">
        <v>1106</v>
      </c>
      <c r="B18" t="s">
        <v>1152</v>
      </c>
      <c r="C18" t="s">
        <v>1153</v>
      </c>
      <c r="E18" s="407"/>
      <c r="F18" s="410">
        <f t="shared" si="0"/>
        <v>0</v>
      </c>
    </row>
    <row r="19" spans="1:8" x14ac:dyDescent="0.25">
      <c r="A19" s="77" t="s">
        <v>1106</v>
      </c>
      <c r="B19" t="s">
        <v>1154</v>
      </c>
      <c r="C19" t="s">
        <v>1155</v>
      </c>
      <c r="E19" s="407">
        <v>2000</v>
      </c>
      <c r="F19" s="410">
        <f t="shared" si="0"/>
        <v>1600</v>
      </c>
      <c r="G19" s="401">
        <v>43530</v>
      </c>
      <c r="H19" t="s">
        <v>1156</v>
      </c>
    </row>
    <row r="20" spans="1:8" x14ac:dyDescent="0.25">
      <c r="A20" s="77" t="s">
        <v>1106</v>
      </c>
      <c r="B20" t="s">
        <v>1157</v>
      </c>
      <c r="C20" t="s">
        <v>1158</v>
      </c>
      <c r="E20" s="407"/>
      <c r="F20" s="410">
        <f t="shared" si="0"/>
        <v>0</v>
      </c>
    </row>
    <row r="21" spans="1:8" x14ac:dyDescent="0.25">
      <c r="A21" s="402" t="s">
        <v>1159</v>
      </c>
      <c r="B21" s="403" t="s">
        <v>1160</v>
      </c>
      <c r="C21" s="403" t="s">
        <v>1161</v>
      </c>
      <c r="D21" s="403" t="s">
        <v>1162</v>
      </c>
      <c r="E21" s="407">
        <f>2000+500</f>
        <v>2500</v>
      </c>
      <c r="F21" s="410">
        <f t="shared" si="0"/>
        <v>2000</v>
      </c>
      <c r="G21" s="404" t="s">
        <v>1163</v>
      </c>
      <c r="H21" t="s">
        <v>1164</v>
      </c>
    </row>
    <row r="22" spans="1:8" x14ac:dyDescent="0.25">
      <c r="A22" s="77" t="s">
        <v>1159</v>
      </c>
      <c r="B22" t="s">
        <v>1165</v>
      </c>
      <c r="C22" t="s">
        <v>1162</v>
      </c>
      <c r="E22" s="407"/>
      <c r="F22" s="410">
        <f t="shared" si="0"/>
        <v>0</v>
      </c>
    </row>
    <row r="23" spans="1:8" x14ac:dyDescent="0.25">
      <c r="A23" s="77" t="s">
        <v>1159</v>
      </c>
      <c r="B23" t="s">
        <v>1166</v>
      </c>
      <c r="C23" t="s">
        <v>1167</v>
      </c>
      <c r="E23" s="407"/>
      <c r="F23" s="410">
        <f t="shared" si="0"/>
        <v>0</v>
      </c>
    </row>
    <row r="24" spans="1:8" x14ac:dyDescent="0.25">
      <c r="A24" s="77" t="s">
        <v>1159</v>
      </c>
      <c r="B24" t="s">
        <v>1168</v>
      </c>
      <c r="C24" t="s">
        <v>1169</v>
      </c>
      <c r="D24" t="s">
        <v>1170</v>
      </c>
      <c r="E24" s="407">
        <f>2000+2000+2400</f>
        <v>6400</v>
      </c>
      <c r="F24" s="410">
        <f t="shared" si="0"/>
        <v>5120</v>
      </c>
      <c r="G24" s="401" t="s">
        <v>1171</v>
      </c>
      <c r="H24" t="s">
        <v>1172</v>
      </c>
    </row>
    <row r="25" spans="1:8" x14ac:dyDescent="0.25">
      <c r="A25" s="77" t="s">
        <v>1159</v>
      </c>
      <c r="B25" t="s">
        <v>1173</v>
      </c>
      <c r="C25" t="s">
        <v>1170</v>
      </c>
      <c r="D25" t="s">
        <v>1174</v>
      </c>
      <c r="E25" s="407">
        <v>1400</v>
      </c>
      <c r="F25" s="410">
        <f t="shared" si="0"/>
        <v>1120</v>
      </c>
      <c r="G25" s="401">
        <v>43532</v>
      </c>
    </row>
    <row r="26" spans="1:8" x14ac:dyDescent="0.25">
      <c r="A26" s="77" t="s">
        <v>1159</v>
      </c>
      <c r="B26" t="s">
        <v>1175</v>
      </c>
      <c r="C26" t="s">
        <v>1174</v>
      </c>
      <c r="D26" t="s">
        <v>1176</v>
      </c>
      <c r="E26" s="407">
        <v>2000</v>
      </c>
      <c r="F26" s="410">
        <f t="shared" si="0"/>
        <v>1600</v>
      </c>
    </row>
    <row r="27" spans="1:8" x14ac:dyDescent="0.25">
      <c r="A27" s="77" t="s">
        <v>1159</v>
      </c>
      <c r="B27" t="s">
        <v>1177</v>
      </c>
      <c r="C27" t="s">
        <v>1176</v>
      </c>
      <c r="D27" t="s">
        <v>1178</v>
      </c>
      <c r="E27" s="407">
        <f>2000+3000+700</f>
        <v>5700</v>
      </c>
      <c r="F27" s="410">
        <f t="shared" si="0"/>
        <v>4560</v>
      </c>
      <c r="G27" s="401" t="s">
        <v>1179</v>
      </c>
      <c r="H27" t="s">
        <v>1180</v>
      </c>
    </row>
    <row r="28" spans="1:8" x14ac:dyDescent="0.25">
      <c r="A28" s="77" t="s">
        <v>1159</v>
      </c>
      <c r="B28" t="s">
        <v>1181</v>
      </c>
      <c r="C28" t="s">
        <v>1178</v>
      </c>
      <c r="E28" s="407">
        <v>2000</v>
      </c>
      <c r="F28" s="410">
        <f t="shared" si="0"/>
        <v>1600</v>
      </c>
      <c r="G28" s="401">
        <v>43530</v>
      </c>
    </row>
    <row r="29" spans="1:8" x14ac:dyDescent="0.25">
      <c r="A29" s="77" t="s">
        <v>1159</v>
      </c>
      <c r="B29" s="405" t="s">
        <v>1182</v>
      </c>
      <c r="C29" t="s">
        <v>1183</v>
      </c>
      <c r="E29" s="407">
        <v>2000</v>
      </c>
      <c r="F29" s="410">
        <f t="shared" si="0"/>
        <v>1600</v>
      </c>
      <c r="G29" s="401">
        <v>43532</v>
      </c>
    </row>
    <row r="30" spans="1:8" x14ac:dyDescent="0.25">
      <c r="A30" s="77" t="s">
        <v>1159</v>
      </c>
      <c r="B30" t="s">
        <v>1184</v>
      </c>
      <c r="C30" t="s">
        <v>1185</v>
      </c>
      <c r="D30" t="s">
        <v>1186</v>
      </c>
      <c r="E30" s="407">
        <f>2000+1700</f>
        <v>3700</v>
      </c>
      <c r="F30" s="410">
        <f t="shared" si="0"/>
        <v>2960</v>
      </c>
      <c r="G30" s="401" t="s">
        <v>1187</v>
      </c>
      <c r="H30" t="s">
        <v>1188</v>
      </c>
    </row>
    <row r="31" spans="1:8" x14ac:dyDescent="0.25">
      <c r="A31" s="77" t="s">
        <v>1159</v>
      </c>
      <c r="B31" t="s">
        <v>1189</v>
      </c>
      <c r="C31" t="s">
        <v>1186</v>
      </c>
      <c r="D31" t="s">
        <v>1190</v>
      </c>
      <c r="E31" s="407">
        <f>2000+1700+300+1000</f>
        <v>5000</v>
      </c>
      <c r="F31" s="410">
        <f t="shared" si="0"/>
        <v>4000</v>
      </c>
      <c r="G31" s="401" t="s">
        <v>1191</v>
      </c>
      <c r="H31" t="s">
        <v>1192</v>
      </c>
    </row>
    <row r="32" spans="1:8" x14ac:dyDescent="0.25">
      <c r="A32" s="77" t="s">
        <v>1159</v>
      </c>
      <c r="B32" t="s">
        <v>1193</v>
      </c>
      <c r="C32" t="s">
        <v>1190</v>
      </c>
      <c r="E32" s="407"/>
      <c r="F32" s="410">
        <f t="shared" si="0"/>
        <v>0</v>
      </c>
    </row>
    <row r="33" spans="1:8" x14ac:dyDescent="0.25">
      <c r="A33" s="77" t="s">
        <v>1159</v>
      </c>
      <c r="B33" t="s">
        <v>1194</v>
      </c>
      <c r="C33" t="s">
        <v>1195</v>
      </c>
      <c r="D33" t="s">
        <v>1196</v>
      </c>
      <c r="E33" s="407">
        <v>2000</v>
      </c>
      <c r="F33" s="410">
        <f t="shared" si="0"/>
        <v>1600</v>
      </c>
      <c r="G33" s="401">
        <v>43531</v>
      </c>
      <c r="H33" t="s">
        <v>1197</v>
      </c>
    </row>
    <row r="34" spans="1:8" x14ac:dyDescent="0.25">
      <c r="A34" s="77" t="s">
        <v>1159</v>
      </c>
      <c r="B34" t="s">
        <v>1198</v>
      </c>
      <c r="C34" t="s">
        <v>1196</v>
      </c>
      <c r="D34" t="s">
        <v>1199</v>
      </c>
      <c r="E34" s="407">
        <f>600+500+900+1100</f>
        <v>3100</v>
      </c>
      <c r="F34" s="410">
        <f t="shared" si="0"/>
        <v>2480</v>
      </c>
      <c r="G34" s="401" t="s">
        <v>1200</v>
      </c>
      <c r="H34" t="s">
        <v>1201</v>
      </c>
    </row>
    <row r="35" spans="1:8" x14ac:dyDescent="0.25">
      <c r="A35" s="77" t="s">
        <v>1159</v>
      </c>
      <c r="B35" t="s">
        <v>1202</v>
      </c>
      <c r="C35" t="s">
        <v>1199</v>
      </c>
      <c r="E35" s="407">
        <v>1100</v>
      </c>
      <c r="F35" s="410">
        <f t="shared" si="0"/>
        <v>880</v>
      </c>
      <c r="G35" s="401">
        <v>43532</v>
      </c>
    </row>
    <row r="36" spans="1:8" x14ac:dyDescent="0.25">
      <c r="A36" s="77" t="s">
        <v>1159</v>
      </c>
      <c r="B36" t="s">
        <v>1203</v>
      </c>
      <c r="C36" t="s">
        <v>1204</v>
      </c>
      <c r="E36" s="407"/>
      <c r="F36" s="410">
        <f t="shared" si="0"/>
        <v>0</v>
      </c>
    </row>
    <row r="37" spans="1:8" x14ac:dyDescent="0.25">
      <c r="A37" s="77" t="s">
        <v>1159</v>
      </c>
      <c r="B37" t="s">
        <v>1205</v>
      </c>
      <c r="C37" t="s">
        <v>1206</v>
      </c>
      <c r="E37" s="407">
        <v>800</v>
      </c>
      <c r="F37" s="410">
        <f t="shared" si="0"/>
        <v>640</v>
      </c>
      <c r="G37" s="401">
        <v>43532</v>
      </c>
    </row>
    <row r="38" spans="1:8" x14ac:dyDescent="0.25">
      <c r="A38" s="77" t="s">
        <v>1159</v>
      </c>
      <c r="B38" t="s">
        <v>1207</v>
      </c>
      <c r="C38" t="s">
        <v>1208</v>
      </c>
      <c r="E38" s="407">
        <v>2000</v>
      </c>
      <c r="F38" s="410">
        <f t="shared" si="0"/>
        <v>1600</v>
      </c>
      <c r="G38" s="401">
        <v>43532</v>
      </c>
    </row>
    <row r="39" spans="1:8" x14ac:dyDescent="0.25">
      <c r="A39" s="77" t="s">
        <v>1159</v>
      </c>
      <c r="B39" t="s">
        <v>1209</v>
      </c>
      <c r="C39" t="s">
        <v>1210</v>
      </c>
      <c r="D39" t="s">
        <v>1211</v>
      </c>
      <c r="E39" s="407">
        <f>2000+2000</f>
        <v>4000</v>
      </c>
      <c r="F39" s="410">
        <f t="shared" si="0"/>
        <v>3200</v>
      </c>
      <c r="G39" s="401" t="s">
        <v>1212</v>
      </c>
      <c r="H39" t="s">
        <v>1213</v>
      </c>
    </row>
    <row r="40" spans="1:8" x14ac:dyDescent="0.25">
      <c r="A40" s="77" t="s">
        <v>1159</v>
      </c>
      <c r="B40" t="s">
        <v>1214</v>
      </c>
      <c r="C40" t="s">
        <v>1211</v>
      </c>
      <c r="D40" t="s">
        <v>1215</v>
      </c>
      <c r="E40" s="407">
        <v>2000</v>
      </c>
      <c r="F40" s="410">
        <f t="shared" si="0"/>
        <v>1600</v>
      </c>
      <c r="G40" s="401">
        <v>43524</v>
      </c>
      <c r="H40" t="s">
        <v>1216</v>
      </c>
    </row>
    <row r="41" spans="1:8" x14ac:dyDescent="0.25">
      <c r="A41" s="77" t="s">
        <v>1159</v>
      </c>
      <c r="B41" t="s">
        <v>1217</v>
      </c>
      <c r="C41" t="s">
        <v>1215</v>
      </c>
      <c r="E41" s="407"/>
      <c r="F41" s="410">
        <f t="shared" si="0"/>
        <v>0</v>
      </c>
    </row>
    <row r="42" spans="1:8" x14ac:dyDescent="0.25">
      <c r="A42" s="77" t="s">
        <v>1159</v>
      </c>
      <c r="B42" t="s">
        <v>1218</v>
      </c>
      <c r="C42" t="s">
        <v>1219</v>
      </c>
      <c r="E42" s="407"/>
      <c r="F42" s="410">
        <f t="shared" si="0"/>
        <v>0</v>
      </c>
    </row>
    <row r="43" spans="1:8" x14ac:dyDescent="0.25">
      <c r="A43" s="77" t="s">
        <v>1159</v>
      </c>
      <c r="B43" t="s">
        <v>1220</v>
      </c>
      <c r="C43" t="s">
        <v>1221</v>
      </c>
      <c r="E43" s="407">
        <v>2000</v>
      </c>
      <c r="F43" s="410">
        <f t="shared" si="0"/>
        <v>1600</v>
      </c>
      <c r="G43" s="401">
        <v>43532</v>
      </c>
    </row>
    <row r="44" spans="1:8" x14ac:dyDescent="0.25">
      <c r="A44" s="77" t="s">
        <v>1222</v>
      </c>
      <c r="B44" t="s">
        <v>1223</v>
      </c>
      <c r="C44" t="s">
        <v>1224</v>
      </c>
      <c r="E44" s="407">
        <f>1900+700</f>
        <v>2600</v>
      </c>
      <c r="F44" s="410">
        <f t="shared" si="0"/>
        <v>2080</v>
      </c>
      <c r="G44" s="401" t="s">
        <v>1225</v>
      </c>
      <c r="H44" t="s">
        <v>1226</v>
      </c>
    </row>
    <row r="45" spans="1:8" x14ac:dyDescent="0.25">
      <c r="A45" s="77" t="s">
        <v>1222</v>
      </c>
      <c r="B45" t="s">
        <v>1227</v>
      </c>
      <c r="C45" t="s">
        <v>1228</v>
      </c>
      <c r="E45" s="407">
        <v>2000</v>
      </c>
      <c r="F45" s="410">
        <f t="shared" si="0"/>
        <v>1600</v>
      </c>
      <c r="G45" s="401">
        <v>43528</v>
      </c>
    </row>
    <row r="46" spans="1:8" x14ac:dyDescent="0.25">
      <c r="A46" s="77" t="s">
        <v>1222</v>
      </c>
      <c r="B46" t="s">
        <v>1229</v>
      </c>
      <c r="C46" t="s">
        <v>1230</v>
      </c>
      <c r="D46" t="s">
        <v>1230</v>
      </c>
      <c r="E46" s="407">
        <f>2000+1800</f>
        <v>3800</v>
      </c>
      <c r="F46" s="410">
        <f t="shared" si="0"/>
        <v>3040</v>
      </c>
      <c r="G46" s="401" t="s">
        <v>1231</v>
      </c>
      <c r="H46" t="s">
        <v>1232</v>
      </c>
    </row>
    <row r="47" spans="1:8" x14ac:dyDescent="0.25">
      <c r="A47" s="77" t="s">
        <v>1222</v>
      </c>
      <c r="B47" t="s">
        <v>1233</v>
      </c>
      <c r="C47" t="s">
        <v>1234</v>
      </c>
      <c r="D47" t="s">
        <v>1234</v>
      </c>
      <c r="E47" s="407">
        <f>2000+1000</f>
        <v>3000</v>
      </c>
      <c r="F47" s="410">
        <f t="shared" si="0"/>
        <v>2400</v>
      </c>
      <c r="G47" s="401" t="s">
        <v>1235</v>
      </c>
      <c r="H47" t="s">
        <v>1236</v>
      </c>
    </row>
    <row r="48" spans="1:8" x14ac:dyDescent="0.25">
      <c r="A48" s="77" t="s">
        <v>1222</v>
      </c>
      <c r="B48" t="s">
        <v>1237</v>
      </c>
      <c r="C48" t="s">
        <v>1238</v>
      </c>
      <c r="E48" s="407">
        <v>2000</v>
      </c>
      <c r="F48" s="410">
        <f t="shared" si="0"/>
        <v>1600</v>
      </c>
      <c r="G48" s="401">
        <v>43534</v>
      </c>
    </row>
    <row r="49" spans="1:8" x14ac:dyDescent="0.25">
      <c r="A49" s="77" t="s">
        <v>1222</v>
      </c>
      <c r="B49" t="s">
        <v>1239</v>
      </c>
      <c r="C49" t="s">
        <v>1240</v>
      </c>
      <c r="E49" s="407">
        <v>2000</v>
      </c>
      <c r="F49" s="410">
        <f t="shared" si="0"/>
        <v>1600</v>
      </c>
      <c r="G49" s="401">
        <v>43532</v>
      </c>
    </row>
    <row r="50" spans="1:8" x14ac:dyDescent="0.25">
      <c r="A50" s="77" t="s">
        <v>1222</v>
      </c>
      <c r="B50" t="s">
        <v>1241</v>
      </c>
      <c r="C50" t="s">
        <v>1242</v>
      </c>
      <c r="E50" s="407">
        <v>2000</v>
      </c>
      <c r="F50" s="410">
        <f t="shared" si="0"/>
        <v>1600</v>
      </c>
      <c r="G50" s="401">
        <v>43531</v>
      </c>
      <c r="H50" t="s">
        <v>1243</v>
      </c>
    </row>
    <row r="51" spans="1:8" x14ac:dyDescent="0.25">
      <c r="A51" s="77" t="s">
        <v>1222</v>
      </c>
      <c r="B51" t="s">
        <v>1244</v>
      </c>
      <c r="C51" t="s">
        <v>1245</v>
      </c>
      <c r="E51" s="407">
        <f>2000</f>
        <v>2000</v>
      </c>
      <c r="F51" s="410">
        <f t="shared" si="0"/>
        <v>1600</v>
      </c>
      <c r="G51" s="401">
        <v>43534</v>
      </c>
    </row>
    <row r="52" spans="1:8" x14ac:dyDescent="0.25">
      <c r="A52" s="77" t="s">
        <v>1222</v>
      </c>
      <c r="B52" t="s">
        <v>1246</v>
      </c>
      <c r="C52" t="s">
        <v>1247</v>
      </c>
      <c r="D52" t="s">
        <v>1247</v>
      </c>
      <c r="E52" s="407">
        <v>2000</v>
      </c>
      <c r="F52" s="410">
        <f t="shared" si="0"/>
        <v>1600</v>
      </c>
      <c r="G52" s="401">
        <v>43529</v>
      </c>
    </row>
    <row r="53" spans="1:8" x14ac:dyDescent="0.25">
      <c r="A53" s="77" t="s">
        <v>1222</v>
      </c>
      <c r="B53" t="s">
        <v>1248</v>
      </c>
      <c r="C53" t="s">
        <v>1249</v>
      </c>
      <c r="E53" s="407"/>
      <c r="F53" s="410">
        <f t="shared" si="0"/>
        <v>0</v>
      </c>
    </row>
    <row r="54" spans="1:8" x14ac:dyDescent="0.25">
      <c r="A54" s="77" t="s">
        <v>1222</v>
      </c>
      <c r="B54" t="s">
        <v>1250</v>
      </c>
      <c r="C54" t="s">
        <v>1251</v>
      </c>
      <c r="D54" t="s">
        <v>1251</v>
      </c>
      <c r="E54" s="407">
        <f>2000+2000+1100</f>
        <v>5100</v>
      </c>
      <c r="F54" s="410">
        <f t="shared" si="0"/>
        <v>4080</v>
      </c>
      <c r="G54" s="401" t="s">
        <v>1252</v>
      </c>
      <c r="H54" t="s">
        <v>1253</v>
      </c>
    </row>
    <row r="55" spans="1:8" x14ac:dyDescent="0.25">
      <c r="A55" s="77" t="s">
        <v>1222</v>
      </c>
      <c r="B55" s="406" t="s">
        <v>1254</v>
      </c>
      <c r="C55" t="s">
        <v>1255</v>
      </c>
      <c r="E55" s="407">
        <v>500</v>
      </c>
      <c r="F55" s="410">
        <f t="shared" si="0"/>
        <v>400</v>
      </c>
      <c r="G55" s="401">
        <v>43530</v>
      </c>
      <c r="H55" t="s">
        <v>1256</v>
      </c>
    </row>
    <row r="56" spans="1:8" x14ac:dyDescent="0.25">
      <c r="A56" s="77" t="s">
        <v>1222</v>
      </c>
      <c r="B56" t="s">
        <v>1257</v>
      </c>
      <c r="C56" t="s">
        <v>1258</v>
      </c>
      <c r="D56" t="s">
        <v>1258</v>
      </c>
      <c r="E56" s="407">
        <f>2000+2100</f>
        <v>4100</v>
      </c>
      <c r="F56" s="410">
        <f t="shared" si="0"/>
        <v>3280</v>
      </c>
      <c r="G56" s="401" t="s">
        <v>1259</v>
      </c>
      <c r="H56" t="s">
        <v>1260</v>
      </c>
    </row>
    <row r="57" spans="1:8" x14ac:dyDescent="0.25">
      <c r="A57" s="77" t="s">
        <v>1222</v>
      </c>
      <c r="B57" t="s">
        <v>1261</v>
      </c>
      <c r="C57" t="s">
        <v>1262</v>
      </c>
      <c r="E57" s="407">
        <v>1300</v>
      </c>
      <c r="F57" s="410">
        <f t="shared" si="0"/>
        <v>1040</v>
      </c>
      <c r="G57" s="401">
        <v>43532</v>
      </c>
    </row>
    <row r="58" spans="1:8" x14ac:dyDescent="0.25">
      <c r="A58" s="77" t="s">
        <v>1222</v>
      </c>
      <c r="B58" t="s">
        <v>1263</v>
      </c>
      <c r="C58" t="s">
        <v>1264</v>
      </c>
      <c r="E58" s="407">
        <v>2000</v>
      </c>
      <c r="F58" s="410">
        <f t="shared" si="0"/>
        <v>1600</v>
      </c>
      <c r="G58" s="401">
        <v>43532</v>
      </c>
    </row>
    <row r="59" spans="1:8" x14ac:dyDescent="0.25">
      <c r="A59" s="77" t="s">
        <v>1222</v>
      </c>
      <c r="B59" t="s">
        <v>1265</v>
      </c>
      <c r="C59" t="s">
        <v>1266</v>
      </c>
      <c r="D59" t="s">
        <v>1266</v>
      </c>
      <c r="E59" s="407">
        <v>2000</v>
      </c>
      <c r="F59" s="410">
        <f t="shared" si="0"/>
        <v>1600</v>
      </c>
      <c r="G59" s="401">
        <v>43528</v>
      </c>
    </row>
    <row r="60" spans="1:8" x14ac:dyDescent="0.25">
      <c r="A60" s="77" t="s">
        <v>1222</v>
      </c>
      <c r="B60" t="s">
        <v>1267</v>
      </c>
      <c r="C60" t="s">
        <v>1268</v>
      </c>
      <c r="D60" t="s">
        <v>1268</v>
      </c>
      <c r="E60" s="407">
        <v>2000</v>
      </c>
      <c r="F60" s="410">
        <f t="shared" si="0"/>
        <v>1600</v>
      </c>
      <c r="G60" s="401">
        <v>43531</v>
      </c>
    </row>
    <row r="61" spans="1:8" x14ac:dyDescent="0.25">
      <c r="A61" s="77" t="s">
        <v>1222</v>
      </c>
      <c r="B61" t="s">
        <v>1269</v>
      </c>
      <c r="C61" t="s">
        <v>1270</v>
      </c>
      <c r="E61" s="407">
        <f>5400+1500+4700+1700+2300+7300+2200+1000+700+400+3900</f>
        <v>31100</v>
      </c>
      <c r="F61" s="410">
        <f t="shared" si="0"/>
        <v>24880</v>
      </c>
      <c r="G61" s="401" t="s">
        <v>1271</v>
      </c>
      <c r="H61" t="s">
        <v>1272</v>
      </c>
    </row>
    <row r="62" spans="1:8" x14ac:dyDescent="0.25">
      <c r="A62" s="77" t="s">
        <v>1222</v>
      </c>
      <c r="B62" t="s">
        <v>1273</v>
      </c>
      <c r="C62" t="s">
        <v>1274</v>
      </c>
      <c r="E62" s="407">
        <v>2000</v>
      </c>
      <c r="F62" s="410">
        <f t="shared" si="0"/>
        <v>1600</v>
      </c>
      <c r="G62" s="401">
        <v>43532</v>
      </c>
    </row>
    <row r="63" spans="1:8" x14ac:dyDescent="0.25">
      <c r="A63" s="77" t="s">
        <v>1222</v>
      </c>
      <c r="B63" t="s">
        <v>1275</v>
      </c>
      <c r="C63" t="s">
        <v>1276</v>
      </c>
      <c r="E63" s="407"/>
      <c r="F63" s="410">
        <f t="shared" si="0"/>
        <v>0</v>
      </c>
    </row>
    <row r="64" spans="1:8" x14ac:dyDescent="0.25">
      <c r="A64" s="77" t="s">
        <v>1222</v>
      </c>
      <c r="B64" t="s">
        <v>1432</v>
      </c>
      <c r="C64" t="s">
        <v>1278</v>
      </c>
      <c r="D64" t="s">
        <v>1278</v>
      </c>
      <c r="E64" s="407">
        <v>2000</v>
      </c>
      <c r="F64" s="410">
        <f t="shared" si="0"/>
        <v>1600</v>
      </c>
      <c r="G64" s="401">
        <v>43532</v>
      </c>
    </row>
    <row r="65" spans="1:8" x14ac:dyDescent="0.25">
      <c r="A65" s="77" t="s">
        <v>1279</v>
      </c>
      <c r="B65" t="s">
        <v>1280</v>
      </c>
      <c r="C65" t="s">
        <v>1281</v>
      </c>
      <c r="E65" s="407"/>
      <c r="F65" s="410">
        <f t="shared" si="0"/>
        <v>0</v>
      </c>
    </row>
    <row r="66" spans="1:8" x14ac:dyDescent="0.25">
      <c r="A66" s="77" t="s">
        <v>1279</v>
      </c>
      <c r="B66" t="s">
        <v>1282</v>
      </c>
      <c r="C66" t="s">
        <v>1283</v>
      </c>
      <c r="E66" s="407"/>
      <c r="F66" s="410">
        <f t="shared" si="0"/>
        <v>0</v>
      </c>
    </row>
    <row r="67" spans="1:8" x14ac:dyDescent="0.25">
      <c r="A67" s="77" t="s">
        <v>1279</v>
      </c>
      <c r="B67" t="s">
        <v>1284</v>
      </c>
      <c r="C67" t="s">
        <v>1285</v>
      </c>
      <c r="E67" s="407">
        <v>3000</v>
      </c>
      <c r="F67" s="410">
        <f t="shared" si="0"/>
        <v>2400</v>
      </c>
      <c r="G67" s="401">
        <v>43532</v>
      </c>
      <c r="H67" t="s">
        <v>1286</v>
      </c>
    </row>
    <row r="68" spans="1:8" x14ac:dyDescent="0.25">
      <c r="A68" s="77" t="s">
        <v>1279</v>
      </c>
      <c r="B68" t="s">
        <v>1287</v>
      </c>
      <c r="C68" t="s">
        <v>1288</v>
      </c>
      <c r="E68" s="407">
        <v>1100</v>
      </c>
      <c r="F68" s="410">
        <f t="shared" ref="F68:F87" si="1">E68*0.8</f>
        <v>880</v>
      </c>
      <c r="G68" s="401">
        <v>43532</v>
      </c>
    </row>
    <row r="69" spans="1:8" x14ac:dyDescent="0.25">
      <c r="A69" s="77" t="s">
        <v>1279</v>
      </c>
      <c r="B69" t="s">
        <v>1289</v>
      </c>
      <c r="C69" t="s">
        <v>1290</v>
      </c>
      <c r="E69" s="407">
        <v>1200</v>
      </c>
      <c r="F69" s="410">
        <f t="shared" si="1"/>
        <v>960</v>
      </c>
      <c r="G69" s="401">
        <v>43532</v>
      </c>
    </row>
    <row r="70" spans="1:8" x14ac:dyDescent="0.25">
      <c r="A70" s="77" t="s">
        <v>1279</v>
      </c>
      <c r="B70" t="s">
        <v>1291</v>
      </c>
      <c r="C70" t="s">
        <v>1292</v>
      </c>
      <c r="D70" t="s">
        <v>1292</v>
      </c>
      <c r="E70" s="407">
        <f>2000+2000</f>
        <v>4000</v>
      </c>
      <c r="F70" s="410">
        <f t="shared" si="1"/>
        <v>3200</v>
      </c>
      <c r="G70" s="401" t="s">
        <v>1293</v>
      </c>
      <c r="H70" t="s">
        <v>1294</v>
      </c>
    </row>
    <row r="71" spans="1:8" x14ac:dyDescent="0.25">
      <c r="A71" s="77" t="s">
        <v>1279</v>
      </c>
      <c r="B71" t="s">
        <v>1295</v>
      </c>
      <c r="C71" t="s">
        <v>1296</v>
      </c>
      <c r="E71" s="407"/>
      <c r="F71" s="410">
        <f t="shared" si="1"/>
        <v>0</v>
      </c>
    </row>
    <row r="72" spans="1:8" x14ac:dyDescent="0.25">
      <c r="A72" s="77" t="s">
        <v>1279</v>
      </c>
      <c r="B72" t="s">
        <v>1297</v>
      </c>
      <c r="C72" t="s">
        <v>1298</v>
      </c>
      <c r="E72" s="407">
        <v>100</v>
      </c>
      <c r="F72" s="410">
        <f t="shared" si="1"/>
        <v>80</v>
      </c>
      <c r="G72" s="401">
        <v>43532</v>
      </c>
    </row>
    <row r="73" spans="1:8" x14ac:dyDescent="0.25">
      <c r="A73" s="77" t="s">
        <v>1279</v>
      </c>
      <c r="B73" t="s">
        <v>1299</v>
      </c>
      <c r="C73" t="s">
        <v>1300</v>
      </c>
      <c r="D73" t="s">
        <v>1300</v>
      </c>
      <c r="E73" s="407">
        <f>700+1300</f>
        <v>2000</v>
      </c>
      <c r="F73" s="410">
        <f t="shared" si="1"/>
        <v>1600</v>
      </c>
      <c r="G73" s="401" t="s">
        <v>1301</v>
      </c>
    </row>
    <row r="74" spans="1:8" x14ac:dyDescent="0.25">
      <c r="A74" s="77" t="s">
        <v>1279</v>
      </c>
      <c r="B74" t="s">
        <v>1302</v>
      </c>
      <c r="C74" t="s">
        <v>1303</v>
      </c>
      <c r="D74" t="s">
        <v>1303</v>
      </c>
      <c r="E74" s="407">
        <f>2000+1000</f>
        <v>3000</v>
      </c>
      <c r="F74" s="410">
        <f t="shared" si="1"/>
        <v>2400</v>
      </c>
      <c r="G74" s="401" t="s">
        <v>1304</v>
      </c>
      <c r="H74" t="s">
        <v>1305</v>
      </c>
    </row>
    <row r="75" spans="1:8" x14ac:dyDescent="0.25">
      <c r="A75" s="77" t="s">
        <v>1279</v>
      </c>
      <c r="B75" t="s">
        <v>1306</v>
      </c>
      <c r="C75" t="s">
        <v>1307</v>
      </c>
      <c r="E75" s="407">
        <v>2000</v>
      </c>
      <c r="F75" s="410">
        <f t="shared" si="1"/>
        <v>1600</v>
      </c>
      <c r="G75" s="401">
        <v>43516</v>
      </c>
      <c r="H75" t="s">
        <v>1308</v>
      </c>
    </row>
    <row r="76" spans="1:8" x14ac:dyDescent="0.25">
      <c r="A76" s="77" t="s">
        <v>1279</v>
      </c>
      <c r="B76" t="s">
        <v>1309</v>
      </c>
      <c r="C76" t="s">
        <v>1310</v>
      </c>
      <c r="E76" s="407"/>
      <c r="F76" s="410">
        <f t="shared" si="1"/>
        <v>0</v>
      </c>
    </row>
    <row r="77" spans="1:8" x14ac:dyDescent="0.25">
      <c r="A77" s="77" t="s">
        <v>1279</v>
      </c>
      <c r="B77" t="s">
        <v>1311</v>
      </c>
      <c r="C77" t="s">
        <v>1312</v>
      </c>
      <c r="D77" t="s">
        <v>1312</v>
      </c>
      <c r="E77" s="407">
        <v>2000</v>
      </c>
      <c r="F77" s="410">
        <f t="shared" si="1"/>
        <v>1600</v>
      </c>
      <c r="G77" s="401">
        <v>43494</v>
      </c>
      <c r="H77" t="s">
        <v>1313</v>
      </c>
    </row>
    <row r="78" spans="1:8" x14ac:dyDescent="0.25">
      <c r="A78" s="77" t="s">
        <v>1279</v>
      </c>
      <c r="B78" t="s">
        <v>1314</v>
      </c>
      <c r="C78" t="s">
        <v>1315</v>
      </c>
      <c r="E78" s="407"/>
      <c r="F78" s="410">
        <f t="shared" si="1"/>
        <v>0</v>
      </c>
    </row>
    <row r="79" spans="1:8" x14ac:dyDescent="0.25">
      <c r="A79" s="77" t="s">
        <v>1279</v>
      </c>
      <c r="B79" t="s">
        <v>1316</v>
      </c>
      <c r="C79" t="s">
        <v>1317</v>
      </c>
      <c r="D79" t="s">
        <v>1317</v>
      </c>
      <c r="E79" s="407">
        <f>2000+2000</f>
        <v>4000</v>
      </c>
      <c r="F79" s="410">
        <f t="shared" si="1"/>
        <v>3200</v>
      </c>
      <c r="G79" s="401" t="s">
        <v>1318</v>
      </c>
      <c r="H79" t="s">
        <v>1319</v>
      </c>
    </row>
    <row r="80" spans="1:8" x14ac:dyDescent="0.25">
      <c r="A80" s="77" t="s">
        <v>1279</v>
      </c>
      <c r="B80" s="25" t="s">
        <v>77</v>
      </c>
      <c r="C80" t="s">
        <v>1321</v>
      </c>
      <c r="E80" s="407">
        <v>2000</v>
      </c>
      <c r="F80" s="410">
        <f t="shared" si="1"/>
        <v>1600</v>
      </c>
      <c r="G80" s="401">
        <v>43532</v>
      </c>
    </row>
    <row r="81" spans="1:8" x14ac:dyDescent="0.25">
      <c r="A81" s="77" t="s">
        <v>1279</v>
      </c>
      <c r="B81" t="s">
        <v>1322</v>
      </c>
      <c r="C81" t="s">
        <v>1323</v>
      </c>
      <c r="D81" t="s">
        <v>1323</v>
      </c>
      <c r="E81" s="407">
        <v>1300</v>
      </c>
      <c r="F81" s="410">
        <f t="shared" si="1"/>
        <v>1040</v>
      </c>
      <c r="G81" s="401">
        <v>43530</v>
      </c>
    </row>
    <row r="82" spans="1:8" x14ac:dyDescent="0.25">
      <c r="A82" s="77" t="s">
        <v>1279</v>
      </c>
      <c r="B82" t="s">
        <v>1324</v>
      </c>
      <c r="C82" t="s">
        <v>1325</v>
      </c>
      <c r="E82" s="407"/>
      <c r="F82" s="410">
        <f t="shared" si="1"/>
        <v>0</v>
      </c>
    </row>
    <row r="83" spans="1:8" x14ac:dyDescent="0.25">
      <c r="A83" s="77" t="s">
        <v>1279</v>
      </c>
      <c r="B83" t="s">
        <v>1326</v>
      </c>
      <c r="C83" t="s">
        <v>1327</v>
      </c>
      <c r="E83" s="407">
        <v>600</v>
      </c>
      <c r="F83" s="410">
        <f t="shared" si="1"/>
        <v>480</v>
      </c>
      <c r="G83" s="401">
        <v>43532</v>
      </c>
    </row>
    <row r="84" spans="1:8" x14ac:dyDescent="0.25">
      <c r="A84" s="77" t="s">
        <v>1279</v>
      </c>
      <c r="B84" t="s">
        <v>1328</v>
      </c>
      <c r="C84" t="s">
        <v>1329</v>
      </c>
      <c r="D84" t="s">
        <v>1329</v>
      </c>
      <c r="E84" s="407">
        <f>2000+700</f>
        <v>2700</v>
      </c>
      <c r="F84" s="410">
        <f t="shared" si="1"/>
        <v>2160</v>
      </c>
      <c r="G84" s="401" t="s">
        <v>1330</v>
      </c>
      <c r="H84" t="s">
        <v>1331</v>
      </c>
    </row>
    <row r="85" spans="1:8" x14ac:dyDescent="0.25">
      <c r="A85" s="77" t="s">
        <v>1279</v>
      </c>
      <c r="B85" t="s">
        <v>1332</v>
      </c>
      <c r="C85" t="s">
        <v>1333</v>
      </c>
      <c r="E85" s="407">
        <v>1600</v>
      </c>
      <c r="F85" s="410">
        <f t="shared" si="1"/>
        <v>1280</v>
      </c>
      <c r="G85" s="401">
        <v>43532</v>
      </c>
    </row>
    <row r="86" spans="1:8" x14ac:dyDescent="0.25">
      <c r="A86" s="77" t="s">
        <v>1279</v>
      </c>
      <c r="B86" t="s">
        <v>1334</v>
      </c>
      <c r="C86" t="s">
        <v>1335</v>
      </c>
      <c r="E86" s="407"/>
      <c r="F86" s="410">
        <f t="shared" si="1"/>
        <v>0</v>
      </c>
    </row>
    <row r="87" spans="1:8" x14ac:dyDescent="0.25">
      <c r="C87" t="s">
        <v>1336</v>
      </c>
      <c r="E87" s="407"/>
      <c r="F87" s="410">
        <f t="shared" si="1"/>
        <v>0</v>
      </c>
      <c r="G87" s="401"/>
    </row>
    <row r="88" spans="1:8" x14ac:dyDescent="0.25">
      <c r="E88" s="407">
        <f>SUM(E2:E87)</f>
        <v>196100</v>
      </c>
      <c r="F88" s="410"/>
      <c r="G88" s="401"/>
    </row>
    <row r="89" spans="1:8" x14ac:dyDescent="0.25">
      <c r="D89" t="s">
        <v>1337</v>
      </c>
      <c r="E89" s="408">
        <v>39220</v>
      </c>
      <c r="F89" s="411"/>
      <c r="G89" s="401"/>
    </row>
    <row r="90" spans="1:8" x14ac:dyDescent="0.25">
      <c r="D90" t="s">
        <v>1338</v>
      </c>
      <c r="E90" s="408">
        <v>156880</v>
      </c>
      <c r="F90" s="411"/>
      <c r="G90" s="401"/>
    </row>
    <row r="91" spans="1:8" x14ac:dyDescent="0.25">
      <c r="E91" s="407"/>
      <c r="F91" s="410"/>
      <c r="G91" s="401"/>
    </row>
    <row r="92" spans="1:8" x14ac:dyDescent="0.25">
      <c r="E92" s="407"/>
      <c r="F92" s="410"/>
      <c r="G92" s="401"/>
    </row>
  </sheetData>
  <autoFilter ref="A1:I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Right="0"/>
  </sheetPr>
  <dimension ref="A2:DB194"/>
  <sheetViews>
    <sheetView zoomScale="70" zoomScaleNormal="70" zoomScalePageLayoutView="70" workbookViewId="0">
      <pane xSplit="75" ySplit="9" topLeftCell="BX16" activePane="bottomRight" state="frozen"/>
      <selection pane="topRight" activeCell="BX1" sqref="BX1"/>
      <selection pane="bottomLeft" activeCell="A10" sqref="A10"/>
      <selection pane="bottomRight" activeCell="J21" sqref="J21"/>
    </sheetView>
  </sheetViews>
  <sheetFormatPr baseColWidth="10" defaultColWidth="11.42578125" defaultRowHeight="15" outlineLevelCol="1" x14ac:dyDescent="0.2"/>
  <cols>
    <col min="1" max="1" width="2.42578125" style="104" customWidth="1" collapsed="1"/>
    <col min="2" max="4" width="33.28515625" style="104" hidden="1" customWidth="1" outlineLevel="1"/>
    <col min="5" max="6" width="21.7109375" style="104" hidden="1" customWidth="1" outlineLevel="1"/>
    <col min="7" max="7" width="35.7109375" style="104" hidden="1" customWidth="1" outlineLevel="1"/>
    <col min="8" max="8" width="23.42578125" style="105" hidden="1" customWidth="1" outlineLevel="1"/>
    <col min="9" max="9" width="11.42578125" style="107" bestFit="1" customWidth="1"/>
    <col min="10" max="10" width="19.42578125" style="107" customWidth="1"/>
    <col min="11" max="11" width="22.42578125" style="107" bestFit="1" customWidth="1"/>
    <col min="12" max="12" width="24.28515625" style="107" customWidth="1"/>
    <col min="13" max="13" width="2.140625" style="107" customWidth="1" collapsed="1"/>
    <col min="14" max="14" width="34.140625" style="107" hidden="1" customWidth="1" outlineLevel="1"/>
    <col min="15" max="15" width="26.42578125" style="107" hidden="1" customWidth="1" outlineLevel="1"/>
    <col min="16" max="18" width="20.7109375" style="108" hidden="1" customWidth="1" outlineLevel="1"/>
    <col min="19" max="19" width="20.7109375" style="109" hidden="1" customWidth="1" outlineLevel="1"/>
    <col min="20" max="22" width="20.7109375" style="108" hidden="1" customWidth="1" outlineLevel="1"/>
    <col min="23" max="23" width="20.7109375" style="110" hidden="1" customWidth="1" outlineLevel="1"/>
    <col min="24" max="27" width="20.7109375" style="108" hidden="1" customWidth="1" outlineLevel="1"/>
    <col min="28" max="28" width="20.7109375" style="110" hidden="1" customWidth="1" outlineLevel="1"/>
    <col min="29" max="33" width="20.7109375" style="108" hidden="1" customWidth="1" outlineLevel="1"/>
    <col min="34" max="34" width="2.85546875" style="111" customWidth="1" collapsed="1"/>
    <col min="35" max="36" width="29.28515625" style="112" hidden="1" customWidth="1" outlineLevel="1"/>
    <col min="37" max="38" width="25.7109375" style="107" hidden="1" customWidth="1" outlineLevel="1"/>
    <col min="39" max="41" width="19.7109375" style="108" hidden="1" customWidth="1" outlineLevel="1"/>
    <col min="42" max="42" width="19.7109375" style="107" hidden="1" customWidth="1" outlineLevel="1"/>
    <col min="43" max="43" width="19.7109375" style="110" hidden="1" customWidth="1" outlineLevel="1"/>
    <col min="44" max="46" width="20.7109375" style="108" hidden="1" customWidth="1" outlineLevel="1"/>
    <col min="47" max="47" width="20.7109375" style="110" hidden="1" customWidth="1" outlineLevel="1"/>
    <col min="48" max="48" width="20.7109375" style="108" hidden="1" customWidth="1" outlineLevel="1"/>
    <col min="49" max="49" width="20.7109375" style="110" hidden="1" customWidth="1" outlineLevel="1"/>
    <col min="50" max="50" width="20.7109375" style="113" hidden="1" customWidth="1" outlineLevel="1"/>
    <col min="51" max="52" width="20.7109375" style="110" hidden="1" customWidth="1" outlineLevel="1"/>
    <col min="53" max="53" width="20.7109375" style="108" hidden="1" customWidth="1" outlineLevel="1"/>
    <col min="54" max="54" width="18.7109375" style="108" hidden="1" customWidth="1" outlineLevel="1"/>
    <col min="55" max="55" width="20.7109375" style="110" hidden="1" customWidth="1" outlineLevel="1"/>
    <col min="56" max="57" width="20.7109375" style="108" hidden="1" customWidth="1" outlineLevel="1"/>
    <col min="58" max="58" width="20.7109375" style="107" hidden="1" customWidth="1" outlineLevel="1"/>
    <col min="59" max="60" width="20.7109375" style="108" hidden="1" customWidth="1" outlineLevel="1"/>
    <col min="61" max="61" width="20.7109375" style="110" hidden="1" customWidth="1" outlineLevel="1"/>
    <col min="62" max="64" width="20.7109375" style="108" hidden="1" customWidth="1" outlineLevel="1"/>
    <col min="65" max="65" width="27.42578125" style="108" hidden="1" customWidth="1" outlineLevel="1"/>
    <col min="66" max="66" width="20.7109375" style="108" hidden="1" customWidth="1" outlineLevel="1"/>
    <col min="67" max="67" width="66.42578125" style="114" hidden="1" customWidth="1" outlineLevel="1"/>
    <col min="68" max="68" width="29.7109375" style="107" hidden="1" customWidth="1" outlineLevel="1"/>
    <col min="69" max="69" width="27" style="107" hidden="1" customWidth="1" outlineLevel="1"/>
    <col min="70" max="70" width="15.85546875" style="115" hidden="1" customWidth="1" outlineLevel="1"/>
    <col min="71" max="71" width="11.42578125" style="104" hidden="1" customWidth="1" outlineLevel="1"/>
    <col min="72" max="72" width="15.85546875" style="115" hidden="1" customWidth="1" outlineLevel="1"/>
    <col min="73" max="73" width="14.140625" style="115" hidden="1" customWidth="1" outlineLevel="1"/>
    <col min="74" max="74" width="11.42578125" style="115" hidden="1" customWidth="1" outlineLevel="1"/>
    <col min="75" max="75" width="5.140625" style="104" hidden="1" customWidth="1" outlineLevel="1"/>
    <col min="76" max="76" width="28.28515625" style="104" bestFit="1" customWidth="1"/>
    <col min="77" max="78" width="17.42578125" style="104" customWidth="1"/>
    <col min="79" max="81" width="17.42578125" style="115" customWidth="1"/>
    <col min="82" max="83" width="17.42578125" style="104" customWidth="1"/>
    <col min="84" max="84" width="17.42578125" style="115" customWidth="1"/>
    <col min="85" max="85" width="17.42578125" style="104" customWidth="1"/>
    <col min="86" max="86" width="17.42578125" style="115" customWidth="1"/>
    <col min="87" max="87" width="17.42578125" style="104" customWidth="1"/>
    <col min="88" max="88" width="17.42578125" style="115" customWidth="1"/>
    <col min="89" max="89" width="17.42578125" style="104" customWidth="1"/>
    <col min="90" max="90" width="17.42578125" style="115" customWidth="1"/>
    <col min="91" max="91" width="17.42578125" style="104" customWidth="1"/>
    <col min="92" max="92" width="17.42578125" style="115" customWidth="1"/>
    <col min="93" max="93" width="17.42578125" style="116" customWidth="1"/>
    <col min="94" max="96" width="17.42578125" style="115" customWidth="1"/>
    <col min="97" max="97" width="17.42578125" style="104" customWidth="1"/>
    <col min="98" max="98" width="17.42578125" style="116" customWidth="1"/>
    <col min="99" max="100" width="17.42578125" style="115" customWidth="1"/>
    <col min="101" max="101" width="17.42578125" style="116" customWidth="1"/>
    <col min="102" max="104" width="17.42578125" style="115" customWidth="1"/>
    <col min="105" max="105" width="21.85546875" style="115" customWidth="1"/>
    <col min="106" max="106" width="18.42578125" style="104" customWidth="1"/>
    <col min="107" max="16384" width="11.42578125" style="104"/>
  </cols>
  <sheetData>
    <row r="2" spans="2:106" ht="18" x14ac:dyDescent="0.25">
      <c r="I2" s="106" t="s">
        <v>157</v>
      </c>
    </row>
    <row r="3" spans="2:106" x14ac:dyDescent="0.2">
      <c r="I3" s="117" t="s">
        <v>158</v>
      </c>
    </row>
    <row r="4" spans="2:106" s="118" customFormat="1" ht="24.75" customHeight="1" x14ac:dyDescent="0.25">
      <c r="H4" s="119"/>
      <c r="I4" s="120"/>
      <c r="J4" s="120"/>
      <c r="K4" s="120"/>
      <c r="L4" s="120"/>
      <c r="M4" s="471"/>
      <c r="N4" s="471"/>
      <c r="O4" s="471"/>
      <c r="P4" s="471"/>
      <c r="Q4" s="471"/>
      <c r="R4" s="471"/>
      <c r="S4" s="471"/>
      <c r="T4" s="471"/>
      <c r="U4" s="471"/>
      <c r="V4" s="471"/>
      <c r="W4" s="471"/>
      <c r="X4" s="471"/>
      <c r="Y4" s="471"/>
      <c r="Z4" s="471"/>
      <c r="AA4" s="471"/>
      <c r="AB4" s="471"/>
      <c r="AC4" s="471"/>
      <c r="AD4" s="471"/>
      <c r="AE4" s="471"/>
      <c r="AF4" s="471"/>
      <c r="AG4" s="471"/>
      <c r="AH4" s="471"/>
      <c r="AI4" s="471"/>
      <c r="AJ4" s="471"/>
      <c r="AK4" s="471"/>
      <c r="AL4" s="471"/>
      <c r="AM4" s="471"/>
      <c r="AN4" s="471"/>
      <c r="AO4" s="471"/>
      <c r="AP4" s="471"/>
      <c r="AQ4" s="471"/>
      <c r="AR4" s="471"/>
      <c r="AS4" s="471"/>
      <c r="AT4" s="471"/>
      <c r="AU4" s="471"/>
      <c r="AV4" s="471"/>
      <c r="AW4" s="471"/>
      <c r="AX4" s="471"/>
      <c r="AY4" s="471"/>
      <c r="AZ4" s="471"/>
      <c r="BA4" s="471"/>
      <c r="BB4" s="471"/>
      <c r="BC4" s="472"/>
      <c r="BD4" s="471"/>
      <c r="BE4" s="471"/>
      <c r="BF4" s="471"/>
      <c r="BG4" s="471"/>
      <c r="BH4" s="471"/>
      <c r="BI4" s="471"/>
      <c r="BJ4" s="471"/>
      <c r="BK4" s="471"/>
      <c r="BL4" s="471"/>
      <c r="BM4" s="471"/>
      <c r="BN4" s="471"/>
      <c r="BO4" s="471"/>
      <c r="BP4" s="471"/>
      <c r="BQ4" s="471"/>
      <c r="BR4" s="121"/>
      <c r="BT4" s="121"/>
      <c r="BU4" s="121"/>
      <c r="BV4" s="121"/>
      <c r="CA4" s="121"/>
      <c r="CB4" s="121"/>
      <c r="CC4" s="121"/>
      <c r="CF4" s="121"/>
      <c r="CH4" s="121"/>
      <c r="CJ4" s="121"/>
      <c r="CL4" s="121"/>
      <c r="CN4" s="121"/>
      <c r="CO4" s="122"/>
      <c r="CP4" s="121"/>
      <c r="CQ4" s="121"/>
      <c r="CR4" s="121"/>
      <c r="CT4" s="122"/>
      <c r="CU4" s="121"/>
      <c r="CV4" s="121"/>
      <c r="CW4" s="122"/>
      <c r="CX4" s="121"/>
      <c r="CY4" s="121"/>
      <c r="CZ4" s="121"/>
      <c r="DA4" s="121"/>
    </row>
    <row r="5" spans="2:106" s="118" customFormat="1" ht="27.75" customHeight="1" x14ac:dyDescent="0.25">
      <c r="H5" s="119"/>
      <c r="I5" s="120"/>
      <c r="J5" s="123">
        <f>Tabla3[[#Totals],[Familia]]/575</f>
        <v>0.12</v>
      </c>
      <c r="K5" s="107" t="s">
        <v>159</v>
      </c>
      <c r="L5" s="107"/>
      <c r="M5" s="107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5"/>
      <c r="AI5" s="124"/>
      <c r="AJ5" s="124"/>
      <c r="AK5" s="126" t="s">
        <v>160</v>
      </c>
      <c r="AL5" s="126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  <c r="BD5" s="124"/>
      <c r="BE5" s="124"/>
      <c r="BF5" s="124"/>
      <c r="BG5" s="124"/>
      <c r="BH5" s="124"/>
      <c r="BI5" s="124"/>
      <c r="BJ5" s="124"/>
      <c r="BK5" s="124"/>
      <c r="BL5" s="124"/>
      <c r="BM5" s="124"/>
      <c r="BN5" s="124"/>
      <c r="BO5" s="127"/>
      <c r="BP5" s="124"/>
      <c r="BQ5" s="124"/>
      <c r="BR5" s="121"/>
      <c r="BT5" s="121"/>
      <c r="BU5" s="121"/>
      <c r="BV5" s="121"/>
      <c r="CA5" s="121"/>
      <c r="CB5" s="121"/>
      <c r="CC5" s="121"/>
      <c r="CF5" s="121"/>
      <c r="CH5" s="121"/>
      <c r="CJ5" s="121"/>
      <c r="CL5" s="121"/>
      <c r="CN5" s="121"/>
      <c r="CO5" s="122"/>
      <c r="CP5" s="121"/>
      <c r="CQ5" s="121"/>
      <c r="CR5" s="121"/>
      <c r="CT5" s="122"/>
      <c r="CU5" s="121"/>
      <c r="CV5" s="121"/>
      <c r="CW5" s="122"/>
      <c r="CX5" s="121"/>
      <c r="CY5" s="121"/>
      <c r="CZ5" s="121"/>
      <c r="DA5" s="121"/>
    </row>
    <row r="6" spans="2:106" s="118" customFormat="1" ht="30" customHeight="1" thickBot="1" x14ac:dyDescent="0.25">
      <c r="H6" s="119"/>
      <c r="I6" s="120"/>
      <c r="J6" s="123">
        <f>Tabla3[[#Totals],[Nombre del Alumno]]/1167</f>
        <v>0.10025706940874037</v>
      </c>
      <c r="K6" s="107" t="s">
        <v>161</v>
      </c>
      <c r="L6" s="107"/>
      <c r="M6" s="107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9"/>
      <c r="AI6" s="128"/>
      <c r="AJ6" s="128"/>
      <c r="AK6" s="126" t="s">
        <v>162</v>
      </c>
      <c r="AL6" s="126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8"/>
      <c r="BB6" s="128"/>
      <c r="BC6" s="128"/>
      <c r="BD6" s="128"/>
      <c r="BE6" s="128"/>
      <c r="BF6" s="128"/>
      <c r="BG6" s="128"/>
      <c r="BH6" s="128"/>
      <c r="BI6" s="128"/>
      <c r="BJ6" s="128"/>
      <c r="BK6" s="128"/>
      <c r="BL6" s="128"/>
      <c r="BM6" s="128"/>
      <c r="BN6" s="128"/>
      <c r="BO6" s="127"/>
      <c r="BP6" s="128"/>
      <c r="BQ6" s="128"/>
      <c r="BR6" s="121"/>
      <c r="BT6" s="121"/>
      <c r="BU6" s="121"/>
      <c r="BV6" s="121"/>
      <c r="CA6" s="121"/>
      <c r="CB6" s="121"/>
      <c r="CC6" s="121"/>
      <c r="CF6" s="121"/>
      <c r="CH6" s="121"/>
      <c r="CJ6" s="121"/>
      <c r="CL6" s="121"/>
      <c r="CN6" s="121"/>
      <c r="CO6" s="122"/>
      <c r="CP6" s="121"/>
      <c r="CQ6" s="121"/>
      <c r="CR6" s="121"/>
      <c r="CT6" s="122"/>
      <c r="CU6" s="121"/>
      <c r="CV6" s="121"/>
      <c r="CW6" s="122"/>
      <c r="CX6" s="121"/>
      <c r="CY6" s="121"/>
      <c r="CZ6" s="121"/>
      <c r="DA6" s="121"/>
    </row>
    <row r="7" spans="2:106" s="130" customFormat="1" ht="15.75" customHeight="1" x14ac:dyDescent="0.2">
      <c r="H7" s="131"/>
      <c r="I7" s="117"/>
      <c r="J7" s="132"/>
      <c r="K7" s="117" t="s">
        <v>163</v>
      </c>
      <c r="L7" s="117"/>
      <c r="M7" s="117"/>
      <c r="N7" s="117"/>
      <c r="O7" s="133"/>
      <c r="P7" s="134"/>
      <c r="Q7" s="134"/>
      <c r="R7" s="134"/>
      <c r="S7" s="135"/>
      <c r="T7" s="134"/>
      <c r="U7" s="134"/>
      <c r="V7" s="134"/>
      <c r="W7" s="136"/>
      <c r="X7" s="134"/>
      <c r="Y7" s="134"/>
      <c r="Z7" s="134"/>
      <c r="AA7" s="134"/>
      <c r="AB7" s="136"/>
      <c r="AC7" s="134"/>
      <c r="AD7" s="134"/>
      <c r="AE7" s="134"/>
      <c r="AF7" s="134"/>
      <c r="AG7" s="134"/>
      <c r="AH7" s="137"/>
      <c r="AI7" s="123"/>
      <c r="AJ7" s="123"/>
      <c r="AK7" s="117"/>
      <c r="AL7" s="117"/>
      <c r="AM7" s="138"/>
      <c r="AN7" s="138"/>
      <c r="AO7" s="473" t="s">
        <v>164</v>
      </c>
      <c r="AP7" s="474"/>
      <c r="AQ7" s="474"/>
      <c r="AR7" s="474"/>
      <c r="AS7" s="474"/>
      <c r="AT7" s="474"/>
      <c r="AU7" s="474"/>
      <c r="AV7" s="474"/>
      <c r="AW7" s="474"/>
      <c r="AX7" s="474"/>
      <c r="AY7" s="477" t="s">
        <v>165</v>
      </c>
      <c r="AZ7" s="478"/>
      <c r="BA7" s="479"/>
      <c r="BB7" s="480"/>
      <c r="BC7" s="485"/>
      <c r="BD7" s="487" t="s">
        <v>1</v>
      </c>
      <c r="BE7" s="488"/>
      <c r="BF7" s="488"/>
      <c r="BG7" s="488"/>
      <c r="BH7" s="488"/>
      <c r="BI7" s="488"/>
      <c r="BJ7" s="139"/>
      <c r="BK7" s="491" t="s">
        <v>166</v>
      </c>
      <c r="BL7" s="140"/>
      <c r="BM7" s="141"/>
      <c r="BN7" s="142"/>
      <c r="BO7" s="143"/>
      <c r="BP7" s="142"/>
      <c r="BR7" s="144"/>
      <c r="BT7" s="144"/>
      <c r="BU7" s="144"/>
      <c r="BV7" s="144"/>
      <c r="BX7" s="130" t="s">
        <v>167</v>
      </c>
      <c r="CA7" s="144"/>
      <c r="CB7" s="144"/>
      <c r="CC7" s="144"/>
      <c r="CD7" s="461" t="s">
        <v>164</v>
      </c>
      <c r="CE7" s="462"/>
      <c r="CF7" s="145"/>
      <c r="CG7" s="145"/>
      <c r="CH7" s="145"/>
      <c r="CI7" s="145"/>
      <c r="CJ7" s="145"/>
      <c r="CK7" s="145"/>
      <c r="CL7" s="146"/>
      <c r="CM7" s="147"/>
      <c r="CN7" s="465" t="s">
        <v>165</v>
      </c>
      <c r="CO7" s="466"/>
      <c r="CP7" s="148"/>
      <c r="CQ7" s="149"/>
      <c r="CR7" s="150"/>
      <c r="CS7" s="465" t="s">
        <v>1</v>
      </c>
      <c r="CT7" s="466"/>
      <c r="CU7" s="148"/>
      <c r="CV7" s="148"/>
      <c r="CW7" s="148"/>
      <c r="CX7" s="148"/>
      <c r="CY7" s="151"/>
      <c r="CZ7" s="152"/>
      <c r="DA7" s="144" t="s">
        <v>166</v>
      </c>
    </row>
    <row r="8" spans="2:106" s="130" customFormat="1" ht="15.75" customHeight="1" x14ac:dyDescent="0.2">
      <c r="H8" s="131"/>
      <c r="N8" s="153" t="s">
        <v>168</v>
      </c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155"/>
      <c r="AI8" s="156"/>
      <c r="AJ8" s="156"/>
      <c r="AM8" s="144"/>
      <c r="AN8" s="144"/>
      <c r="AO8" s="475"/>
      <c r="AP8" s="476"/>
      <c r="AQ8" s="476"/>
      <c r="AR8" s="476"/>
      <c r="AS8" s="476"/>
      <c r="AT8" s="476"/>
      <c r="AU8" s="476"/>
      <c r="AV8" s="476"/>
      <c r="AW8" s="476"/>
      <c r="AX8" s="476"/>
      <c r="AY8" s="481"/>
      <c r="AZ8" s="482"/>
      <c r="BA8" s="483"/>
      <c r="BB8" s="484"/>
      <c r="BC8" s="486"/>
      <c r="BD8" s="489"/>
      <c r="BE8" s="490"/>
      <c r="BF8" s="490"/>
      <c r="BG8" s="490"/>
      <c r="BH8" s="490"/>
      <c r="BI8" s="490"/>
      <c r="BJ8" s="157"/>
      <c r="BK8" s="491"/>
      <c r="BL8" s="158"/>
      <c r="BM8" s="159"/>
      <c r="BN8" s="160"/>
      <c r="BO8" s="161"/>
      <c r="BP8" s="160"/>
      <c r="BQ8" s="130" t="s">
        <v>169</v>
      </c>
      <c r="BR8" s="144"/>
      <c r="BT8" s="144"/>
      <c r="BU8" s="144"/>
      <c r="BV8" s="144"/>
      <c r="CA8" s="144"/>
      <c r="CB8" s="144"/>
      <c r="CC8" s="144"/>
      <c r="CD8" s="463"/>
      <c r="CE8" s="464"/>
      <c r="CF8" s="162"/>
      <c r="CG8" s="162"/>
      <c r="CH8" s="162"/>
      <c r="CI8" s="162"/>
      <c r="CJ8" s="162"/>
      <c r="CK8" s="162"/>
      <c r="CL8" s="163"/>
      <c r="CM8" s="164"/>
      <c r="CN8" s="467"/>
      <c r="CO8" s="468"/>
      <c r="CP8" s="165"/>
      <c r="CQ8" s="166"/>
      <c r="CR8" s="167"/>
      <c r="CS8" s="467"/>
      <c r="CT8" s="468"/>
      <c r="CU8" s="165"/>
      <c r="CV8" s="165"/>
      <c r="CW8" s="165"/>
      <c r="CX8" s="165"/>
      <c r="CY8" s="168"/>
      <c r="CZ8" s="152"/>
      <c r="DA8" s="144"/>
    </row>
    <row r="9" spans="2:106" s="118" customFormat="1" ht="88.5" customHeight="1" x14ac:dyDescent="0.2">
      <c r="B9" s="118" t="s">
        <v>4</v>
      </c>
      <c r="C9" s="118" t="s">
        <v>170</v>
      </c>
      <c r="D9" s="118" t="s">
        <v>171</v>
      </c>
      <c r="E9" s="118" t="s">
        <v>5</v>
      </c>
      <c r="F9" s="118" t="s">
        <v>172</v>
      </c>
      <c r="G9" s="169" t="s">
        <v>173</v>
      </c>
      <c r="H9" s="118" t="s">
        <v>174</v>
      </c>
      <c r="I9" s="170" t="s">
        <v>175</v>
      </c>
      <c r="J9" s="170" t="s">
        <v>176</v>
      </c>
      <c r="K9" s="170" t="s">
        <v>1</v>
      </c>
      <c r="L9" s="171" t="s">
        <v>2</v>
      </c>
      <c r="M9" s="172" t="s">
        <v>177</v>
      </c>
      <c r="N9" s="172" t="s">
        <v>0</v>
      </c>
      <c r="O9" s="173" t="s">
        <v>178</v>
      </c>
      <c r="P9" s="173" t="s">
        <v>179</v>
      </c>
      <c r="Q9" s="173" t="s">
        <v>180</v>
      </c>
      <c r="R9" s="174" t="s">
        <v>181</v>
      </c>
      <c r="S9" s="173" t="s">
        <v>182</v>
      </c>
      <c r="T9" s="173" t="s">
        <v>183</v>
      </c>
      <c r="U9" s="173" t="s">
        <v>184</v>
      </c>
      <c r="V9" s="175" t="s">
        <v>185</v>
      </c>
      <c r="W9" s="173" t="s">
        <v>186</v>
      </c>
      <c r="X9" s="173" t="s">
        <v>187</v>
      </c>
      <c r="Y9" s="173" t="s">
        <v>188</v>
      </c>
      <c r="Z9" s="173" t="s">
        <v>189</v>
      </c>
      <c r="AA9" s="175" t="s">
        <v>190</v>
      </c>
      <c r="AB9" s="173" t="s">
        <v>191</v>
      </c>
      <c r="AC9" s="173" t="s">
        <v>192</v>
      </c>
      <c r="AD9" s="173" t="s">
        <v>193</v>
      </c>
      <c r="AE9" s="173" t="s">
        <v>194</v>
      </c>
      <c r="AF9" s="173" t="s">
        <v>195</v>
      </c>
      <c r="AG9" s="176" t="s">
        <v>196</v>
      </c>
      <c r="AH9" s="172" t="s">
        <v>197</v>
      </c>
      <c r="AI9" s="177" t="s">
        <v>198</v>
      </c>
      <c r="AJ9" s="178" t="s">
        <v>199</v>
      </c>
      <c r="AK9" s="178" t="s">
        <v>200</v>
      </c>
      <c r="AL9" s="178" t="s">
        <v>201</v>
      </c>
      <c r="AM9" s="179" t="s">
        <v>202</v>
      </c>
      <c r="AN9" s="180" t="s">
        <v>203</v>
      </c>
      <c r="AO9" s="178" t="s">
        <v>204</v>
      </c>
      <c r="AP9" s="181" t="s">
        <v>205</v>
      </c>
      <c r="AQ9" s="178" t="s">
        <v>206</v>
      </c>
      <c r="AR9" s="181" t="s">
        <v>207</v>
      </c>
      <c r="AS9" s="178" t="s">
        <v>208</v>
      </c>
      <c r="AT9" s="181" t="s">
        <v>209</v>
      </c>
      <c r="AU9" s="182" t="s">
        <v>210</v>
      </c>
      <c r="AV9" s="183" t="s">
        <v>211</v>
      </c>
      <c r="AW9" s="183" t="s">
        <v>212</v>
      </c>
      <c r="AX9" s="184" t="s">
        <v>213</v>
      </c>
      <c r="AY9" s="178" t="s">
        <v>214</v>
      </c>
      <c r="AZ9" s="181" t="s">
        <v>215</v>
      </c>
      <c r="BA9" s="185" t="s">
        <v>216</v>
      </c>
      <c r="BB9" s="186" t="s">
        <v>217</v>
      </c>
      <c r="BC9" s="187" t="s">
        <v>218</v>
      </c>
      <c r="BD9" s="178" t="s">
        <v>219</v>
      </c>
      <c r="BE9" s="183" t="s">
        <v>220</v>
      </c>
      <c r="BF9" s="181" t="s">
        <v>221</v>
      </c>
      <c r="BG9" s="178" t="s">
        <v>222</v>
      </c>
      <c r="BH9" s="183" t="s">
        <v>223</v>
      </c>
      <c r="BI9" s="188" t="s">
        <v>224</v>
      </c>
      <c r="BJ9" s="182" t="s">
        <v>225</v>
      </c>
      <c r="BK9" s="182" t="s">
        <v>226</v>
      </c>
      <c r="BL9" s="189" t="s">
        <v>227</v>
      </c>
      <c r="BM9" s="177" t="s">
        <v>228</v>
      </c>
      <c r="BN9" s="190" t="s">
        <v>229</v>
      </c>
      <c r="BO9" s="191" t="s">
        <v>230</v>
      </c>
      <c r="BP9" s="118" t="s">
        <v>231</v>
      </c>
      <c r="BQ9" s="121" t="s">
        <v>232</v>
      </c>
      <c r="BR9" s="118" t="s">
        <v>233</v>
      </c>
      <c r="BS9" s="121" t="s">
        <v>234</v>
      </c>
      <c r="BT9" s="121" t="s">
        <v>235</v>
      </c>
      <c r="BU9" s="121" t="s">
        <v>236</v>
      </c>
      <c r="BV9" s="118" t="s">
        <v>237</v>
      </c>
      <c r="BW9" s="192" t="s">
        <v>238</v>
      </c>
      <c r="BX9" s="193" t="s">
        <v>239</v>
      </c>
      <c r="BY9" s="118" t="s">
        <v>240</v>
      </c>
      <c r="BZ9" s="121" t="s">
        <v>241</v>
      </c>
      <c r="CA9" s="121" t="s">
        <v>242</v>
      </c>
      <c r="CB9" s="121" t="s">
        <v>243</v>
      </c>
      <c r="CC9" s="118" t="s">
        <v>244</v>
      </c>
      <c r="CD9" s="194" t="s">
        <v>245</v>
      </c>
      <c r="CE9" s="195" t="s">
        <v>246</v>
      </c>
      <c r="CF9" s="196" t="s">
        <v>247</v>
      </c>
      <c r="CG9" s="195" t="s">
        <v>248</v>
      </c>
      <c r="CH9" s="196" t="s">
        <v>249</v>
      </c>
      <c r="CI9" s="195" t="s">
        <v>250</v>
      </c>
      <c r="CJ9" s="196" t="s">
        <v>251</v>
      </c>
      <c r="CK9" s="195" t="s">
        <v>252</v>
      </c>
      <c r="CL9" s="195" t="s">
        <v>253</v>
      </c>
      <c r="CM9" s="197" t="s">
        <v>254</v>
      </c>
      <c r="CN9" s="198" t="s">
        <v>255</v>
      </c>
      <c r="CO9" s="195" t="s">
        <v>256</v>
      </c>
      <c r="CP9" s="196" t="s">
        <v>257</v>
      </c>
      <c r="CQ9" s="197" t="s">
        <v>258</v>
      </c>
      <c r="CR9" s="199" t="s">
        <v>259</v>
      </c>
      <c r="CS9" s="198" t="s">
        <v>260</v>
      </c>
      <c r="CT9" s="195" t="s">
        <v>261</v>
      </c>
      <c r="CU9" s="195" t="s">
        <v>262</v>
      </c>
      <c r="CV9" s="200" t="s">
        <v>263</v>
      </c>
      <c r="CW9" s="195" t="s">
        <v>264</v>
      </c>
      <c r="CX9" s="195" t="s">
        <v>265</v>
      </c>
      <c r="CY9" s="201" t="s">
        <v>266</v>
      </c>
      <c r="CZ9" s="121" t="s">
        <v>267</v>
      </c>
      <c r="DA9" s="121" t="s">
        <v>268</v>
      </c>
      <c r="DB9" s="118" t="s">
        <v>269</v>
      </c>
    </row>
    <row r="10" spans="2:106" ht="15" customHeight="1" x14ac:dyDescent="0.2">
      <c r="B10" s="107" t="s">
        <v>270</v>
      </c>
      <c r="C10" s="107" t="e">
        <f>VLOOKUP(Tabla3[[#This Row],[Nombre del Padre]],[1]!Tabla1[[PADRE]:[PADRE_CELULAR]],2,0)</f>
        <v>#REF!</v>
      </c>
      <c r="D10" s="107" t="e">
        <f>VLOOKUP(Tabla3[[#This Row],[Nombre del Padre]],[1]!Tabla1[[PADRE]:[PADRE_CELULAR]],3,0)</f>
        <v>#REF!</v>
      </c>
      <c r="E10" s="107" t="s">
        <v>271</v>
      </c>
      <c r="F10" s="107" t="e">
        <f>VLOOKUP(Tabla3[[#This Row],[Nombre de la Madre]],[1]!Tabla1[[MADRE]:[MADRE_TELEFONO]],2,0)</f>
        <v>#REF!</v>
      </c>
      <c r="G10" s="202" t="e">
        <f>VLOOKUP(Tabla3[[#This Row],[Nombre de la Madre]],[1]!Tabla1[[MADRE]:[MADRE_TELEFONO]],3,0)</f>
        <v>#REF!</v>
      </c>
      <c r="H10" s="203">
        <v>11</v>
      </c>
      <c r="I10" s="204">
        <v>1868</v>
      </c>
      <c r="J10" s="204" t="s">
        <v>272</v>
      </c>
      <c r="K10" s="204" t="s">
        <v>273</v>
      </c>
      <c r="L10" s="204" t="s">
        <v>274</v>
      </c>
      <c r="M10" s="205" t="s">
        <v>275</v>
      </c>
      <c r="N10" s="204" t="s">
        <v>276</v>
      </c>
      <c r="O10" s="206" t="e">
        <f>VLOOKUP(Tabla3[[#This Row],[Grado]],[2]Cuotas!$A:$E,2,0)</f>
        <v>#N/A</v>
      </c>
      <c r="P10" s="206" t="e">
        <f>VLOOKUP(Tabla3[[#This Row],[Grado]],[2]Cuotas!$A:$E,4,0)</f>
        <v>#N/A</v>
      </c>
      <c r="Q10" s="206" t="e">
        <f>VLOOKUP(Tabla3[[#This Row],[Grado]],[2]Cuotas!$A:$E,3,0)</f>
        <v>#N/A</v>
      </c>
      <c r="R10" s="207"/>
      <c r="S10" s="206" t="e">
        <f>Tabla3[[#This Row],[Monto Colegiatura]]*Tabla3[[#This Row],[% Beca Colegio 16-17]]</f>
        <v>#N/A</v>
      </c>
      <c r="T10" s="208">
        <v>0.4</v>
      </c>
      <c r="U10" s="206" t="e">
        <f>Tabla3[[#This Row],[Monto Colegiatura]]*Tabla3[[#This Row],[% Beca Prestación 16-17]]</f>
        <v>#N/A</v>
      </c>
      <c r="V10" s="208"/>
      <c r="W10" s="206" t="e">
        <f>Tabla3[[#This Row],[Monto Colegiatura]]*Tabla3[[#This Row],[% Beca Comunidad 16-17]]</f>
        <v>#N/A</v>
      </c>
      <c r="X10" s="206" t="e">
        <f>Tabla3[[#This Row],[Cantidad Beca Comunidad 16-17]]*25%</f>
        <v>#N/A</v>
      </c>
      <c r="Y10" s="206"/>
      <c r="Z10" s="206" t="e">
        <f>Tabla3[[#This Row],[Monto Colegiatura]]*Tabla3[[#This Row],[% Beca UNAM 16-17]]</f>
        <v>#N/A</v>
      </c>
      <c r="AA10" s="208"/>
      <c r="AB10" s="206" t="e">
        <f>Tabla3[[#This Row],[Monto Reinscripción]]*Tabla3[[#This Row],[% Beca Reinscripción 16-17]]</f>
        <v>#N/A</v>
      </c>
      <c r="AC10" s="206"/>
      <c r="AD10" s="206" t="e">
        <f>Tabla3[[#This Row],[Monto Canasta]]*Tabla3[[#This Row],[% Beca Canasta 16-17]]</f>
        <v>#N/A</v>
      </c>
      <c r="AE10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0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0" s="209" t="e">
        <f>VLOOKUP(Tabla3[[#This Row],[Nombre del Alumno]],[2]!Tabla1[[Alumno]:[Cuenta Ciclos]],2,0)</f>
        <v>#REF!</v>
      </c>
      <c r="AH10" s="210" t="s">
        <v>277</v>
      </c>
      <c r="AI10" s="211" t="s">
        <v>278</v>
      </c>
      <c r="AJ10" s="206" t="e">
        <f>VLOOKUP(Tabla3[[#This Row],[Grado 17-18]],[2]Cuotas!$H:$L,2,0)</f>
        <v>#N/A</v>
      </c>
      <c r="AK10" s="206" t="e">
        <f>VLOOKUP(Tabla3[[#This Row],[Grado 17-18]],[2]Cuotas!$H:$L,3,0)</f>
        <v>#N/A</v>
      </c>
      <c r="AL10" s="206" t="e">
        <f>VLOOKUP(Tabla3[[#This Row],[Grado 17-18]],[2]Cuotas!$H:$L,4,0)</f>
        <v>#N/A</v>
      </c>
      <c r="AM10" s="212"/>
      <c r="AN10" s="213"/>
      <c r="AO10" s="206" t="e">
        <f>Tabla3[[#This Row],[Monto Colegiatura ]]*Tabla3[[#This Row],[% AutorizadoBeca Colegiatura 17-18]]</f>
        <v>#N/A</v>
      </c>
      <c r="AP10" s="208">
        <v>0.4</v>
      </c>
      <c r="AQ10" s="206" t="e">
        <f>Tabla3[[#This Row],[Monto Colegiatura ]]*Tabla3[[#This Row],[% Beca Prestacion 17-18]]</f>
        <v>#N/A</v>
      </c>
      <c r="AR10" s="208"/>
      <c r="AS10" s="206" t="e">
        <f>Tabla3[[#This Row],[Canasta]]*Tabla3[[#This Row],[% Beca Canasta 17-18]]</f>
        <v>#N/A</v>
      </c>
      <c r="AT10" s="208"/>
      <c r="AU10" s="214">
        <v>0</v>
      </c>
      <c r="AV10" s="206" t="e">
        <f>Tabla3[[#This Row],[Cantidad Beca Comunidad Colegiatura 17-18]]*25%</f>
        <v>#N/A</v>
      </c>
      <c r="AW10" s="206"/>
      <c r="AX10" s="215"/>
      <c r="AY10" s="206" t="e">
        <f>Tabla3[[#This Row],[Monto Colegiatura ]]*Tabla3[[#This Row],[% Beca UNAM 17-18]]</f>
        <v>#N/A</v>
      </c>
      <c r="AZ10" s="206"/>
      <c r="BA10" s="216">
        <f>3200*Tabla3[[#This Row],[% Beca Reinscripciones UNAM 17-18]]</f>
        <v>0</v>
      </c>
      <c r="BB10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0" s="217"/>
      <c r="BD10" s="218" t="e">
        <f>Tabla3[[#This Row],[Monto Colegiatura ]]*Tabla3[[#This Row],[% Beca Comunidad 17-18]]</f>
        <v>#N/A</v>
      </c>
      <c r="BE10" s="218" t="e">
        <f>Tabla3[[#This Row],[Cantidad Beca Comunidad Colegiatura 17-18]]*75%</f>
        <v>#N/A</v>
      </c>
      <c r="BF10" s="219"/>
      <c r="BG10" s="218" t="e">
        <f>Tabla3[[#This Row],[Reinscripción]]*Tabla3[[#This Row],[% Beca Reinscripciones Comunidad 18-19]]</f>
        <v>#N/A</v>
      </c>
      <c r="BH10" s="218" t="e">
        <f>Tabla3[[#This Row],[Cantidad Beca Reinscripciones Comunidad 18-19]]*70%</f>
        <v>#N/A</v>
      </c>
      <c r="BI10" s="216" t="e">
        <f>Tabla3[[#This Row],[75% Cantidad Beca Comunidad Colegiatura 17-18]]+Tabla3[[#This Row],[70% Cantidad Beca Reinscripciones 18-19]]</f>
        <v>#N/A</v>
      </c>
      <c r="BJ10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0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0" s="220"/>
      <c r="BM10" s="204" t="s">
        <v>279</v>
      </c>
      <c r="BN10" s="221"/>
      <c r="BO10" s="107"/>
      <c r="BP10" s="107">
        <f>Tabla3[[#This Row],[% AutorizadoBeca Colegiatura 17-18]]+Tabla3[[#This Row],[% Beca Prestacion 17-18]]+Tabla3[[#This Row],[% Beca UNAM 17-18]]</f>
        <v>0.4</v>
      </c>
      <c r="BQ10" s="108">
        <f t="shared" ref="BQ10:BQ73" si="0">1147*BP10</f>
        <v>458.8</v>
      </c>
      <c r="BR10" s="107">
        <f>Tabla3[[#This Row],[% Beca Comunidad 17-18]]</f>
        <v>0</v>
      </c>
      <c r="BS10" s="108">
        <f t="shared" ref="BS10:BS73" si="1">1147*BR10</f>
        <v>0</v>
      </c>
      <c r="BT10" s="108">
        <f t="shared" ref="BT10:BT73" si="2">BS10*25%</f>
        <v>0</v>
      </c>
      <c r="BU10" s="108">
        <f>Tabla3[[#This Row],[Monto3]]*75%</f>
        <v>0</v>
      </c>
      <c r="BV10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0" s="107" t="e">
        <f>VLOOKUP(Tabla3[[#This Row],[Nombre del Alumno]],'[3]BECAS COLEGIATURAS'!$I:$N,6,0)</f>
        <v>#N/A</v>
      </c>
      <c r="BX10" s="107" t="e">
        <f>VLOOKUP(Tabla3[[#This Row],[Nombre del Alumno]],[1]!Tabla1[[NOMBRE DEL ALUMNO]:[MATRIZ]],6,0)</f>
        <v>#REF!</v>
      </c>
      <c r="BY10" s="107" t="e">
        <f>VLOOKUP(Tabla3[[#This Row],[Nombre del Alumno]],'[3]BECAS COLEGIATURAS'!$I:$L,4,0)</f>
        <v>#N/A</v>
      </c>
      <c r="BZ10" s="108" t="e">
        <f>VLOOKUP(Tabla3[[#This Row],[Grado 18-19]],[2]Cuotas!$Q:$U,2,0)</f>
        <v>#N/A</v>
      </c>
      <c r="CA10" s="108" t="e">
        <f>VLOOKUP(Tabla3[[#This Row],[Grado 18-19]],[2]Cuotas!$Q:$U,3,0)</f>
        <v>#N/A</v>
      </c>
      <c r="CB10" s="108" t="e">
        <f>VLOOKUP(Tabla3[[#This Row],[Grado 18-19]],[2]Cuotas!$Q:$U,4,0)</f>
        <v>#N/A</v>
      </c>
      <c r="CC10" s="107">
        <v>0</v>
      </c>
      <c r="CD10" s="222"/>
      <c r="CE10" s="218" t="e">
        <f>Tabla3[[#This Row],[Monto Colegiatura 2018-2019]]*Tabla3[[#This Row],[% AutorizadoBeca Colegiatura 18-19]]</f>
        <v>#N/A</v>
      </c>
      <c r="CF10" s="223">
        <v>0.4</v>
      </c>
      <c r="CG10" s="218" t="e">
        <f>Tabla3[[#This Row],[Monto Colegiatura 2018-2019]]*Tabla3[[#This Row],[% Beca Prestacion 18-19]]</f>
        <v>#N/A</v>
      </c>
      <c r="CH10" s="223"/>
      <c r="CI10" s="218" t="e">
        <f>Tabla3[[#This Row],[Canasta 2018-2019]]*Tabla3[[#This Row],[% Beca Canasta 18-19]]</f>
        <v>#N/A</v>
      </c>
      <c r="CJ10" s="223"/>
      <c r="CK10" s="218" t="e">
        <f>Tabla3[[#This Row],[Reinscripción 2019-2020]]*Tabla3[[#This Row],[% Beca Reinscripciones 19-20]]</f>
        <v>#N/A</v>
      </c>
      <c r="CL10" s="218" t="e">
        <f>Tabla3[[#This Row],[Cantidad Beca Comunidad Colegiatura 18-19]]*25%</f>
        <v>#N/A</v>
      </c>
      <c r="CM10" s="224" t="e">
        <f>Tabla3[[#This Row],[Cantidad Beca Reinscripciones Comunidad 19-20]]*25%</f>
        <v>#N/A</v>
      </c>
      <c r="CN10" s="222"/>
      <c r="CO10" s="218" t="e">
        <f>Tabla3[[#This Row],[Monto Colegiatura 2018-2019]]*Tabla3[[#This Row],[% Beca UNAM 18-19]]</f>
        <v>#N/A</v>
      </c>
      <c r="CP10" s="225"/>
      <c r="CQ10" s="224">
        <f>3328*Tabla3[[#This Row],[% Beca Reinscripciones UNAM 18-19]]</f>
        <v>0</v>
      </c>
      <c r="CR10" s="226" t="e">
        <f>Tabla3[[#This Row],[Cantidad Beca Colegiatura 18-19]]+Tabla3[[#This Row],[Cantidad Beca Canasta 18-19]]+Tabla3[[#This Row],[Cantidad Beca Reinscripciones 19-20]]</f>
        <v>#N/A</v>
      </c>
      <c r="CS10" s="222"/>
      <c r="CT10" s="218" t="e">
        <f>Tabla3[[#This Row],[Monto Colegiatura 2018-2019]]*Tabla3[[#This Row],[% Beca Comunidad 18-19]]</f>
        <v>#N/A</v>
      </c>
      <c r="CU10" s="218" t="e">
        <f>Tabla3[[#This Row],[Cantidad Beca Comunidad Colegiatura 18-19]]*75%</f>
        <v>#N/A</v>
      </c>
      <c r="CV10" s="223"/>
      <c r="CW10" s="218" t="e">
        <f>Tabla3[[#This Row],[Reinscripción 2019-2020]]*Tabla3[[#This Row],[% Beca Reinscripciones Comunidad 19-20]]</f>
        <v>#N/A</v>
      </c>
      <c r="CX10" s="218" t="e">
        <f>Tabla3[[#This Row],[Cantidad Beca Reinscripciones Comunidad 19-20]]*75%</f>
        <v>#N/A</v>
      </c>
      <c r="CY10" s="227" t="e">
        <f>Tabla3[[#This Row],[75% Cantidad Beca Comunidad Colegiatura 18-19]]+Tabla3[[#This Row],[75% Cantidad Beca Reinscripciones 19-20]]</f>
        <v>#N/A</v>
      </c>
      <c r="CZ10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0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0" s="108">
        <f>1440*(Tabla3[[#This Row],[% AutorizadoBeca Colegiatura 18-19]]+Tabla3[[#This Row],[% Beca Prestacion 18-19]]+Tabla3[[#This Row],[% Beca UNAM 18-19]]+Tabla3[[#This Row],[% Beca Comunidad 18-19]])</f>
        <v>576</v>
      </c>
    </row>
    <row r="11" spans="2:106" ht="15" customHeight="1" x14ac:dyDescent="0.2">
      <c r="B11" s="107" t="s">
        <v>270</v>
      </c>
      <c r="C11" s="107" t="e">
        <f>VLOOKUP(Tabla3[[#This Row],[Nombre del Padre]],[1]!Tabla1[[PADRE]:[PADRE_CELULAR]],2,0)</f>
        <v>#REF!</v>
      </c>
      <c r="D11" s="107" t="e">
        <f>VLOOKUP(Tabla3[[#This Row],[Nombre del Padre]],[1]!Tabla1[[PADRE]:[PADRE_CELULAR]],3,0)</f>
        <v>#REF!</v>
      </c>
      <c r="E11" s="107" t="s">
        <v>271</v>
      </c>
      <c r="F11" s="107" t="e">
        <f>VLOOKUP(Tabla3[[#This Row],[Nombre de la Madre]],[1]!Tabla1[[MADRE]:[MADRE_TELEFONO]],2,0)</f>
        <v>#REF!</v>
      </c>
      <c r="G11" s="202" t="e">
        <f>VLOOKUP(Tabla3[[#This Row],[Nombre de la Madre]],[1]!Tabla1[[MADRE]:[MADRE_TELEFONO]],3,0)</f>
        <v>#REF!</v>
      </c>
      <c r="H11" s="203"/>
      <c r="I11" s="204">
        <v>1868</v>
      </c>
      <c r="J11" s="204" t="s">
        <v>272</v>
      </c>
      <c r="K11" s="204" t="s">
        <v>273</v>
      </c>
      <c r="L11" s="204" t="s">
        <v>280</v>
      </c>
      <c r="M11" s="205" t="s">
        <v>281</v>
      </c>
      <c r="N11" s="204" t="s">
        <v>282</v>
      </c>
      <c r="O11" s="206" t="e">
        <f>VLOOKUP(Tabla3[[#This Row],[Grado]],[2]Cuotas!$A:$E,2,0)</f>
        <v>#N/A</v>
      </c>
      <c r="P11" s="206" t="e">
        <f>VLOOKUP(Tabla3[[#This Row],[Grado]],[2]Cuotas!$A:$E,4,0)</f>
        <v>#N/A</v>
      </c>
      <c r="Q11" s="206" t="e">
        <f>VLOOKUP(Tabla3[[#This Row],[Grado]],[2]Cuotas!$A:$E,3,0)</f>
        <v>#N/A</v>
      </c>
      <c r="R11" s="207"/>
      <c r="S11" s="206" t="e">
        <f>Tabla3[[#This Row],[Monto Colegiatura]]*Tabla3[[#This Row],[% Beca Colegio 16-17]]</f>
        <v>#N/A</v>
      </c>
      <c r="T11" s="208">
        <v>0.4</v>
      </c>
      <c r="U11" s="206" t="e">
        <f>Tabla3[[#This Row],[Monto Colegiatura]]*Tabla3[[#This Row],[% Beca Prestación 16-17]]</f>
        <v>#N/A</v>
      </c>
      <c r="V11" s="208"/>
      <c r="W11" s="206" t="e">
        <f>Tabla3[[#This Row],[Monto Colegiatura]]*Tabla3[[#This Row],[% Beca Comunidad 16-17]]</f>
        <v>#N/A</v>
      </c>
      <c r="X11" s="206" t="e">
        <f>Tabla3[[#This Row],[Cantidad Beca Comunidad 16-17]]*25%</f>
        <v>#N/A</v>
      </c>
      <c r="Y11" s="206"/>
      <c r="Z11" s="206" t="e">
        <f>Tabla3[[#This Row],[Monto Colegiatura]]*Tabla3[[#This Row],[% Beca UNAM 16-17]]</f>
        <v>#N/A</v>
      </c>
      <c r="AA11" s="208"/>
      <c r="AB11" s="206" t="e">
        <f>Tabla3[[#This Row],[Monto Reinscripción]]*Tabla3[[#This Row],[% Beca Reinscripción 16-17]]</f>
        <v>#N/A</v>
      </c>
      <c r="AC11" s="206"/>
      <c r="AD11" s="206" t="e">
        <f>Tabla3[[#This Row],[Monto Canasta]]*Tabla3[[#This Row],[% Beca Canasta 16-17]]</f>
        <v>#N/A</v>
      </c>
      <c r="AE11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1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1" s="209" t="e">
        <f>VLOOKUP(Tabla3[[#This Row],[Nombre del Alumno]],[2]!Tabla1[[Alumno]:[Cuenta Ciclos]],2,0)</f>
        <v>#REF!</v>
      </c>
      <c r="AH11" s="210" t="s">
        <v>283</v>
      </c>
      <c r="AI11" s="211" t="s">
        <v>284</v>
      </c>
      <c r="AJ11" s="206" t="e">
        <f>VLOOKUP(Tabla3[[#This Row],[Grado 17-18]],[2]Cuotas!$H:$L,2,0)</f>
        <v>#N/A</v>
      </c>
      <c r="AK11" s="206" t="e">
        <f>VLOOKUP(Tabla3[[#This Row],[Grado 17-18]],[2]Cuotas!$H:$L,3,0)</f>
        <v>#N/A</v>
      </c>
      <c r="AL11" s="206" t="e">
        <f>VLOOKUP(Tabla3[[#This Row],[Grado 17-18]],[2]Cuotas!$H:$L,4,0)</f>
        <v>#N/A</v>
      </c>
      <c r="AM11" s="212"/>
      <c r="AN11" s="213"/>
      <c r="AO11" s="206" t="e">
        <f>Tabla3[[#This Row],[Monto Colegiatura ]]*Tabla3[[#This Row],[% AutorizadoBeca Colegiatura 17-18]]</f>
        <v>#N/A</v>
      </c>
      <c r="AP11" s="208">
        <v>0.4</v>
      </c>
      <c r="AQ11" s="206" t="e">
        <f>Tabla3[[#This Row],[Monto Colegiatura ]]*Tabla3[[#This Row],[% Beca Prestacion 17-18]]</f>
        <v>#N/A</v>
      </c>
      <c r="AR11" s="208"/>
      <c r="AS11" s="206" t="e">
        <f>Tabla3[[#This Row],[Canasta]]*Tabla3[[#This Row],[% Beca Canasta 17-18]]</f>
        <v>#N/A</v>
      </c>
      <c r="AT11" s="208"/>
      <c r="AU11" s="214">
        <v>0</v>
      </c>
      <c r="AV11" s="206" t="e">
        <f>Tabla3[[#This Row],[Cantidad Beca Comunidad Colegiatura 17-18]]*25%</f>
        <v>#N/A</v>
      </c>
      <c r="AW11" s="206"/>
      <c r="AX11" s="215"/>
      <c r="AY11" s="206" t="e">
        <f>Tabla3[[#This Row],[Monto Colegiatura ]]*Tabla3[[#This Row],[% Beca UNAM 17-18]]</f>
        <v>#N/A</v>
      </c>
      <c r="AZ11" s="206"/>
      <c r="BA11" s="216">
        <f>3200*Tabla3[[#This Row],[% Beca Reinscripciones UNAM 17-18]]</f>
        <v>0</v>
      </c>
      <c r="BB11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1" s="217"/>
      <c r="BD11" s="218" t="e">
        <f>Tabla3[[#This Row],[Monto Colegiatura ]]*Tabla3[[#This Row],[% Beca Comunidad 17-18]]</f>
        <v>#N/A</v>
      </c>
      <c r="BE11" s="218" t="e">
        <f>Tabla3[[#This Row],[Cantidad Beca Comunidad Colegiatura 17-18]]*75%</f>
        <v>#N/A</v>
      </c>
      <c r="BF11" s="219"/>
      <c r="BG11" s="218" t="e">
        <f>Tabla3[[#This Row],[Reinscripción]]*Tabla3[[#This Row],[% Beca Reinscripciones Comunidad 18-19]]</f>
        <v>#N/A</v>
      </c>
      <c r="BH11" s="218" t="e">
        <f>Tabla3[[#This Row],[Cantidad Beca Reinscripciones Comunidad 18-19]]*70%</f>
        <v>#N/A</v>
      </c>
      <c r="BI11" s="216" t="e">
        <f>Tabla3[[#This Row],[75% Cantidad Beca Comunidad Colegiatura 17-18]]+Tabla3[[#This Row],[70% Cantidad Beca Reinscripciones 18-19]]</f>
        <v>#N/A</v>
      </c>
      <c r="BJ11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1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1" s="220"/>
      <c r="BM11" s="204" t="s">
        <v>279</v>
      </c>
      <c r="BN11" s="221"/>
      <c r="BO11" s="107"/>
      <c r="BP11" s="107">
        <f>Tabla3[[#This Row],[% AutorizadoBeca Colegiatura 17-18]]+Tabla3[[#This Row],[% Beca Prestacion 17-18]]+Tabla3[[#This Row],[% Beca UNAM 17-18]]</f>
        <v>0.4</v>
      </c>
      <c r="BQ11" s="108">
        <f t="shared" si="0"/>
        <v>458.8</v>
      </c>
      <c r="BR11" s="107">
        <f>Tabla3[[#This Row],[% Beca Comunidad 17-18]]</f>
        <v>0</v>
      </c>
      <c r="BS11" s="108">
        <f t="shared" si="1"/>
        <v>0</v>
      </c>
      <c r="BT11" s="108">
        <f t="shared" si="2"/>
        <v>0</v>
      </c>
      <c r="BU11" s="108">
        <f>Tabla3[[#This Row],[Monto3]]*75%</f>
        <v>0</v>
      </c>
      <c r="BV11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1" s="107" t="e">
        <f>VLOOKUP(Tabla3[[#This Row],[Nombre del Alumno]],'[3]BECAS COLEGIATURAS'!$I:$N,6,0)</f>
        <v>#N/A</v>
      </c>
      <c r="BX11" s="107" t="e">
        <f>VLOOKUP(Tabla3[[#This Row],[Nombre del Alumno]],[1]!Tabla1[[NOMBRE DEL ALUMNO]:[MATRIZ]],6,0)</f>
        <v>#REF!</v>
      </c>
      <c r="BY11" s="107" t="e">
        <f>VLOOKUP(Tabla3[[#This Row],[Nombre del Alumno]],'[3]BECAS COLEGIATURAS'!$I:$L,4,0)</f>
        <v>#N/A</v>
      </c>
      <c r="BZ11" s="108" t="e">
        <f>VLOOKUP(Tabla3[[#This Row],[Grado 18-19]],[2]Cuotas!$Q:$U,2,0)</f>
        <v>#N/A</v>
      </c>
      <c r="CA11" s="108" t="e">
        <f>VLOOKUP(Tabla3[[#This Row],[Grado 18-19]],[2]Cuotas!$Q:$U,3,0)</f>
        <v>#N/A</v>
      </c>
      <c r="CB11" s="108" t="e">
        <f>VLOOKUP(Tabla3[[#This Row],[Grado 18-19]],[2]Cuotas!$Q:$U,4,0)</f>
        <v>#N/A</v>
      </c>
      <c r="CC11" s="107">
        <v>0</v>
      </c>
      <c r="CD11" s="222"/>
      <c r="CE11" s="218" t="e">
        <f>Tabla3[[#This Row],[Monto Colegiatura 2018-2019]]*Tabla3[[#This Row],[% AutorizadoBeca Colegiatura 18-19]]</f>
        <v>#N/A</v>
      </c>
      <c r="CF11" s="223">
        <v>0.4</v>
      </c>
      <c r="CG11" s="218" t="e">
        <f>Tabla3[[#This Row],[Monto Colegiatura 2018-2019]]*Tabla3[[#This Row],[% Beca Prestacion 18-19]]</f>
        <v>#N/A</v>
      </c>
      <c r="CH11" s="223"/>
      <c r="CI11" s="218" t="e">
        <f>Tabla3[[#This Row],[Canasta 2018-2019]]*Tabla3[[#This Row],[% Beca Canasta 18-19]]</f>
        <v>#N/A</v>
      </c>
      <c r="CJ11" s="223"/>
      <c r="CK11" s="218" t="e">
        <f>Tabla3[[#This Row],[Reinscripción 2019-2020]]*Tabla3[[#This Row],[% Beca Reinscripciones 19-20]]</f>
        <v>#N/A</v>
      </c>
      <c r="CL11" s="218" t="e">
        <f>Tabla3[[#This Row],[Cantidad Beca Comunidad Colegiatura 18-19]]*25%</f>
        <v>#N/A</v>
      </c>
      <c r="CM11" s="224" t="e">
        <f>Tabla3[[#This Row],[Cantidad Beca Reinscripciones Comunidad 19-20]]*25%</f>
        <v>#N/A</v>
      </c>
      <c r="CN11" s="222"/>
      <c r="CO11" s="218" t="e">
        <f>Tabla3[[#This Row],[Monto Colegiatura 2018-2019]]*Tabla3[[#This Row],[% Beca UNAM 18-19]]</f>
        <v>#N/A</v>
      </c>
      <c r="CP11" s="225"/>
      <c r="CQ11" s="224">
        <f>3328*Tabla3[[#This Row],[% Beca Reinscripciones UNAM 18-19]]</f>
        <v>0</v>
      </c>
      <c r="CR11" s="226" t="e">
        <f>Tabla3[[#This Row],[Cantidad Beca Colegiatura 18-19]]+Tabla3[[#This Row],[Cantidad Beca Canasta 18-19]]+Tabla3[[#This Row],[Cantidad Beca Reinscripciones 19-20]]</f>
        <v>#N/A</v>
      </c>
      <c r="CS11" s="222"/>
      <c r="CT11" s="218" t="e">
        <f>Tabla3[[#This Row],[Monto Colegiatura 2018-2019]]*Tabla3[[#This Row],[% Beca Comunidad 18-19]]</f>
        <v>#N/A</v>
      </c>
      <c r="CU11" s="218" t="e">
        <f>Tabla3[[#This Row],[Cantidad Beca Comunidad Colegiatura 18-19]]*75%</f>
        <v>#N/A</v>
      </c>
      <c r="CV11" s="223"/>
      <c r="CW11" s="218" t="e">
        <f>Tabla3[[#This Row],[Reinscripción 2019-2020]]*Tabla3[[#This Row],[% Beca Reinscripciones Comunidad 19-20]]</f>
        <v>#N/A</v>
      </c>
      <c r="CX11" s="218" t="e">
        <f>Tabla3[[#This Row],[Cantidad Beca Reinscripciones Comunidad 19-20]]*75%</f>
        <v>#N/A</v>
      </c>
      <c r="CY11" s="227" t="e">
        <f>Tabla3[[#This Row],[75% Cantidad Beca Comunidad Colegiatura 18-19]]+Tabla3[[#This Row],[75% Cantidad Beca Reinscripciones 19-20]]</f>
        <v>#N/A</v>
      </c>
      <c r="CZ11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1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1" s="108">
        <f>1440*(Tabla3[[#This Row],[% AutorizadoBeca Colegiatura 18-19]]+Tabla3[[#This Row],[% Beca Prestacion 18-19]]+Tabla3[[#This Row],[% Beca UNAM 18-19]]+Tabla3[[#This Row],[% Beca Comunidad 18-19]])</f>
        <v>576</v>
      </c>
    </row>
    <row r="12" spans="2:106" ht="15" customHeight="1" x14ac:dyDescent="0.2">
      <c r="B12" s="107" t="s">
        <v>285</v>
      </c>
      <c r="C12" s="107" t="e">
        <f>VLOOKUP(Tabla3[[#This Row],[Nombre del Padre]],[1]!Tabla1[[PADRE]:[PADRE_CELULAR]],2,0)</f>
        <v>#REF!</v>
      </c>
      <c r="D12" s="107" t="e">
        <f>VLOOKUP(Tabla3[[#This Row],[Nombre del Padre]],[1]!Tabla1[[PADRE]:[PADRE_CELULAR]],3,0)</f>
        <v>#REF!</v>
      </c>
      <c r="E12" s="107" t="s">
        <v>286</v>
      </c>
      <c r="F12" s="107" t="e">
        <f>VLOOKUP(Tabla3[[#This Row],[Nombre de la Madre]],[1]!Tabla1[[MADRE]:[MADRE_TELEFONO]],2,0)</f>
        <v>#REF!</v>
      </c>
      <c r="G12" s="202" t="e">
        <f>VLOOKUP(Tabla3[[#This Row],[Nombre de la Madre]],[1]!Tabla1[[MADRE]:[MADRE_TELEFONO]],3,0)</f>
        <v>#REF!</v>
      </c>
      <c r="H12" s="228">
        <v>1</v>
      </c>
      <c r="I12" s="204">
        <v>2308</v>
      </c>
      <c r="J12" s="204" t="s">
        <v>287</v>
      </c>
      <c r="K12" s="204" t="s">
        <v>273</v>
      </c>
      <c r="L12" s="204" t="s">
        <v>288</v>
      </c>
      <c r="M12" s="205"/>
      <c r="N12" s="204"/>
      <c r="O12" s="206"/>
      <c r="P12" s="206"/>
      <c r="Q12" s="206"/>
      <c r="R12" s="207"/>
      <c r="S12" s="206"/>
      <c r="T12" s="206"/>
      <c r="U12" s="206"/>
      <c r="V12" s="208"/>
      <c r="W12" s="206"/>
      <c r="X12" s="206"/>
      <c r="Y12" s="206"/>
      <c r="Z12" s="206"/>
      <c r="AA12" s="208"/>
      <c r="AB12" s="206"/>
      <c r="AC12" s="206"/>
      <c r="AD12" s="206"/>
      <c r="AE12" s="206"/>
      <c r="AF12" s="206"/>
      <c r="AG12" s="209" t="s">
        <v>289</v>
      </c>
      <c r="AH12" s="210" t="s">
        <v>290</v>
      </c>
      <c r="AI12" s="204" t="s">
        <v>291</v>
      </c>
      <c r="AJ12" s="206" t="e">
        <f>VLOOKUP(Tabla3[[#This Row],[Grado 17-18]],[2]Cuotas!$H:$L,2,0)</f>
        <v>#N/A</v>
      </c>
      <c r="AK12" s="206" t="e">
        <f>VLOOKUP(Tabla3[[#This Row],[Grado 17-18]],[2]Cuotas!$H:$L,3,0)</f>
        <v>#N/A</v>
      </c>
      <c r="AL12" s="206" t="e">
        <f>VLOOKUP(Tabla3[[#This Row],[Grado 17-18]],[2]Cuotas!$H:$L,4,0)</f>
        <v>#N/A</v>
      </c>
      <c r="AM12" s="229"/>
      <c r="AN12" s="213"/>
      <c r="AO12" s="206" t="e">
        <f>Tabla3[[#This Row],[Monto Colegiatura ]]*Tabla3[[#This Row],[% AutorizadoBeca Colegiatura 17-18]]</f>
        <v>#N/A</v>
      </c>
      <c r="AP12" s="208"/>
      <c r="AQ12" s="206" t="e">
        <f>Tabla3[[#This Row],[Monto Colegiatura ]]*Tabla3[[#This Row],[% Beca Prestacion 17-18]]</f>
        <v>#N/A</v>
      </c>
      <c r="AR12" s="208"/>
      <c r="AS12" s="206" t="e">
        <f>Tabla3[[#This Row],[Canasta]]*Tabla3[[#This Row],[% Beca Canasta 17-18]]</f>
        <v>#N/A</v>
      </c>
      <c r="AT12" s="208"/>
      <c r="AU12" s="214"/>
      <c r="AV12" s="206" t="e">
        <f>Tabla3[[#This Row],[Cantidad Beca Comunidad Colegiatura 17-18]]*25%</f>
        <v>#N/A</v>
      </c>
      <c r="AW12" s="206"/>
      <c r="AX12" s="213">
        <v>0.8</v>
      </c>
      <c r="AY12" s="206" t="e">
        <f>Tabla3[[#This Row],[Monto Colegiatura ]]*Tabla3[[#This Row],[% Beca UNAM 17-18]]</f>
        <v>#N/A</v>
      </c>
      <c r="AZ12" s="208">
        <v>0.8</v>
      </c>
      <c r="BA12" s="216">
        <f>3200*Tabla3[[#This Row],[% Beca Reinscripciones UNAM 17-18]]</f>
        <v>2560</v>
      </c>
      <c r="BB12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2" s="217"/>
      <c r="BD12" s="218" t="e">
        <f>Tabla3[[#This Row],[Monto Colegiatura ]]*Tabla3[[#This Row],[% Beca Comunidad 17-18]]</f>
        <v>#N/A</v>
      </c>
      <c r="BE12" s="218" t="e">
        <f>Tabla3[[#This Row],[Cantidad Beca Comunidad Colegiatura 17-18]]*75%</f>
        <v>#N/A</v>
      </c>
      <c r="BF12" s="219"/>
      <c r="BG12" s="218" t="e">
        <f>Tabla3[[#This Row],[Reinscripción]]*Tabla3[[#This Row],[% Beca Reinscripciones Comunidad 18-19]]</f>
        <v>#N/A</v>
      </c>
      <c r="BH12" s="218" t="e">
        <f>Tabla3[[#This Row],[Cantidad Beca Reinscripciones Comunidad 18-19]]*70%</f>
        <v>#N/A</v>
      </c>
      <c r="BI12" s="216" t="e">
        <f>Tabla3[[#This Row],[75% Cantidad Beca Comunidad Colegiatura 17-18]]+Tabla3[[#This Row],[70% Cantidad Beca Reinscripciones 18-19]]</f>
        <v>#N/A</v>
      </c>
      <c r="BJ12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2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2" s="220"/>
      <c r="BM12" s="204"/>
      <c r="BN12" s="221"/>
      <c r="BO12" s="107"/>
      <c r="BP12" s="107">
        <f>Tabla3[[#This Row],[% AutorizadoBeca Colegiatura 17-18]]+Tabla3[[#This Row],[% Beca Prestacion 17-18]]+Tabla3[[#This Row],[% Beca UNAM 17-18]]</f>
        <v>0.8</v>
      </c>
      <c r="BQ12" s="108">
        <f t="shared" si="0"/>
        <v>917.6</v>
      </c>
      <c r="BR12" s="107">
        <f>Tabla3[[#This Row],[% Beca Comunidad 17-18]]</f>
        <v>0</v>
      </c>
      <c r="BS12" s="108">
        <f t="shared" si="1"/>
        <v>0</v>
      </c>
      <c r="BT12" s="108">
        <f t="shared" si="2"/>
        <v>0</v>
      </c>
      <c r="BU12" s="108">
        <f>Tabla3[[#This Row],[Monto3]]*75%</f>
        <v>0</v>
      </c>
      <c r="BV12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2" s="107" t="e">
        <f>VLOOKUP(Tabla3[[#This Row],[Nombre del Alumno]],'[3]BECAS COLEGIATURAS'!$I:$N,6,0)</f>
        <v>#N/A</v>
      </c>
      <c r="BX12" s="107" t="e">
        <f>VLOOKUP(Tabla3[[#This Row],[Nombre del Alumno]],[1]!Tabla1[[NOMBRE DEL ALUMNO]:[MATRIZ]],6,0)</f>
        <v>#REF!</v>
      </c>
      <c r="BY12" s="107" t="e">
        <f>VLOOKUP(Tabla3[[#This Row],[Nombre del Alumno]],'[3]BECAS COLEGIATURAS'!$I:$L,4,0)</f>
        <v>#N/A</v>
      </c>
      <c r="BZ12" s="108" t="e">
        <f>VLOOKUP(Tabla3[[#This Row],[Grado 18-19]],[2]Cuotas!$Q:$U,2,0)</f>
        <v>#N/A</v>
      </c>
      <c r="CA12" s="108" t="e">
        <f>VLOOKUP(Tabla3[[#This Row],[Grado 18-19]],[2]Cuotas!$Q:$U,3,0)</f>
        <v>#N/A</v>
      </c>
      <c r="CB12" s="108" t="e">
        <f>VLOOKUP(Tabla3[[#This Row],[Grado 18-19]],[2]Cuotas!$Q:$U,4,0)</f>
        <v>#N/A</v>
      </c>
      <c r="CC12" s="107">
        <v>0</v>
      </c>
      <c r="CD12" s="222"/>
      <c r="CE12" s="218" t="e">
        <f>Tabla3[[#This Row],[Monto Colegiatura 2018-2019]]*Tabla3[[#This Row],[% AutorizadoBeca Colegiatura 18-19]]</f>
        <v>#N/A</v>
      </c>
      <c r="CF12" s="223"/>
      <c r="CG12" s="218" t="e">
        <f>Tabla3[[#This Row],[Monto Colegiatura 2018-2019]]*Tabla3[[#This Row],[% Beca Prestacion 18-19]]</f>
        <v>#N/A</v>
      </c>
      <c r="CH12" s="223"/>
      <c r="CI12" s="218" t="e">
        <f>Tabla3[[#This Row],[Canasta 2018-2019]]*Tabla3[[#This Row],[% Beca Canasta 18-19]]</f>
        <v>#N/A</v>
      </c>
      <c r="CJ12" s="223"/>
      <c r="CK12" s="218" t="e">
        <f>Tabla3[[#This Row],[Reinscripción 2019-2020]]*Tabla3[[#This Row],[% Beca Reinscripciones 19-20]]</f>
        <v>#N/A</v>
      </c>
      <c r="CL12" s="218" t="e">
        <f>Tabla3[[#This Row],[Cantidad Beca Comunidad Colegiatura 18-19]]*25%</f>
        <v>#N/A</v>
      </c>
      <c r="CM12" s="224" t="e">
        <f>Tabla3[[#This Row],[Cantidad Beca Reinscripciones Comunidad 19-20]]*25%</f>
        <v>#N/A</v>
      </c>
      <c r="CN12" s="222">
        <v>0.8</v>
      </c>
      <c r="CO12" s="218" t="e">
        <f>Tabla3[[#This Row],[Monto Colegiatura 2018-2019]]*Tabla3[[#This Row],[% Beca UNAM 18-19]]</f>
        <v>#N/A</v>
      </c>
      <c r="CP12" s="223">
        <v>0.8</v>
      </c>
      <c r="CQ12" s="224">
        <f>3328*Tabla3[[#This Row],[% Beca Reinscripciones UNAM 18-19]]</f>
        <v>2662.4</v>
      </c>
      <c r="CR12" s="226" t="e">
        <f>Tabla3[[#This Row],[Cantidad Beca Colegiatura 18-19]]+Tabla3[[#This Row],[Cantidad Beca Canasta 18-19]]+Tabla3[[#This Row],[Cantidad Beca Reinscripciones 19-20]]</f>
        <v>#N/A</v>
      </c>
      <c r="CS12" s="222"/>
      <c r="CT12" s="218" t="e">
        <f>Tabla3[[#This Row],[Monto Colegiatura 2018-2019]]*Tabla3[[#This Row],[% Beca Comunidad 18-19]]</f>
        <v>#N/A</v>
      </c>
      <c r="CU12" s="218" t="e">
        <f>Tabla3[[#This Row],[Cantidad Beca Comunidad Colegiatura 18-19]]*75%</f>
        <v>#N/A</v>
      </c>
      <c r="CV12" s="223"/>
      <c r="CW12" s="218" t="e">
        <f>Tabla3[[#This Row],[Reinscripción 2019-2020]]*Tabla3[[#This Row],[% Beca Reinscripciones Comunidad 19-20]]</f>
        <v>#N/A</v>
      </c>
      <c r="CX12" s="218" t="e">
        <f>Tabla3[[#This Row],[Cantidad Beca Reinscripciones Comunidad 19-20]]*75%</f>
        <v>#N/A</v>
      </c>
      <c r="CY12" s="227" t="e">
        <f>Tabla3[[#This Row],[75% Cantidad Beca Comunidad Colegiatura 18-19]]+Tabla3[[#This Row],[75% Cantidad Beca Reinscripciones 19-20]]</f>
        <v>#N/A</v>
      </c>
      <c r="CZ12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2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2" s="108">
        <f>1440*(Tabla3[[#This Row],[% AutorizadoBeca Colegiatura 18-19]]+Tabla3[[#This Row],[% Beca Prestacion 18-19]]+Tabla3[[#This Row],[% Beca UNAM 18-19]]+Tabla3[[#This Row],[% Beca Comunidad 18-19]])</f>
        <v>1152</v>
      </c>
    </row>
    <row r="13" spans="2:106" ht="15" customHeight="1" x14ac:dyDescent="0.2">
      <c r="B13" s="107" t="s">
        <v>292</v>
      </c>
      <c r="C13" s="107" t="e">
        <f>VLOOKUP(Tabla3[[#This Row],[Nombre del Padre]],[1]!Tabla1[[PADRE]:[PADRE_CELULAR]],2,0)</f>
        <v>#REF!</v>
      </c>
      <c r="D13" s="107" t="e">
        <f>VLOOKUP(Tabla3[[#This Row],[Nombre del Padre]],[1]!Tabla1[[PADRE]:[PADRE_CELULAR]],3,0)</f>
        <v>#REF!</v>
      </c>
      <c r="E13" s="107" t="s">
        <v>293</v>
      </c>
      <c r="F13" s="107" t="e">
        <f>VLOOKUP(Tabla3[[#This Row],[Nombre de la Madre]],[1]!Tabla1[[MADRE]:[MADRE_TELEFONO]],2,0)</f>
        <v>#REF!</v>
      </c>
      <c r="G13" s="202" t="e">
        <f>VLOOKUP(Tabla3[[#This Row],[Nombre de la Madre]],[1]!Tabla1[[MADRE]:[MADRE_TELEFONO]],3,0)</f>
        <v>#REF!</v>
      </c>
      <c r="H13" s="230">
        <v>12</v>
      </c>
      <c r="I13" s="204">
        <v>2738</v>
      </c>
      <c r="J13" s="204" t="s">
        <v>294</v>
      </c>
      <c r="K13" s="204" t="s">
        <v>273</v>
      </c>
      <c r="L13" s="204" t="s">
        <v>295</v>
      </c>
      <c r="M13" s="205" t="s">
        <v>296</v>
      </c>
      <c r="N13" s="204" t="s">
        <v>297</v>
      </c>
      <c r="O13" s="206" t="e">
        <f>VLOOKUP(Tabla3[[#This Row],[Grado]],[2]Cuotas!$A:$E,2,0)</f>
        <v>#N/A</v>
      </c>
      <c r="P13" s="206" t="e">
        <f>VLOOKUP(Tabla3[[#This Row],[Grado]],[2]Cuotas!$A:$E,4,0)</f>
        <v>#N/A</v>
      </c>
      <c r="Q13" s="206" t="e">
        <f>VLOOKUP(Tabla3[[#This Row],[Grado]],[2]Cuotas!$A:$E,3,0)</f>
        <v>#N/A</v>
      </c>
      <c r="R13" s="207">
        <v>0.3</v>
      </c>
      <c r="S13" s="206" t="e">
        <f>Tabla3[[#This Row],[Monto Colegiatura]]*Tabla3[[#This Row],[% Beca Colegio 16-17]]</f>
        <v>#N/A</v>
      </c>
      <c r="T13" s="206"/>
      <c r="U13" s="206" t="e">
        <f>Tabla3[[#This Row],[Monto Colegiatura]]*Tabla3[[#This Row],[% Beca Prestación 16-17]]</f>
        <v>#N/A</v>
      </c>
      <c r="V13" s="208"/>
      <c r="W13" s="206" t="e">
        <f>Tabla3[[#This Row],[Monto Colegiatura]]*Tabla3[[#This Row],[% Beca Comunidad 16-17]]</f>
        <v>#N/A</v>
      </c>
      <c r="X13" s="206" t="e">
        <f>Tabla3[[#This Row],[Cantidad Beca Comunidad 16-17]]*25%</f>
        <v>#N/A</v>
      </c>
      <c r="Y13" s="206"/>
      <c r="Z13" s="206" t="e">
        <f>Tabla3[[#This Row],[Monto Colegiatura]]*Tabla3[[#This Row],[% Beca UNAM 16-17]]</f>
        <v>#N/A</v>
      </c>
      <c r="AA13" s="208"/>
      <c r="AB13" s="206" t="e">
        <f>Tabla3[[#This Row],[Monto Reinscripción]]*Tabla3[[#This Row],[% Beca Reinscripción 16-17]]</f>
        <v>#N/A</v>
      </c>
      <c r="AC13" s="206"/>
      <c r="AD13" s="206" t="e">
        <f>Tabla3[[#This Row],[Monto Canasta]]*Tabla3[[#This Row],[% Beca Canasta 16-17]]</f>
        <v>#N/A</v>
      </c>
      <c r="AE13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3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3" s="209" t="e">
        <f>VLOOKUP(Tabla3[[#This Row],[Nombre del Alumno]],[2]!Tabla1[[Alumno]:[Cuenta Ciclos]],2,0)</f>
        <v>#REF!</v>
      </c>
      <c r="AH13" s="210" t="s">
        <v>298</v>
      </c>
      <c r="AI13" s="211" t="s">
        <v>299</v>
      </c>
      <c r="AJ13" s="206" t="e">
        <f>VLOOKUP(Tabla3[[#This Row],[Grado 17-18]],[2]Cuotas!$H:$L,2,0)</f>
        <v>#N/A</v>
      </c>
      <c r="AK13" s="206" t="e">
        <f>VLOOKUP(Tabla3[[#This Row],[Grado 17-18]],[2]Cuotas!$H:$L,3,0)</f>
        <v>#N/A</v>
      </c>
      <c r="AL13" s="206" t="e">
        <f>VLOOKUP(Tabla3[[#This Row],[Grado 17-18]],[2]Cuotas!$H:$L,4,0)</f>
        <v>#N/A</v>
      </c>
      <c r="AM13" s="229">
        <v>0.3</v>
      </c>
      <c r="AN13" s="213">
        <v>0.3</v>
      </c>
      <c r="AO13" s="206" t="e">
        <f>Tabla3[[#This Row],[Monto Colegiatura ]]*Tabla3[[#This Row],[% AutorizadoBeca Colegiatura 17-18]]</f>
        <v>#N/A</v>
      </c>
      <c r="AP13" s="208"/>
      <c r="AQ13" s="206" t="e">
        <f>Tabla3[[#This Row],[Monto Colegiatura ]]*Tabla3[[#This Row],[% Beca Prestacion 17-18]]</f>
        <v>#N/A</v>
      </c>
      <c r="AR13" s="208"/>
      <c r="AS13" s="206" t="e">
        <f>Tabla3[[#This Row],[Canasta]]*Tabla3[[#This Row],[% Beca Canasta 17-18]]</f>
        <v>#N/A</v>
      </c>
      <c r="AT13" s="208"/>
      <c r="AU13" s="214">
        <v>0</v>
      </c>
      <c r="AV13" s="206" t="e">
        <f>Tabla3[[#This Row],[Cantidad Beca Comunidad Colegiatura 17-18]]*25%</f>
        <v>#N/A</v>
      </c>
      <c r="AW13" s="206"/>
      <c r="AX13" s="215"/>
      <c r="AY13" s="206" t="e">
        <f>Tabla3[[#This Row],[Monto Colegiatura ]]*Tabla3[[#This Row],[% Beca UNAM 17-18]]</f>
        <v>#N/A</v>
      </c>
      <c r="AZ13" s="206"/>
      <c r="BA13" s="216">
        <f>3200*Tabla3[[#This Row],[% Beca Reinscripciones UNAM 17-18]]</f>
        <v>0</v>
      </c>
      <c r="BB13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3" s="231"/>
      <c r="BD13" s="218" t="e">
        <f>Tabla3[[#This Row],[Monto Colegiatura ]]*Tabla3[[#This Row],[% Beca Comunidad 17-18]]</f>
        <v>#N/A</v>
      </c>
      <c r="BE13" s="218" t="e">
        <f>Tabla3[[#This Row],[Cantidad Beca Comunidad Colegiatura 17-18]]*75%</f>
        <v>#N/A</v>
      </c>
      <c r="BF13" s="219"/>
      <c r="BG13" s="218" t="e">
        <f>Tabla3[[#This Row],[Reinscripción]]*Tabla3[[#This Row],[% Beca Reinscripciones Comunidad 18-19]]</f>
        <v>#N/A</v>
      </c>
      <c r="BH13" s="218" t="e">
        <f>Tabla3[[#This Row],[Cantidad Beca Reinscripciones Comunidad 18-19]]*70%</f>
        <v>#N/A</v>
      </c>
      <c r="BI13" s="216" t="e">
        <f>Tabla3[[#This Row],[75% Cantidad Beca Comunidad Colegiatura 17-18]]+Tabla3[[#This Row],[70% Cantidad Beca Reinscripciones 18-19]]</f>
        <v>#N/A</v>
      </c>
      <c r="BJ13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3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3" s="220"/>
      <c r="BM13" s="204"/>
      <c r="BN13" s="221" t="s">
        <v>300</v>
      </c>
      <c r="BO13" s="107"/>
      <c r="BP13" s="107">
        <f>Tabla3[[#This Row],[% AutorizadoBeca Colegiatura 17-18]]+Tabla3[[#This Row],[% Beca Prestacion 17-18]]+Tabla3[[#This Row],[% Beca UNAM 17-18]]</f>
        <v>0.3</v>
      </c>
      <c r="BQ13" s="108">
        <f t="shared" si="0"/>
        <v>344.09999999999997</v>
      </c>
      <c r="BR13" s="107">
        <f>Tabla3[[#This Row],[% Beca Comunidad 17-18]]</f>
        <v>0</v>
      </c>
      <c r="BS13" s="108">
        <f t="shared" si="1"/>
        <v>0</v>
      </c>
      <c r="BT13" s="108">
        <f t="shared" si="2"/>
        <v>0</v>
      </c>
      <c r="BU13" s="108">
        <f>Tabla3[[#This Row],[Monto3]]*75%</f>
        <v>0</v>
      </c>
      <c r="BV13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3" s="107" t="e">
        <f>VLOOKUP(Tabla3[[#This Row],[Nombre del Alumno]],'[3]BECAS COLEGIATURAS'!$I:$N,6,0)</f>
        <v>#N/A</v>
      </c>
      <c r="BX13" s="107" t="e">
        <f>VLOOKUP(Tabla3[[#This Row],[Nombre del Alumno]],[1]!Tabla1[[NOMBRE DEL ALUMNO]:[MATRIZ]],6,0)</f>
        <v>#REF!</v>
      </c>
      <c r="BY13" s="107" t="e">
        <f>VLOOKUP(Tabla3[[#This Row],[Nombre del Alumno]],'[3]BECAS COLEGIATURAS'!$I:$L,4,0)</f>
        <v>#N/A</v>
      </c>
      <c r="BZ13" s="108" t="e">
        <f>VLOOKUP(Tabla3[[#This Row],[Grado 18-19]],[2]Cuotas!$Q:$U,2,0)</f>
        <v>#N/A</v>
      </c>
      <c r="CA13" s="108" t="e">
        <f>VLOOKUP(Tabla3[[#This Row],[Grado 18-19]],[2]Cuotas!$Q:$U,3,0)</f>
        <v>#N/A</v>
      </c>
      <c r="CB13" s="108" t="e">
        <f>VLOOKUP(Tabla3[[#This Row],[Grado 18-19]],[2]Cuotas!$Q:$U,4,0)</f>
        <v>#N/A</v>
      </c>
      <c r="CC13" s="107">
        <v>30</v>
      </c>
      <c r="CD13" s="222">
        <v>0.3</v>
      </c>
      <c r="CE13" s="218" t="e">
        <f>Tabla3[[#This Row],[Monto Colegiatura 2018-2019]]*Tabla3[[#This Row],[% AutorizadoBeca Colegiatura 18-19]]</f>
        <v>#N/A</v>
      </c>
      <c r="CF13" s="223"/>
      <c r="CG13" s="218" t="e">
        <f>Tabla3[[#This Row],[Monto Colegiatura 2018-2019]]*Tabla3[[#This Row],[% Beca Prestacion 18-19]]</f>
        <v>#N/A</v>
      </c>
      <c r="CH13" s="223"/>
      <c r="CI13" s="218" t="e">
        <f>Tabla3[[#This Row],[Canasta 2018-2019]]*Tabla3[[#This Row],[% Beca Canasta 18-19]]</f>
        <v>#N/A</v>
      </c>
      <c r="CJ13" s="223"/>
      <c r="CK13" s="218" t="e">
        <f>Tabla3[[#This Row],[Reinscripción 2019-2020]]*Tabla3[[#This Row],[% Beca Reinscripciones 19-20]]</f>
        <v>#N/A</v>
      </c>
      <c r="CL13" s="218" t="e">
        <f>Tabla3[[#This Row],[Cantidad Beca Comunidad Colegiatura 18-19]]*25%</f>
        <v>#N/A</v>
      </c>
      <c r="CM13" s="224" t="e">
        <f>Tabla3[[#This Row],[Cantidad Beca Reinscripciones Comunidad 19-20]]*25%</f>
        <v>#N/A</v>
      </c>
      <c r="CN13" s="222"/>
      <c r="CO13" s="218" t="e">
        <f>Tabla3[[#This Row],[Monto Colegiatura 2018-2019]]*Tabla3[[#This Row],[% Beca UNAM 18-19]]</f>
        <v>#N/A</v>
      </c>
      <c r="CP13" s="225"/>
      <c r="CQ13" s="224">
        <f>3328*Tabla3[[#This Row],[% Beca Reinscripciones UNAM 18-19]]</f>
        <v>0</v>
      </c>
      <c r="CR13" s="226" t="e">
        <f>Tabla3[[#This Row],[Cantidad Beca Colegiatura 18-19]]+Tabla3[[#This Row],[Cantidad Beca Canasta 18-19]]+Tabla3[[#This Row],[Cantidad Beca Reinscripciones 19-20]]</f>
        <v>#N/A</v>
      </c>
      <c r="CS13" s="222"/>
      <c r="CT13" s="218" t="e">
        <f>Tabla3[[#This Row],[Monto Colegiatura 2018-2019]]*Tabla3[[#This Row],[% Beca Comunidad 18-19]]</f>
        <v>#N/A</v>
      </c>
      <c r="CU13" s="218" t="e">
        <f>Tabla3[[#This Row],[Cantidad Beca Comunidad Colegiatura 18-19]]*75%</f>
        <v>#N/A</v>
      </c>
      <c r="CV13" s="223"/>
      <c r="CW13" s="218" t="e">
        <f>Tabla3[[#This Row],[Reinscripción 2019-2020]]*Tabla3[[#This Row],[% Beca Reinscripciones Comunidad 19-20]]</f>
        <v>#N/A</v>
      </c>
      <c r="CX13" s="218" t="e">
        <f>Tabla3[[#This Row],[Cantidad Beca Reinscripciones Comunidad 19-20]]*75%</f>
        <v>#N/A</v>
      </c>
      <c r="CY13" s="227" t="e">
        <f>Tabla3[[#This Row],[75% Cantidad Beca Comunidad Colegiatura 18-19]]+Tabla3[[#This Row],[75% Cantidad Beca Reinscripciones 19-20]]</f>
        <v>#N/A</v>
      </c>
      <c r="CZ13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3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3" s="108">
        <f>1440*(Tabla3[[#This Row],[% AutorizadoBeca Colegiatura 18-19]]+Tabla3[[#This Row],[% Beca Prestacion 18-19]]+Tabla3[[#This Row],[% Beca UNAM 18-19]]+Tabla3[[#This Row],[% Beca Comunidad 18-19]])</f>
        <v>432</v>
      </c>
    </row>
    <row r="14" spans="2:106" ht="15" customHeight="1" x14ac:dyDescent="0.2">
      <c r="B14" s="107" t="s">
        <v>301</v>
      </c>
      <c r="C14" s="107" t="e">
        <f>VLOOKUP(Tabla3[[#This Row],[Nombre del Padre]],[1]!Tabla1[[PADRE]:[PADRE_CELULAR]],2,0)</f>
        <v>#REF!</v>
      </c>
      <c r="D14" s="107" t="e">
        <f>VLOOKUP(Tabla3[[#This Row],[Nombre del Padre]],[1]!Tabla1[[PADRE]:[PADRE_CELULAR]],3,0)</f>
        <v>#REF!</v>
      </c>
      <c r="E14" s="107" t="s">
        <v>302</v>
      </c>
      <c r="F14" s="107" t="e">
        <f>VLOOKUP(Tabla3[[#This Row],[Nombre de la Madre]],[1]!Tabla1[[MADRE]:[MADRE_TELEFONO]],2,0)</f>
        <v>#REF!</v>
      </c>
      <c r="G14" s="202" t="e">
        <f>VLOOKUP(Tabla3[[#This Row],[Nombre de la Madre]],[1]!Tabla1[[MADRE]:[MADRE_TELEFONO]],3,0)</f>
        <v>#REF!</v>
      </c>
      <c r="H14" s="228">
        <v>13</v>
      </c>
      <c r="I14" s="204">
        <v>2534</v>
      </c>
      <c r="J14" s="204" t="s">
        <v>303</v>
      </c>
      <c r="K14" s="204" t="s">
        <v>273</v>
      </c>
      <c r="L14" s="204" t="s">
        <v>304</v>
      </c>
      <c r="M14" s="205" t="s">
        <v>305</v>
      </c>
      <c r="N14" s="204" t="s">
        <v>306</v>
      </c>
      <c r="O14" s="206" t="e">
        <f>VLOOKUP(Tabla3[[#This Row],[Grado]],[2]Cuotas!$A:$E,2,0)</f>
        <v>#N/A</v>
      </c>
      <c r="P14" s="206" t="e">
        <f>VLOOKUP(Tabla3[[#This Row],[Grado]],[2]Cuotas!$A:$E,4,0)</f>
        <v>#N/A</v>
      </c>
      <c r="Q14" s="206" t="e">
        <f>VLOOKUP(Tabla3[[#This Row],[Grado]],[2]Cuotas!$A:$E,3,0)</f>
        <v>#N/A</v>
      </c>
      <c r="R14" s="207">
        <v>0.3</v>
      </c>
      <c r="S14" s="206" t="e">
        <f>Tabla3[[#This Row],[Monto Colegiatura]]*Tabla3[[#This Row],[% Beca Colegio 16-17]]</f>
        <v>#N/A</v>
      </c>
      <c r="T14" s="206"/>
      <c r="U14" s="206" t="e">
        <f>Tabla3[[#This Row],[Monto Colegiatura]]*Tabla3[[#This Row],[% Beca Prestación 16-17]]</f>
        <v>#N/A</v>
      </c>
      <c r="V14" s="208">
        <v>0.7</v>
      </c>
      <c r="W14" s="206" t="e">
        <f>Tabla3[[#This Row],[Monto Colegiatura]]*Tabla3[[#This Row],[% Beca Comunidad 16-17]]</f>
        <v>#N/A</v>
      </c>
      <c r="X14" s="206" t="e">
        <f>Tabla3[[#This Row],[Cantidad Beca Comunidad 16-17]]*25%</f>
        <v>#N/A</v>
      </c>
      <c r="Y14" s="206"/>
      <c r="Z14" s="206" t="e">
        <f>Tabla3[[#This Row],[Monto Colegiatura]]*Tabla3[[#This Row],[% Beca UNAM 16-17]]</f>
        <v>#N/A</v>
      </c>
      <c r="AA14" s="208"/>
      <c r="AB14" s="206" t="e">
        <f>Tabla3[[#This Row],[Monto Reinscripción]]*Tabla3[[#This Row],[% Beca Reinscripción 16-17]]</f>
        <v>#N/A</v>
      </c>
      <c r="AC14" s="206"/>
      <c r="AD14" s="206" t="e">
        <f>Tabla3[[#This Row],[Monto Canasta]]*Tabla3[[#This Row],[% Beca Canasta 16-17]]</f>
        <v>#N/A</v>
      </c>
      <c r="AE14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4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4" s="209" t="e">
        <f>VLOOKUP(Tabla3[[#This Row],[Nombre del Alumno]],[2]!Tabla1[[Alumno]:[Cuenta Ciclos]],2,0)</f>
        <v>#REF!</v>
      </c>
      <c r="AH14" s="210" t="s">
        <v>307</v>
      </c>
      <c r="AI14" s="211" t="s">
        <v>282</v>
      </c>
      <c r="AJ14" s="206" t="e">
        <f>VLOOKUP(Tabla3[[#This Row],[Grado 17-18]],[2]Cuotas!$H:$L,2,0)</f>
        <v>#N/A</v>
      </c>
      <c r="AK14" s="206" t="e">
        <f>VLOOKUP(Tabla3[[#This Row],[Grado 17-18]],[2]Cuotas!$H:$L,3,0)</f>
        <v>#N/A</v>
      </c>
      <c r="AL14" s="206" t="e">
        <f>VLOOKUP(Tabla3[[#This Row],[Grado 17-18]],[2]Cuotas!$H:$L,4,0)</f>
        <v>#N/A</v>
      </c>
      <c r="AM14" s="229">
        <v>0.3</v>
      </c>
      <c r="AN14" s="213">
        <v>0.3</v>
      </c>
      <c r="AO14" s="206" t="e">
        <f>Tabla3[[#This Row],[Monto Colegiatura ]]*Tabla3[[#This Row],[% AutorizadoBeca Colegiatura 17-18]]</f>
        <v>#N/A</v>
      </c>
      <c r="AP14" s="208"/>
      <c r="AQ14" s="206" t="e">
        <f>Tabla3[[#This Row],[Monto Colegiatura ]]*Tabla3[[#This Row],[% Beca Prestacion 17-18]]</f>
        <v>#N/A</v>
      </c>
      <c r="AR14" s="208"/>
      <c r="AS14" s="206" t="e">
        <f>Tabla3[[#This Row],[Canasta]]*Tabla3[[#This Row],[% Beca Canasta 17-18]]</f>
        <v>#N/A</v>
      </c>
      <c r="AT14" s="208"/>
      <c r="AU14" s="214">
        <v>0</v>
      </c>
      <c r="AV14" s="206" t="e">
        <f>Tabla3[[#This Row],[Cantidad Beca Comunidad Colegiatura 17-18]]*25%</f>
        <v>#N/A</v>
      </c>
      <c r="AW14" s="206"/>
      <c r="AX14" s="215"/>
      <c r="AY14" s="206" t="e">
        <f>Tabla3[[#This Row],[Monto Colegiatura ]]*Tabla3[[#This Row],[% Beca UNAM 17-18]]</f>
        <v>#N/A</v>
      </c>
      <c r="AZ14" s="206"/>
      <c r="BA14" s="216">
        <f>3200*Tabla3[[#This Row],[% Beca Reinscripciones UNAM 17-18]]</f>
        <v>0</v>
      </c>
      <c r="BB14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4" s="231">
        <v>0.7</v>
      </c>
      <c r="BD14" s="218" t="e">
        <f>Tabla3[[#This Row],[Monto Colegiatura ]]*Tabla3[[#This Row],[% Beca Comunidad 17-18]]</f>
        <v>#N/A</v>
      </c>
      <c r="BE14" s="218" t="e">
        <f>Tabla3[[#This Row],[Cantidad Beca Comunidad Colegiatura 17-18]]*75%</f>
        <v>#N/A</v>
      </c>
      <c r="BF14" s="219"/>
      <c r="BG14" s="218" t="e">
        <f>Tabla3[[#This Row],[Reinscripción]]*Tabla3[[#This Row],[% Beca Reinscripciones Comunidad 18-19]]</f>
        <v>#N/A</v>
      </c>
      <c r="BH14" s="218" t="e">
        <f>Tabla3[[#This Row],[Cantidad Beca Reinscripciones Comunidad 18-19]]*70%</f>
        <v>#N/A</v>
      </c>
      <c r="BI14" s="216" t="e">
        <f>Tabla3[[#This Row],[75% Cantidad Beca Comunidad Colegiatura 17-18]]+Tabla3[[#This Row],[70% Cantidad Beca Reinscripciones 18-19]]</f>
        <v>#N/A</v>
      </c>
      <c r="BJ14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4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4" s="220"/>
      <c r="BM14" s="229"/>
      <c r="BN14" s="221" t="s">
        <v>308</v>
      </c>
      <c r="BO14" s="107"/>
      <c r="BP14" s="107">
        <f>Tabla3[[#This Row],[% AutorizadoBeca Colegiatura 17-18]]+Tabla3[[#This Row],[% Beca Prestacion 17-18]]+Tabla3[[#This Row],[% Beca UNAM 17-18]]</f>
        <v>0.3</v>
      </c>
      <c r="BQ14" s="108">
        <f t="shared" si="0"/>
        <v>344.09999999999997</v>
      </c>
      <c r="BR14" s="107">
        <f>Tabla3[[#This Row],[% Beca Comunidad 17-18]]</f>
        <v>0.7</v>
      </c>
      <c r="BS14" s="108">
        <f t="shared" si="1"/>
        <v>802.9</v>
      </c>
      <c r="BT14" s="108">
        <f t="shared" si="2"/>
        <v>200.72499999999999</v>
      </c>
      <c r="BU14" s="108">
        <f>Tabla3[[#This Row],[Monto3]]*75%</f>
        <v>602.17499999999995</v>
      </c>
      <c r="BV14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4" s="107" t="e">
        <f>VLOOKUP(Tabla3[[#This Row],[Nombre del Alumno]],'[3]BECAS COLEGIATURAS'!$I:$N,6,0)</f>
        <v>#N/A</v>
      </c>
      <c r="BX14" s="107" t="e">
        <f>VLOOKUP(Tabla3[[#This Row],[Nombre del Alumno]],[1]!Tabla1[[NOMBRE DEL ALUMNO]:[MATRIZ]],6,0)</f>
        <v>#REF!</v>
      </c>
      <c r="BY14" s="107" t="e">
        <f>VLOOKUP(Tabla3[[#This Row],[Nombre del Alumno]],'[3]BECAS COLEGIATURAS'!$I:$L,4,0)</f>
        <v>#N/A</v>
      </c>
      <c r="BZ14" s="108" t="e">
        <f>VLOOKUP(Tabla3[[#This Row],[Grado 18-19]],[2]Cuotas!$Q:$U,2,0)</f>
        <v>#N/A</v>
      </c>
      <c r="CA14" s="108" t="e">
        <f>VLOOKUP(Tabla3[[#This Row],[Grado 18-19]],[2]Cuotas!$Q:$U,3,0)</f>
        <v>#N/A</v>
      </c>
      <c r="CB14" s="108" t="e">
        <f>VLOOKUP(Tabla3[[#This Row],[Grado 18-19]],[2]Cuotas!$Q:$U,4,0)</f>
        <v>#N/A</v>
      </c>
      <c r="CC14" s="107">
        <v>0</v>
      </c>
      <c r="CD14" s="222">
        <v>0.3</v>
      </c>
      <c r="CE14" s="218" t="e">
        <f>Tabla3[[#This Row],[Monto Colegiatura 2018-2019]]*Tabla3[[#This Row],[% AutorizadoBeca Colegiatura 18-19]]</f>
        <v>#N/A</v>
      </c>
      <c r="CF14" s="223"/>
      <c r="CG14" s="218" t="e">
        <f>Tabla3[[#This Row],[Monto Colegiatura 2018-2019]]*Tabla3[[#This Row],[% Beca Prestacion 18-19]]</f>
        <v>#N/A</v>
      </c>
      <c r="CH14" s="223"/>
      <c r="CI14" s="218" t="e">
        <f>Tabla3[[#This Row],[Canasta 2018-2019]]*Tabla3[[#This Row],[% Beca Canasta 18-19]]</f>
        <v>#N/A</v>
      </c>
      <c r="CJ14" s="223"/>
      <c r="CK14" s="218" t="e">
        <f>Tabla3[[#This Row],[Reinscripción 2019-2020]]*Tabla3[[#This Row],[% Beca Reinscripciones 19-20]]</f>
        <v>#N/A</v>
      </c>
      <c r="CL14" s="218" t="e">
        <f>Tabla3[[#This Row],[Cantidad Beca Comunidad Colegiatura 18-19]]*25%</f>
        <v>#N/A</v>
      </c>
      <c r="CM14" s="224" t="e">
        <f>Tabla3[[#This Row],[Cantidad Beca Reinscripciones Comunidad 19-20]]*25%</f>
        <v>#N/A</v>
      </c>
      <c r="CN14" s="222"/>
      <c r="CO14" s="218" t="e">
        <f>Tabla3[[#This Row],[Monto Colegiatura 2018-2019]]*Tabla3[[#This Row],[% Beca UNAM 18-19]]</f>
        <v>#N/A</v>
      </c>
      <c r="CP14" s="225"/>
      <c r="CQ14" s="224">
        <f>3328*Tabla3[[#This Row],[% Beca Reinscripciones UNAM 18-19]]</f>
        <v>0</v>
      </c>
      <c r="CR14" s="226" t="e">
        <f>Tabla3[[#This Row],[Cantidad Beca Colegiatura 18-19]]+Tabla3[[#This Row],[Cantidad Beca Canasta 18-19]]+Tabla3[[#This Row],[Cantidad Beca Reinscripciones 19-20]]</f>
        <v>#N/A</v>
      </c>
      <c r="CS14" s="222">
        <v>0.7</v>
      </c>
      <c r="CT14" s="218" t="e">
        <f>Tabla3[[#This Row],[Monto Colegiatura 2018-2019]]*Tabla3[[#This Row],[% Beca Comunidad 18-19]]</f>
        <v>#N/A</v>
      </c>
      <c r="CU14" s="218" t="e">
        <f>Tabla3[[#This Row],[Cantidad Beca Comunidad Colegiatura 18-19]]*75%</f>
        <v>#N/A</v>
      </c>
      <c r="CV14" s="223"/>
      <c r="CW14" s="218" t="e">
        <f>Tabla3[[#This Row],[Reinscripción 2019-2020]]*Tabla3[[#This Row],[% Beca Reinscripciones Comunidad 19-20]]</f>
        <v>#N/A</v>
      </c>
      <c r="CX14" s="218" t="e">
        <f>Tabla3[[#This Row],[Cantidad Beca Reinscripciones Comunidad 19-20]]*75%</f>
        <v>#N/A</v>
      </c>
      <c r="CY14" s="227" t="e">
        <f>Tabla3[[#This Row],[75% Cantidad Beca Comunidad Colegiatura 18-19]]+Tabla3[[#This Row],[75% Cantidad Beca Reinscripciones 19-20]]</f>
        <v>#N/A</v>
      </c>
      <c r="CZ14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4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4" s="108">
        <f>1440*(Tabla3[[#This Row],[% AutorizadoBeca Colegiatura 18-19]]+Tabla3[[#This Row],[% Beca Prestacion 18-19]]+Tabla3[[#This Row],[% Beca UNAM 18-19]]+Tabla3[[#This Row],[% Beca Comunidad 18-19]])</f>
        <v>1440</v>
      </c>
    </row>
    <row r="15" spans="2:106" ht="15" customHeight="1" x14ac:dyDescent="0.2">
      <c r="B15" s="107" t="s">
        <v>309</v>
      </c>
      <c r="C15" s="107" t="e">
        <f>VLOOKUP(Tabla3[[#This Row],[Nombre del Padre]],[1]!Tabla1[[PADRE]:[PADRE_CELULAR]],2,0)</f>
        <v>#REF!</v>
      </c>
      <c r="D15" s="107" t="e">
        <f>VLOOKUP(Tabla3[[#This Row],[Nombre del Padre]],[1]!Tabla1[[PADRE]:[PADRE_CELULAR]],3,0)</f>
        <v>#REF!</v>
      </c>
      <c r="E15" s="107" t="s">
        <v>310</v>
      </c>
      <c r="F15" s="107" t="e">
        <f>VLOOKUP(Tabla3[[#This Row],[Nombre de la Madre]],[1]!Tabla1[[MADRE]:[MADRE_TELEFONO]],2,0)</f>
        <v>#REF!</v>
      </c>
      <c r="G15" s="202" t="e">
        <f>VLOOKUP(Tabla3[[#This Row],[Nombre de la Madre]],[1]!Tabla1[[MADRE]:[MADRE_TELEFONO]],3,0)</f>
        <v>#REF!</v>
      </c>
      <c r="H15" s="228">
        <v>14</v>
      </c>
      <c r="I15" s="204">
        <v>2820</v>
      </c>
      <c r="J15" s="204" t="s">
        <v>311</v>
      </c>
      <c r="K15" s="204" t="s">
        <v>312</v>
      </c>
      <c r="L15" s="204" t="s">
        <v>313</v>
      </c>
      <c r="M15" s="205"/>
      <c r="N15" s="204"/>
      <c r="O15" s="206"/>
      <c r="P15" s="206"/>
      <c r="Q15" s="206"/>
      <c r="R15" s="207"/>
      <c r="S15" s="206"/>
      <c r="T15" s="206"/>
      <c r="U15" s="206"/>
      <c r="V15" s="208"/>
      <c r="W15" s="206"/>
      <c r="X15" s="206"/>
      <c r="Y15" s="206"/>
      <c r="Z15" s="206"/>
      <c r="AA15" s="208"/>
      <c r="AB15" s="206"/>
      <c r="AC15" s="206"/>
      <c r="AD15" s="206"/>
      <c r="AE15" s="206"/>
      <c r="AF15" s="206"/>
      <c r="AG15" s="232" t="s">
        <v>289</v>
      </c>
      <c r="AH15" s="210" t="s">
        <v>314</v>
      </c>
      <c r="AI15" s="211" t="s">
        <v>315</v>
      </c>
      <c r="AJ15" s="206" t="e">
        <f>VLOOKUP(Tabla3[[#This Row],[Grado 17-18]],[2]Cuotas!$H:$L,2,0)</f>
        <v>#N/A</v>
      </c>
      <c r="AK15" s="206" t="e">
        <f>VLOOKUP(Tabla3[[#This Row],[Grado 17-18]],[2]Cuotas!$H:$L,3,0)</f>
        <v>#N/A</v>
      </c>
      <c r="AL15" s="206" t="e">
        <f>VLOOKUP(Tabla3[[#This Row],[Grado 17-18]],[2]Cuotas!$H:$L,4,0)</f>
        <v>#N/A</v>
      </c>
      <c r="AM15" s="229">
        <v>0.6</v>
      </c>
      <c r="AN15" s="213">
        <v>0.35</v>
      </c>
      <c r="AO15" s="206" t="e">
        <f>Tabla3[[#This Row],[Monto Colegiatura ]]*Tabla3[[#This Row],[% AutorizadoBeca Colegiatura 17-18]]</f>
        <v>#N/A</v>
      </c>
      <c r="AP15" s="208"/>
      <c r="AQ15" s="206" t="e">
        <f>Tabla3[[#This Row],[Monto Colegiatura ]]*Tabla3[[#This Row],[% Beca Prestacion 17-18]]</f>
        <v>#N/A</v>
      </c>
      <c r="AR15" s="208"/>
      <c r="AS15" s="206" t="e">
        <f>Tabla3[[#This Row],[Canasta]]*Tabla3[[#This Row],[% Beca Canasta 17-18]]</f>
        <v>#N/A</v>
      </c>
      <c r="AT15" s="208"/>
      <c r="AU15" s="214">
        <v>0</v>
      </c>
      <c r="AV15" s="206" t="e">
        <f>Tabla3[[#This Row],[Cantidad Beca Comunidad Colegiatura 17-18]]*25%</f>
        <v>#N/A</v>
      </c>
      <c r="AW15" s="206"/>
      <c r="AX15" s="215"/>
      <c r="AY15" s="206" t="e">
        <f>Tabla3[[#This Row],[Monto Colegiatura ]]*Tabla3[[#This Row],[% Beca UNAM 17-18]]</f>
        <v>#N/A</v>
      </c>
      <c r="AZ15" s="206"/>
      <c r="BA15" s="216">
        <f>3200*Tabla3[[#This Row],[% Beca Reinscripciones UNAM 17-18]]</f>
        <v>0</v>
      </c>
      <c r="BB15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5" s="231"/>
      <c r="BD15" s="218" t="e">
        <f>Tabla3[[#This Row],[Monto Colegiatura ]]*Tabla3[[#This Row],[% Beca Comunidad 17-18]]</f>
        <v>#N/A</v>
      </c>
      <c r="BE15" s="218" t="e">
        <f>Tabla3[[#This Row],[Cantidad Beca Comunidad Colegiatura 17-18]]*75%</f>
        <v>#N/A</v>
      </c>
      <c r="BF15" s="219"/>
      <c r="BG15" s="218" t="e">
        <f>Tabla3[[#This Row],[Reinscripción]]*Tabla3[[#This Row],[% Beca Reinscripciones Comunidad 18-19]]</f>
        <v>#N/A</v>
      </c>
      <c r="BH15" s="218" t="e">
        <f>Tabla3[[#This Row],[Cantidad Beca Reinscripciones Comunidad 18-19]]*70%</f>
        <v>#N/A</v>
      </c>
      <c r="BI15" s="216" t="e">
        <f>Tabla3[[#This Row],[75% Cantidad Beca Comunidad Colegiatura 17-18]]+Tabla3[[#This Row],[70% Cantidad Beca Reinscripciones 18-19]]</f>
        <v>#N/A</v>
      </c>
      <c r="BJ15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5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5" s="220"/>
      <c r="BM15" s="204"/>
      <c r="BN15" s="221" t="s">
        <v>316</v>
      </c>
      <c r="BO15" s="107"/>
      <c r="BP15" s="107">
        <f>Tabla3[[#This Row],[% AutorizadoBeca Colegiatura 17-18]]+Tabla3[[#This Row],[% Beca Prestacion 17-18]]+Tabla3[[#This Row],[% Beca UNAM 17-18]]</f>
        <v>0.35</v>
      </c>
      <c r="BQ15" s="108">
        <f t="shared" si="0"/>
        <v>401.45</v>
      </c>
      <c r="BR15" s="107">
        <f>Tabla3[[#This Row],[% Beca Comunidad 17-18]]</f>
        <v>0</v>
      </c>
      <c r="BS15" s="108">
        <f t="shared" si="1"/>
        <v>0</v>
      </c>
      <c r="BT15" s="108">
        <f t="shared" si="2"/>
        <v>0</v>
      </c>
      <c r="BU15" s="108">
        <f>Tabla3[[#This Row],[Monto3]]*75%</f>
        <v>0</v>
      </c>
      <c r="BV15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5" s="107" t="e">
        <f>VLOOKUP(Tabla3[[#This Row],[Nombre del Alumno]],'[3]BECAS COLEGIATURAS'!$I:$N,6,0)</f>
        <v>#N/A</v>
      </c>
      <c r="BX15" s="107" t="e">
        <f>VLOOKUP(Tabla3[[#This Row],[Nombre del Alumno]],[1]!Tabla1[[NOMBRE DEL ALUMNO]:[MATRIZ]],6,0)</f>
        <v>#REF!</v>
      </c>
      <c r="BY15" s="107" t="e">
        <f>VLOOKUP(Tabla3[[#This Row],[Nombre del Alumno]],'[3]BECAS COLEGIATURAS'!$I:$L,4,0)</f>
        <v>#N/A</v>
      </c>
      <c r="BZ15" s="108" t="e">
        <f>VLOOKUP(Tabla3[[#This Row],[Grado 18-19]],[2]Cuotas!$Q:$U,2,0)</f>
        <v>#N/A</v>
      </c>
      <c r="CA15" s="108" t="e">
        <f>VLOOKUP(Tabla3[[#This Row],[Grado 18-19]],[2]Cuotas!$Q:$U,3,0)</f>
        <v>#N/A</v>
      </c>
      <c r="CB15" s="108" t="e">
        <f>VLOOKUP(Tabla3[[#This Row],[Grado 18-19]],[2]Cuotas!$Q:$U,4,0)</f>
        <v>#N/A</v>
      </c>
      <c r="CC15" s="107">
        <v>0</v>
      </c>
      <c r="CD15" s="222"/>
      <c r="CE15" s="218" t="e">
        <f>Tabla3[[#This Row],[Monto Colegiatura 2018-2019]]*Tabla3[[#This Row],[% AutorizadoBeca Colegiatura 18-19]]</f>
        <v>#N/A</v>
      </c>
      <c r="CF15" s="223">
        <v>0.4</v>
      </c>
      <c r="CG15" s="218" t="e">
        <f>Tabla3[[#This Row],[Monto Colegiatura 2018-2019]]*Tabla3[[#This Row],[% Beca Prestacion 18-19]]</f>
        <v>#N/A</v>
      </c>
      <c r="CH15" s="223"/>
      <c r="CI15" s="218" t="e">
        <f>Tabla3[[#This Row],[Canasta 2018-2019]]*Tabla3[[#This Row],[% Beca Canasta 18-19]]</f>
        <v>#N/A</v>
      </c>
      <c r="CJ15" s="223"/>
      <c r="CK15" s="218" t="e">
        <f>Tabla3[[#This Row],[Reinscripción 2019-2020]]*Tabla3[[#This Row],[% Beca Reinscripciones 19-20]]</f>
        <v>#N/A</v>
      </c>
      <c r="CL15" s="218" t="e">
        <f>Tabla3[[#This Row],[Cantidad Beca Comunidad Colegiatura 18-19]]*25%</f>
        <v>#N/A</v>
      </c>
      <c r="CM15" s="224" t="e">
        <f>Tabla3[[#This Row],[Cantidad Beca Reinscripciones Comunidad 19-20]]*25%</f>
        <v>#N/A</v>
      </c>
      <c r="CN15" s="222"/>
      <c r="CO15" s="218" t="e">
        <f>Tabla3[[#This Row],[Monto Colegiatura 2018-2019]]*Tabla3[[#This Row],[% Beca UNAM 18-19]]</f>
        <v>#N/A</v>
      </c>
      <c r="CP15" s="225"/>
      <c r="CQ15" s="224">
        <f>3328*Tabla3[[#This Row],[% Beca Reinscripciones UNAM 18-19]]</f>
        <v>0</v>
      </c>
      <c r="CR15" s="226" t="e">
        <f>Tabla3[[#This Row],[Cantidad Beca Colegiatura 18-19]]+Tabla3[[#This Row],[Cantidad Beca Canasta 18-19]]+Tabla3[[#This Row],[Cantidad Beca Reinscripciones 19-20]]</f>
        <v>#N/A</v>
      </c>
      <c r="CS15" s="222"/>
      <c r="CT15" s="218" t="e">
        <f>Tabla3[[#This Row],[Monto Colegiatura 2018-2019]]*Tabla3[[#This Row],[% Beca Comunidad 18-19]]</f>
        <v>#N/A</v>
      </c>
      <c r="CU15" s="218" t="e">
        <f>Tabla3[[#This Row],[Cantidad Beca Comunidad Colegiatura 18-19]]*75%</f>
        <v>#N/A</v>
      </c>
      <c r="CV15" s="223"/>
      <c r="CW15" s="218" t="e">
        <f>Tabla3[[#This Row],[Reinscripción 2019-2020]]*Tabla3[[#This Row],[% Beca Reinscripciones Comunidad 19-20]]</f>
        <v>#N/A</v>
      </c>
      <c r="CX15" s="218" t="e">
        <f>Tabla3[[#This Row],[Cantidad Beca Reinscripciones Comunidad 19-20]]*75%</f>
        <v>#N/A</v>
      </c>
      <c r="CY15" s="227" t="e">
        <f>Tabla3[[#This Row],[75% Cantidad Beca Comunidad Colegiatura 18-19]]+Tabla3[[#This Row],[75% Cantidad Beca Reinscripciones 19-20]]</f>
        <v>#N/A</v>
      </c>
      <c r="CZ15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5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5" s="108">
        <f>1440*(Tabla3[[#This Row],[% AutorizadoBeca Colegiatura 18-19]]+Tabla3[[#This Row],[% Beca Prestacion 18-19]]+Tabla3[[#This Row],[% Beca UNAM 18-19]]+Tabla3[[#This Row],[% Beca Comunidad 18-19]])</f>
        <v>576</v>
      </c>
    </row>
    <row r="16" spans="2:106" ht="15" customHeight="1" x14ac:dyDescent="0.2">
      <c r="B16" s="107" t="s">
        <v>317</v>
      </c>
      <c r="C16" s="107" t="e">
        <f>VLOOKUP(Tabla3[[#This Row],[Nombre del Padre]],[1]!Tabla1[[PADRE]:[PADRE_CELULAR]],2,0)</f>
        <v>#REF!</v>
      </c>
      <c r="D16" s="107" t="e">
        <f>VLOOKUP(Tabla3[[#This Row],[Nombre del Padre]],[1]!Tabla1[[PADRE]:[PADRE_CELULAR]],3,0)</f>
        <v>#REF!</v>
      </c>
      <c r="E16" s="107" t="s">
        <v>318</v>
      </c>
      <c r="F16" s="107" t="e">
        <f>VLOOKUP(Tabla3[[#This Row],[Nombre de la Madre]],[1]!Tabla1[[MADRE]:[MADRE_TELEFONO]],2,0)</f>
        <v>#REF!</v>
      </c>
      <c r="G16" s="202" t="e">
        <f>VLOOKUP(Tabla3[[#This Row],[Nombre de la Madre]],[1]!Tabla1[[MADRE]:[MADRE_TELEFONO]],3,0)</f>
        <v>#REF!</v>
      </c>
      <c r="H16" s="230">
        <v>15</v>
      </c>
      <c r="I16" s="204">
        <v>2625</v>
      </c>
      <c r="J16" s="204" t="s">
        <v>319</v>
      </c>
      <c r="K16" s="204" t="s">
        <v>273</v>
      </c>
      <c r="L16" s="204" t="s">
        <v>320</v>
      </c>
      <c r="M16" s="205" t="s">
        <v>321</v>
      </c>
      <c r="N16" s="204" t="s">
        <v>299</v>
      </c>
      <c r="O16" s="206" t="e">
        <f>VLOOKUP(Tabla3[[#This Row],[Grado]],[2]Cuotas!$A:$E,2,0)</f>
        <v>#N/A</v>
      </c>
      <c r="P16" s="206" t="e">
        <f>VLOOKUP(Tabla3[[#This Row],[Grado]],[2]Cuotas!$A:$E,4,0)</f>
        <v>#N/A</v>
      </c>
      <c r="Q16" s="206" t="e">
        <f>VLOOKUP(Tabla3[[#This Row],[Grado]],[2]Cuotas!$A:$E,3,0)</f>
        <v>#N/A</v>
      </c>
      <c r="R16" s="207">
        <v>0.15</v>
      </c>
      <c r="S16" s="206" t="e">
        <f>Tabla3[[#This Row],[Monto Colegiatura]]*Tabla3[[#This Row],[% Beca Colegio 16-17]]</f>
        <v>#N/A</v>
      </c>
      <c r="T16" s="206"/>
      <c r="U16" s="206" t="e">
        <f>Tabla3[[#This Row],[Monto Colegiatura]]*Tabla3[[#This Row],[% Beca Prestación 16-17]]</f>
        <v>#N/A</v>
      </c>
      <c r="V16" s="208">
        <v>0.5</v>
      </c>
      <c r="W16" s="206" t="e">
        <f>Tabla3[[#This Row],[Monto Colegiatura]]*Tabla3[[#This Row],[% Beca Comunidad 16-17]]</f>
        <v>#N/A</v>
      </c>
      <c r="X16" s="206" t="e">
        <f>Tabla3[[#This Row],[Cantidad Beca Comunidad 16-17]]*25%</f>
        <v>#N/A</v>
      </c>
      <c r="Y16" s="206"/>
      <c r="Z16" s="206" t="e">
        <f>Tabla3[[#This Row],[Monto Colegiatura]]*Tabla3[[#This Row],[% Beca UNAM 16-17]]</f>
        <v>#N/A</v>
      </c>
      <c r="AA16" s="208"/>
      <c r="AB16" s="206" t="e">
        <f>Tabla3[[#This Row],[Monto Reinscripción]]*Tabla3[[#This Row],[% Beca Reinscripción 16-17]]</f>
        <v>#N/A</v>
      </c>
      <c r="AC16" s="206"/>
      <c r="AD16" s="206" t="e">
        <f>Tabla3[[#This Row],[Monto Canasta]]*Tabla3[[#This Row],[% Beca Canasta 16-17]]</f>
        <v>#N/A</v>
      </c>
      <c r="AE16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6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6" s="209" t="e">
        <f>VLOOKUP(Tabla3[[#This Row],[Nombre del Alumno]],[2]!Tabla1[[Alumno]:[Cuenta Ciclos]],2,0)</f>
        <v>#REF!</v>
      </c>
      <c r="AH16" s="210" t="s">
        <v>322</v>
      </c>
      <c r="AI16" s="211" t="s">
        <v>306</v>
      </c>
      <c r="AJ16" s="206" t="e">
        <f>VLOOKUP(Tabla3[[#This Row],[Grado 17-18]],[2]Cuotas!$H:$L,2,0)</f>
        <v>#N/A</v>
      </c>
      <c r="AK16" s="206" t="e">
        <f>VLOOKUP(Tabla3[[#This Row],[Grado 17-18]],[2]Cuotas!$H:$L,3,0)</f>
        <v>#N/A</v>
      </c>
      <c r="AL16" s="206" t="e">
        <f>VLOOKUP(Tabla3[[#This Row],[Grado 17-18]],[2]Cuotas!$H:$L,4,0)</f>
        <v>#N/A</v>
      </c>
      <c r="AM16" s="229">
        <v>0.15</v>
      </c>
      <c r="AN16" s="213">
        <v>0.15</v>
      </c>
      <c r="AO16" s="206" t="e">
        <f>Tabla3[[#This Row],[Monto Colegiatura ]]*Tabla3[[#This Row],[% AutorizadoBeca Colegiatura 17-18]]</f>
        <v>#N/A</v>
      </c>
      <c r="AP16" s="208"/>
      <c r="AQ16" s="206" t="e">
        <f>Tabla3[[#This Row],[Monto Colegiatura ]]*Tabla3[[#This Row],[% Beca Prestacion 17-18]]</f>
        <v>#N/A</v>
      </c>
      <c r="AR16" s="208"/>
      <c r="AS16" s="206" t="e">
        <f>Tabla3[[#This Row],[Canasta]]*Tabla3[[#This Row],[% Beca Canasta 17-18]]</f>
        <v>#N/A</v>
      </c>
      <c r="AT16" s="208"/>
      <c r="AU16" s="214">
        <v>0</v>
      </c>
      <c r="AV16" s="206" t="e">
        <f>Tabla3[[#This Row],[Cantidad Beca Comunidad Colegiatura 17-18]]*25%</f>
        <v>#N/A</v>
      </c>
      <c r="AW16" s="206"/>
      <c r="AX16" s="215"/>
      <c r="AY16" s="206" t="e">
        <f>Tabla3[[#This Row],[Monto Colegiatura ]]*Tabla3[[#This Row],[% Beca UNAM 17-18]]</f>
        <v>#N/A</v>
      </c>
      <c r="AZ16" s="206"/>
      <c r="BA16" s="216">
        <f>3200*Tabla3[[#This Row],[% Beca Reinscripciones UNAM 17-18]]</f>
        <v>0</v>
      </c>
      <c r="BB16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6" s="231">
        <v>0.5</v>
      </c>
      <c r="BD16" s="218" t="e">
        <f>Tabla3[[#This Row],[Monto Colegiatura ]]*Tabla3[[#This Row],[% Beca Comunidad 17-18]]</f>
        <v>#N/A</v>
      </c>
      <c r="BE16" s="218" t="e">
        <f>Tabla3[[#This Row],[Cantidad Beca Comunidad Colegiatura 17-18]]*75%</f>
        <v>#N/A</v>
      </c>
      <c r="BF16" s="219"/>
      <c r="BG16" s="218" t="e">
        <f>Tabla3[[#This Row],[Reinscripción]]*Tabla3[[#This Row],[% Beca Reinscripciones Comunidad 18-19]]</f>
        <v>#N/A</v>
      </c>
      <c r="BH16" s="218" t="e">
        <f>Tabla3[[#This Row],[Cantidad Beca Reinscripciones Comunidad 18-19]]*70%</f>
        <v>#N/A</v>
      </c>
      <c r="BI16" s="216" t="e">
        <f>Tabla3[[#This Row],[75% Cantidad Beca Comunidad Colegiatura 17-18]]+Tabla3[[#This Row],[70% Cantidad Beca Reinscripciones 18-19]]</f>
        <v>#N/A</v>
      </c>
      <c r="BJ16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6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6" s="220"/>
      <c r="BM16" s="229"/>
      <c r="BN16" s="221" t="s">
        <v>323</v>
      </c>
      <c r="BO16" s="107"/>
      <c r="BP16" s="107">
        <f>Tabla3[[#This Row],[% AutorizadoBeca Colegiatura 17-18]]+Tabla3[[#This Row],[% Beca Prestacion 17-18]]+Tabla3[[#This Row],[% Beca UNAM 17-18]]</f>
        <v>0.15</v>
      </c>
      <c r="BQ16" s="108">
        <f t="shared" si="0"/>
        <v>172.04999999999998</v>
      </c>
      <c r="BR16" s="107">
        <f>Tabla3[[#This Row],[% Beca Comunidad 17-18]]</f>
        <v>0.5</v>
      </c>
      <c r="BS16" s="108">
        <f t="shared" si="1"/>
        <v>573.5</v>
      </c>
      <c r="BT16" s="108">
        <f t="shared" si="2"/>
        <v>143.375</v>
      </c>
      <c r="BU16" s="108">
        <f>Tabla3[[#This Row],[Monto3]]*75%</f>
        <v>430.125</v>
      </c>
      <c r="BV16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6" s="107" t="e">
        <f>VLOOKUP(Tabla3[[#This Row],[Nombre del Alumno]],'[3]BECAS COLEGIATURAS'!$I:$N,6,0)</f>
        <v>#N/A</v>
      </c>
      <c r="BX16" s="107" t="e">
        <f>VLOOKUP(Tabla3[[#This Row],[Nombre del Alumno]],[1]!Tabla1[[NOMBRE DEL ALUMNO]:[MATRIZ]],6,0)</f>
        <v>#REF!</v>
      </c>
      <c r="BY16" s="107" t="e">
        <f>VLOOKUP(Tabla3[[#This Row],[Nombre del Alumno]],'[3]BECAS COLEGIATURAS'!$I:$L,4,0)</f>
        <v>#N/A</v>
      </c>
      <c r="BZ16" s="108" t="e">
        <f>VLOOKUP(Tabla3[[#This Row],[Grado 18-19]],[2]Cuotas!$Q:$U,2,0)</f>
        <v>#N/A</v>
      </c>
      <c r="CA16" s="108" t="e">
        <f>VLOOKUP(Tabla3[[#This Row],[Grado 18-19]],[2]Cuotas!$Q:$U,3,0)</f>
        <v>#N/A</v>
      </c>
      <c r="CB16" s="108" t="e">
        <f>VLOOKUP(Tabla3[[#This Row],[Grado 18-19]],[2]Cuotas!$Q:$U,4,0)</f>
        <v>#N/A</v>
      </c>
      <c r="CC16" s="107">
        <v>15</v>
      </c>
      <c r="CD16" s="222">
        <v>0.15</v>
      </c>
      <c r="CE16" s="218" t="e">
        <f>Tabla3[[#This Row],[Monto Colegiatura 2018-2019]]*Tabla3[[#This Row],[% AutorizadoBeca Colegiatura 18-19]]</f>
        <v>#N/A</v>
      </c>
      <c r="CF16" s="223"/>
      <c r="CG16" s="218" t="e">
        <f>Tabla3[[#This Row],[Monto Colegiatura 2018-2019]]*Tabla3[[#This Row],[% Beca Prestacion 18-19]]</f>
        <v>#N/A</v>
      </c>
      <c r="CH16" s="223"/>
      <c r="CI16" s="218" t="e">
        <f>Tabla3[[#This Row],[Canasta 2018-2019]]*Tabla3[[#This Row],[% Beca Canasta 18-19]]</f>
        <v>#N/A</v>
      </c>
      <c r="CJ16" s="223"/>
      <c r="CK16" s="218" t="e">
        <f>Tabla3[[#This Row],[Reinscripción 2019-2020]]*Tabla3[[#This Row],[% Beca Reinscripciones 19-20]]</f>
        <v>#N/A</v>
      </c>
      <c r="CL16" s="218" t="e">
        <f>Tabla3[[#This Row],[Cantidad Beca Comunidad Colegiatura 18-19]]*25%</f>
        <v>#N/A</v>
      </c>
      <c r="CM16" s="224" t="e">
        <f>Tabla3[[#This Row],[Cantidad Beca Reinscripciones Comunidad 19-20]]*25%</f>
        <v>#N/A</v>
      </c>
      <c r="CN16" s="222"/>
      <c r="CO16" s="218" t="e">
        <f>Tabla3[[#This Row],[Monto Colegiatura 2018-2019]]*Tabla3[[#This Row],[% Beca UNAM 18-19]]</f>
        <v>#N/A</v>
      </c>
      <c r="CP16" s="225"/>
      <c r="CQ16" s="224">
        <f>3328*Tabla3[[#This Row],[% Beca Reinscripciones UNAM 18-19]]</f>
        <v>0</v>
      </c>
      <c r="CR16" s="226" t="e">
        <f>Tabla3[[#This Row],[Cantidad Beca Colegiatura 18-19]]+Tabla3[[#This Row],[Cantidad Beca Canasta 18-19]]+Tabla3[[#This Row],[Cantidad Beca Reinscripciones 19-20]]</f>
        <v>#N/A</v>
      </c>
      <c r="CS16" s="222">
        <v>0.5</v>
      </c>
      <c r="CT16" s="218" t="e">
        <f>Tabla3[[#This Row],[Monto Colegiatura 2018-2019]]*Tabla3[[#This Row],[% Beca Comunidad 18-19]]</f>
        <v>#N/A</v>
      </c>
      <c r="CU16" s="218" t="e">
        <f>Tabla3[[#This Row],[Cantidad Beca Comunidad Colegiatura 18-19]]*75%</f>
        <v>#N/A</v>
      </c>
      <c r="CV16" s="223"/>
      <c r="CW16" s="218" t="e">
        <f>Tabla3[[#This Row],[Reinscripción 2019-2020]]*Tabla3[[#This Row],[% Beca Reinscripciones Comunidad 19-20]]</f>
        <v>#N/A</v>
      </c>
      <c r="CX16" s="218" t="e">
        <f>Tabla3[[#This Row],[Cantidad Beca Reinscripciones Comunidad 19-20]]*75%</f>
        <v>#N/A</v>
      </c>
      <c r="CY16" s="227" t="e">
        <f>Tabla3[[#This Row],[75% Cantidad Beca Comunidad Colegiatura 18-19]]+Tabla3[[#This Row],[75% Cantidad Beca Reinscripciones 19-20]]</f>
        <v>#N/A</v>
      </c>
      <c r="CZ16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6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6" s="108">
        <f>1440*(Tabla3[[#This Row],[% AutorizadoBeca Colegiatura 18-19]]+Tabla3[[#This Row],[% Beca Prestacion 18-19]]+Tabla3[[#This Row],[% Beca UNAM 18-19]]+Tabla3[[#This Row],[% Beca Comunidad 18-19]])</f>
        <v>936</v>
      </c>
    </row>
    <row r="17" spans="2:106" ht="15" customHeight="1" x14ac:dyDescent="0.2">
      <c r="B17" s="107" t="s">
        <v>317</v>
      </c>
      <c r="C17" s="107" t="e">
        <f>VLOOKUP(Tabla3[[#This Row],[Nombre del Padre]],[1]!Tabla1[[PADRE]:[PADRE_CELULAR]],2,0)</f>
        <v>#REF!</v>
      </c>
      <c r="D17" s="107" t="e">
        <f>VLOOKUP(Tabla3[[#This Row],[Nombre del Padre]],[1]!Tabla1[[PADRE]:[PADRE_CELULAR]],3,0)</f>
        <v>#REF!</v>
      </c>
      <c r="E17" s="107" t="s">
        <v>318</v>
      </c>
      <c r="F17" s="107" t="e">
        <f>VLOOKUP(Tabla3[[#This Row],[Nombre de la Madre]],[1]!Tabla1[[MADRE]:[MADRE_TELEFONO]],2,0)</f>
        <v>#REF!</v>
      </c>
      <c r="G17" s="202" t="e">
        <f>VLOOKUP(Tabla3[[#This Row],[Nombre de la Madre]],[1]!Tabla1[[MADRE]:[MADRE_TELEFONO]],3,0)</f>
        <v>#REF!</v>
      </c>
      <c r="H17" s="228"/>
      <c r="I17" s="204">
        <v>2625</v>
      </c>
      <c r="J17" s="204" t="s">
        <v>319</v>
      </c>
      <c r="K17" s="204" t="s">
        <v>273</v>
      </c>
      <c r="L17" s="204" t="s">
        <v>324</v>
      </c>
      <c r="M17" s="205" t="s">
        <v>321</v>
      </c>
      <c r="N17" s="204" t="s">
        <v>299</v>
      </c>
      <c r="O17" s="206" t="e">
        <f>VLOOKUP(Tabla3[[#This Row],[Grado]],[2]Cuotas!$A:$E,2,0)</f>
        <v>#N/A</v>
      </c>
      <c r="P17" s="206" t="e">
        <f>VLOOKUP(Tabla3[[#This Row],[Grado]],[2]Cuotas!$A:$E,4,0)</f>
        <v>#N/A</v>
      </c>
      <c r="Q17" s="206" t="e">
        <f>VLOOKUP(Tabla3[[#This Row],[Grado]],[2]Cuotas!$A:$E,3,0)</f>
        <v>#N/A</v>
      </c>
      <c r="R17" s="207">
        <v>0.15</v>
      </c>
      <c r="S17" s="206" t="e">
        <f>Tabla3[[#This Row],[Monto Colegiatura]]*Tabla3[[#This Row],[% Beca Colegio 16-17]]</f>
        <v>#N/A</v>
      </c>
      <c r="T17" s="206"/>
      <c r="U17" s="206" t="e">
        <f>Tabla3[[#This Row],[Monto Colegiatura]]*Tabla3[[#This Row],[% Beca Prestación 16-17]]</f>
        <v>#N/A</v>
      </c>
      <c r="V17" s="208">
        <v>0.5</v>
      </c>
      <c r="W17" s="206" t="e">
        <f>Tabla3[[#This Row],[Monto Colegiatura]]*Tabla3[[#This Row],[% Beca Comunidad 16-17]]</f>
        <v>#N/A</v>
      </c>
      <c r="X17" s="206" t="e">
        <f>Tabla3[[#This Row],[Cantidad Beca Comunidad 16-17]]*25%</f>
        <v>#N/A</v>
      </c>
      <c r="Y17" s="206"/>
      <c r="Z17" s="206" t="e">
        <f>Tabla3[[#This Row],[Monto Colegiatura]]*Tabla3[[#This Row],[% Beca UNAM 16-17]]</f>
        <v>#N/A</v>
      </c>
      <c r="AA17" s="208"/>
      <c r="AB17" s="206" t="e">
        <f>Tabla3[[#This Row],[Monto Reinscripción]]*Tabla3[[#This Row],[% Beca Reinscripción 16-17]]</f>
        <v>#N/A</v>
      </c>
      <c r="AC17" s="206"/>
      <c r="AD17" s="206" t="e">
        <f>Tabla3[[#This Row],[Monto Canasta]]*Tabla3[[#This Row],[% Beca Canasta 16-17]]</f>
        <v>#N/A</v>
      </c>
      <c r="AE17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7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7" s="209" t="e">
        <f>VLOOKUP(Tabla3[[#This Row],[Nombre del Alumno]],[2]!Tabla1[[Alumno]:[Cuenta Ciclos]],2,0)</f>
        <v>#REF!</v>
      </c>
      <c r="AH17" s="210" t="s">
        <v>322</v>
      </c>
      <c r="AI17" s="211" t="s">
        <v>306</v>
      </c>
      <c r="AJ17" s="206" t="e">
        <f>VLOOKUP(Tabla3[[#This Row],[Grado 17-18]],[2]Cuotas!$H:$L,2,0)</f>
        <v>#N/A</v>
      </c>
      <c r="AK17" s="206" t="e">
        <f>VLOOKUP(Tabla3[[#This Row],[Grado 17-18]],[2]Cuotas!$H:$L,3,0)</f>
        <v>#N/A</v>
      </c>
      <c r="AL17" s="206" t="e">
        <f>VLOOKUP(Tabla3[[#This Row],[Grado 17-18]],[2]Cuotas!$H:$L,4,0)</f>
        <v>#N/A</v>
      </c>
      <c r="AM17" s="229">
        <v>0.15</v>
      </c>
      <c r="AN17" s="213">
        <v>0.15</v>
      </c>
      <c r="AO17" s="206" t="e">
        <f>Tabla3[[#This Row],[Monto Colegiatura ]]*Tabla3[[#This Row],[% AutorizadoBeca Colegiatura 17-18]]</f>
        <v>#N/A</v>
      </c>
      <c r="AP17" s="208"/>
      <c r="AQ17" s="206" t="e">
        <f>Tabla3[[#This Row],[Monto Colegiatura ]]*Tabla3[[#This Row],[% Beca Prestacion 17-18]]</f>
        <v>#N/A</v>
      </c>
      <c r="AR17" s="208"/>
      <c r="AS17" s="206" t="e">
        <f>Tabla3[[#This Row],[Canasta]]*Tabla3[[#This Row],[% Beca Canasta 17-18]]</f>
        <v>#N/A</v>
      </c>
      <c r="AT17" s="208"/>
      <c r="AU17" s="214">
        <v>0</v>
      </c>
      <c r="AV17" s="206" t="e">
        <f>Tabla3[[#This Row],[Cantidad Beca Comunidad Colegiatura 17-18]]*25%</f>
        <v>#N/A</v>
      </c>
      <c r="AW17" s="206"/>
      <c r="AX17" s="215"/>
      <c r="AY17" s="206" t="e">
        <f>Tabla3[[#This Row],[Monto Colegiatura ]]*Tabla3[[#This Row],[% Beca UNAM 17-18]]</f>
        <v>#N/A</v>
      </c>
      <c r="AZ17" s="206"/>
      <c r="BA17" s="216">
        <f>3200*Tabla3[[#This Row],[% Beca Reinscripciones UNAM 17-18]]</f>
        <v>0</v>
      </c>
      <c r="BB17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7" s="231">
        <v>0.5</v>
      </c>
      <c r="BD17" s="218" t="e">
        <f>Tabla3[[#This Row],[Monto Colegiatura ]]*Tabla3[[#This Row],[% Beca Comunidad 17-18]]</f>
        <v>#N/A</v>
      </c>
      <c r="BE17" s="218" t="e">
        <f>Tabla3[[#This Row],[Cantidad Beca Comunidad Colegiatura 17-18]]*75%</f>
        <v>#N/A</v>
      </c>
      <c r="BF17" s="219"/>
      <c r="BG17" s="218" t="e">
        <f>Tabla3[[#This Row],[Reinscripción]]*Tabla3[[#This Row],[% Beca Reinscripciones Comunidad 18-19]]</f>
        <v>#N/A</v>
      </c>
      <c r="BH17" s="218" t="e">
        <f>Tabla3[[#This Row],[Cantidad Beca Reinscripciones Comunidad 18-19]]*70%</f>
        <v>#N/A</v>
      </c>
      <c r="BI17" s="216" t="e">
        <f>Tabla3[[#This Row],[75% Cantidad Beca Comunidad Colegiatura 17-18]]+Tabla3[[#This Row],[70% Cantidad Beca Reinscripciones 18-19]]</f>
        <v>#N/A</v>
      </c>
      <c r="BJ17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7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7" s="220"/>
      <c r="BM17" s="229"/>
      <c r="BN17" s="221"/>
      <c r="BO17" s="107"/>
      <c r="BP17" s="107">
        <f>Tabla3[[#This Row],[% AutorizadoBeca Colegiatura 17-18]]+Tabla3[[#This Row],[% Beca Prestacion 17-18]]+Tabla3[[#This Row],[% Beca UNAM 17-18]]</f>
        <v>0.15</v>
      </c>
      <c r="BQ17" s="108">
        <f t="shared" si="0"/>
        <v>172.04999999999998</v>
      </c>
      <c r="BR17" s="107">
        <f>Tabla3[[#This Row],[% Beca Comunidad 17-18]]</f>
        <v>0.5</v>
      </c>
      <c r="BS17" s="108">
        <f t="shared" si="1"/>
        <v>573.5</v>
      </c>
      <c r="BT17" s="108">
        <f t="shared" si="2"/>
        <v>143.375</v>
      </c>
      <c r="BU17" s="108">
        <f>Tabla3[[#This Row],[Monto3]]*75%</f>
        <v>430.125</v>
      </c>
      <c r="BV17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7" s="107" t="e">
        <f>VLOOKUP(Tabla3[[#This Row],[Nombre del Alumno]],'[3]BECAS COLEGIATURAS'!$I:$N,6,0)</f>
        <v>#N/A</v>
      </c>
      <c r="BX17" s="107" t="e">
        <f>VLOOKUP(Tabla3[[#This Row],[Nombre del Alumno]],[1]!Tabla1[[NOMBRE DEL ALUMNO]:[MATRIZ]],6,0)</f>
        <v>#REF!</v>
      </c>
      <c r="BY17" s="107" t="e">
        <f>VLOOKUP(Tabla3[[#This Row],[Nombre del Alumno]],'[3]BECAS COLEGIATURAS'!$I:$L,4,0)</f>
        <v>#N/A</v>
      </c>
      <c r="BZ17" s="108" t="e">
        <f>VLOOKUP(Tabla3[[#This Row],[Grado 18-19]],[2]Cuotas!$Q:$U,2,0)</f>
        <v>#N/A</v>
      </c>
      <c r="CA17" s="108" t="e">
        <f>VLOOKUP(Tabla3[[#This Row],[Grado 18-19]],[2]Cuotas!$Q:$U,3,0)</f>
        <v>#N/A</v>
      </c>
      <c r="CB17" s="108" t="e">
        <f>VLOOKUP(Tabla3[[#This Row],[Grado 18-19]],[2]Cuotas!$Q:$U,4,0)</f>
        <v>#N/A</v>
      </c>
      <c r="CC17" s="107">
        <v>15</v>
      </c>
      <c r="CD17" s="222">
        <v>0.15</v>
      </c>
      <c r="CE17" s="218" t="e">
        <f>Tabla3[[#This Row],[Monto Colegiatura 2018-2019]]*Tabla3[[#This Row],[% AutorizadoBeca Colegiatura 18-19]]</f>
        <v>#N/A</v>
      </c>
      <c r="CF17" s="223"/>
      <c r="CG17" s="218" t="e">
        <f>Tabla3[[#This Row],[Monto Colegiatura 2018-2019]]*Tabla3[[#This Row],[% Beca Prestacion 18-19]]</f>
        <v>#N/A</v>
      </c>
      <c r="CH17" s="223"/>
      <c r="CI17" s="218" t="e">
        <f>Tabla3[[#This Row],[Canasta 2018-2019]]*Tabla3[[#This Row],[% Beca Canasta 18-19]]</f>
        <v>#N/A</v>
      </c>
      <c r="CJ17" s="223"/>
      <c r="CK17" s="218" t="e">
        <f>Tabla3[[#This Row],[Reinscripción 2019-2020]]*Tabla3[[#This Row],[% Beca Reinscripciones 19-20]]</f>
        <v>#N/A</v>
      </c>
      <c r="CL17" s="218" t="e">
        <f>Tabla3[[#This Row],[Cantidad Beca Comunidad Colegiatura 18-19]]*25%</f>
        <v>#N/A</v>
      </c>
      <c r="CM17" s="224" t="e">
        <f>Tabla3[[#This Row],[Cantidad Beca Reinscripciones Comunidad 19-20]]*25%</f>
        <v>#N/A</v>
      </c>
      <c r="CN17" s="222"/>
      <c r="CO17" s="218" t="e">
        <f>Tabla3[[#This Row],[Monto Colegiatura 2018-2019]]*Tabla3[[#This Row],[% Beca UNAM 18-19]]</f>
        <v>#N/A</v>
      </c>
      <c r="CP17" s="225"/>
      <c r="CQ17" s="224">
        <f>3328*Tabla3[[#This Row],[% Beca Reinscripciones UNAM 18-19]]</f>
        <v>0</v>
      </c>
      <c r="CR17" s="226" t="e">
        <f>Tabla3[[#This Row],[Cantidad Beca Colegiatura 18-19]]+Tabla3[[#This Row],[Cantidad Beca Canasta 18-19]]+Tabla3[[#This Row],[Cantidad Beca Reinscripciones 19-20]]</f>
        <v>#N/A</v>
      </c>
      <c r="CS17" s="222">
        <v>0.5</v>
      </c>
      <c r="CT17" s="218" t="e">
        <f>Tabla3[[#This Row],[Monto Colegiatura 2018-2019]]*Tabla3[[#This Row],[% Beca Comunidad 18-19]]</f>
        <v>#N/A</v>
      </c>
      <c r="CU17" s="218" t="e">
        <f>Tabla3[[#This Row],[Cantidad Beca Comunidad Colegiatura 18-19]]*75%</f>
        <v>#N/A</v>
      </c>
      <c r="CV17" s="223"/>
      <c r="CW17" s="218" t="e">
        <f>Tabla3[[#This Row],[Reinscripción 2019-2020]]*Tabla3[[#This Row],[% Beca Reinscripciones Comunidad 19-20]]</f>
        <v>#N/A</v>
      </c>
      <c r="CX17" s="218" t="e">
        <f>Tabla3[[#This Row],[Cantidad Beca Reinscripciones Comunidad 19-20]]*75%</f>
        <v>#N/A</v>
      </c>
      <c r="CY17" s="227" t="e">
        <f>Tabla3[[#This Row],[75% Cantidad Beca Comunidad Colegiatura 18-19]]+Tabla3[[#This Row],[75% Cantidad Beca Reinscripciones 19-20]]</f>
        <v>#N/A</v>
      </c>
      <c r="CZ17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7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7" s="108">
        <f>1440*(Tabla3[[#This Row],[% AutorizadoBeca Colegiatura 18-19]]+Tabla3[[#This Row],[% Beca Prestacion 18-19]]+Tabla3[[#This Row],[% Beca UNAM 18-19]]+Tabla3[[#This Row],[% Beca Comunidad 18-19]])</f>
        <v>936</v>
      </c>
    </row>
    <row r="18" spans="2:106" ht="15" customHeight="1" x14ac:dyDescent="0.2">
      <c r="B18" s="107" t="s">
        <v>325</v>
      </c>
      <c r="C18" s="107" t="e">
        <f>VLOOKUP(Tabla3[[#This Row],[Nombre del Padre]],[1]!Tabla1[[PADRE]:[PADRE_CELULAR]],2,0)</f>
        <v>#REF!</v>
      </c>
      <c r="D18" s="107" t="e">
        <f>VLOOKUP(Tabla3[[#This Row],[Nombre del Padre]],[1]!Tabla1[[PADRE]:[PADRE_CELULAR]],3,0)</f>
        <v>#REF!</v>
      </c>
      <c r="E18" s="107" t="s">
        <v>326</v>
      </c>
      <c r="F18" s="107" t="e">
        <f>VLOOKUP(Tabla3[[#This Row],[Nombre de la Madre]],[1]!Tabla1[[MADRE]:[MADRE_TELEFONO]],2,0)</f>
        <v>#REF!</v>
      </c>
      <c r="G18" s="202" t="e">
        <f>VLOOKUP(Tabla3[[#This Row],[Nombre de la Madre]],[1]!Tabla1[[MADRE]:[MADRE_TELEFONO]],3,0)</f>
        <v>#REF!</v>
      </c>
      <c r="H18" s="203">
        <v>16</v>
      </c>
      <c r="I18" s="204">
        <v>1924</v>
      </c>
      <c r="J18" s="204" t="s">
        <v>327</v>
      </c>
      <c r="K18" s="204" t="s">
        <v>273</v>
      </c>
      <c r="L18" s="204" t="s">
        <v>328</v>
      </c>
      <c r="M18" s="205" t="s">
        <v>329</v>
      </c>
      <c r="N18" s="204" t="s">
        <v>330</v>
      </c>
      <c r="O18" s="206" t="e">
        <f>VLOOKUP(Tabla3[[#This Row],[Grado]],[2]Cuotas!$A:$E,2,0)</f>
        <v>#N/A</v>
      </c>
      <c r="P18" s="206" t="e">
        <f>VLOOKUP(Tabla3[[#This Row],[Grado]],[2]Cuotas!$A:$E,4,0)</f>
        <v>#N/A</v>
      </c>
      <c r="Q18" s="206" t="e">
        <f>VLOOKUP(Tabla3[[#This Row],[Grado]],[2]Cuotas!$A:$E,3,0)</f>
        <v>#N/A</v>
      </c>
      <c r="R18" s="207">
        <v>0.25</v>
      </c>
      <c r="S18" s="206" t="e">
        <f>Tabla3[[#This Row],[Monto Colegiatura]]*Tabla3[[#This Row],[% Beca Colegio 16-17]]</f>
        <v>#N/A</v>
      </c>
      <c r="T18" s="206"/>
      <c r="U18" s="206" t="e">
        <f>Tabla3[[#This Row],[Monto Colegiatura]]*Tabla3[[#This Row],[% Beca Prestación 16-17]]</f>
        <v>#N/A</v>
      </c>
      <c r="V18" s="208">
        <v>0.5</v>
      </c>
      <c r="W18" s="206" t="e">
        <f>Tabla3[[#This Row],[Monto Colegiatura]]*Tabla3[[#This Row],[% Beca Comunidad 16-17]]</f>
        <v>#N/A</v>
      </c>
      <c r="X18" s="206" t="e">
        <f>Tabla3[[#This Row],[Cantidad Beca Comunidad 16-17]]*25%</f>
        <v>#N/A</v>
      </c>
      <c r="Y18" s="206"/>
      <c r="Z18" s="206" t="e">
        <f>Tabla3[[#This Row],[Monto Colegiatura]]*Tabla3[[#This Row],[% Beca UNAM 16-17]]</f>
        <v>#N/A</v>
      </c>
      <c r="AA18" s="208"/>
      <c r="AB18" s="206" t="e">
        <f>Tabla3[[#This Row],[Monto Reinscripción]]*Tabla3[[#This Row],[% Beca Reinscripción 16-17]]</f>
        <v>#N/A</v>
      </c>
      <c r="AC18" s="206"/>
      <c r="AD18" s="206" t="e">
        <f>Tabla3[[#This Row],[Monto Canasta]]*Tabla3[[#This Row],[% Beca Canasta 16-17]]</f>
        <v>#N/A</v>
      </c>
      <c r="AE18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8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8" s="209" t="e">
        <f>VLOOKUP(Tabla3[[#This Row],[Nombre del Alumno]],[2]!Tabla1[[Alumno]:[Cuenta Ciclos]],2,0)</f>
        <v>#REF!</v>
      </c>
      <c r="AH18" s="210" t="s">
        <v>331</v>
      </c>
      <c r="AI18" s="211" t="s">
        <v>332</v>
      </c>
      <c r="AJ18" s="206" t="e">
        <f>VLOOKUP(Tabla3[[#This Row],[Grado 17-18]],[2]Cuotas!$H:$L,2,0)</f>
        <v>#N/A</v>
      </c>
      <c r="AK18" s="206" t="e">
        <f>VLOOKUP(Tabla3[[#This Row],[Grado 17-18]],[2]Cuotas!$H:$L,3,0)</f>
        <v>#N/A</v>
      </c>
      <c r="AL18" s="206" t="e">
        <f>VLOOKUP(Tabla3[[#This Row],[Grado 17-18]],[2]Cuotas!$H:$L,4,0)</f>
        <v>#N/A</v>
      </c>
      <c r="AM18" s="229">
        <v>0.5</v>
      </c>
      <c r="AN18" s="213">
        <v>0.25</v>
      </c>
      <c r="AO18" s="206" t="e">
        <f>Tabla3[[#This Row],[Monto Colegiatura ]]*Tabla3[[#This Row],[% AutorizadoBeca Colegiatura 17-18]]</f>
        <v>#N/A</v>
      </c>
      <c r="AP18" s="208"/>
      <c r="AQ18" s="206" t="e">
        <f>Tabla3[[#This Row],[Monto Colegiatura ]]*Tabla3[[#This Row],[% Beca Prestacion 17-18]]</f>
        <v>#N/A</v>
      </c>
      <c r="AR18" s="208"/>
      <c r="AS18" s="206" t="e">
        <f>Tabla3[[#This Row],[Canasta]]*Tabla3[[#This Row],[% Beca Canasta 17-18]]</f>
        <v>#N/A</v>
      </c>
      <c r="AT18" s="208"/>
      <c r="AU18" s="214">
        <v>0</v>
      </c>
      <c r="AV18" s="206" t="e">
        <f>Tabla3[[#This Row],[Cantidad Beca Comunidad Colegiatura 17-18]]*25%</f>
        <v>#N/A</v>
      </c>
      <c r="AW18" s="206"/>
      <c r="AX18" s="215"/>
      <c r="AY18" s="206" t="e">
        <f>Tabla3[[#This Row],[Monto Colegiatura ]]*Tabla3[[#This Row],[% Beca UNAM 17-18]]</f>
        <v>#N/A</v>
      </c>
      <c r="AZ18" s="206"/>
      <c r="BA18" s="216">
        <f>3200*Tabla3[[#This Row],[% Beca Reinscripciones UNAM 17-18]]</f>
        <v>0</v>
      </c>
      <c r="BB18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8" s="231">
        <v>0.5</v>
      </c>
      <c r="BD18" s="218" t="e">
        <f>Tabla3[[#This Row],[Monto Colegiatura ]]*Tabla3[[#This Row],[% Beca Comunidad 17-18]]</f>
        <v>#N/A</v>
      </c>
      <c r="BE18" s="218" t="e">
        <f>Tabla3[[#This Row],[Cantidad Beca Comunidad Colegiatura 17-18]]*75%</f>
        <v>#N/A</v>
      </c>
      <c r="BF18" s="219"/>
      <c r="BG18" s="218" t="e">
        <f>Tabla3[[#This Row],[Reinscripción]]*Tabla3[[#This Row],[% Beca Reinscripciones Comunidad 18-19]]</f>
        <v>#N/A</v>
      </c>
      <c r="BH18" s="218" t="e">
        <f>Tabla3[[#This Row],[Cantidad Beca Reinscripciones Comunidad 18-19]]*70%</f>
        <v>#N/A</v>
      </c>
      <c r="BI18" s="216" t="e">
        <f>Tabla3[[#This Row],[75% Cantidad Beca Comunidad Colegiatura 17-18]]+Tabla3[[#This Row],[70% Cantidad Beca Reinscripciones 18-19]]</f>
        <v>#N/A</v>
      </c>
      <c r="BJ18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8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8" s="220"/>
      <c r="BM18" s="229"/>
      <c r="BN18" s="221" t="s">
        <v>333</v>
      </c>
      <c r="BO18" s="107"/>
      <c r="BP18" s="107">
        <f>Tabla3[[#This Row],[% AutorizadoBeca Colegiatura 17-18]]+Tabla3[[#This Row],[% Beca Prestacion 17-18]]+Tabla3[[#This Row],[% Beca UNAM 17-18]]</f>
        <v>0.25</v>
      </c>
      <c r="BQ18" s="108">
        <f t="shared" si="0"/>
        <v>286.75</v>
      </c>
      <c r="BR18" s="107">
        <f>Tabla3[[#This Row],[% Beca Comunidad 17-18]]</f>
        <v>0.5</v>
      </c>
      <c r="BS18" s="108">
        <f t="shared" si="1"/>
        <v>573.5</v>
      </c>
      <c r="BT18" s="108">
        <f t="shared" si="2"/>
        <v>143.375</v>
      </c>
      <c r="BU18" s="108">
        <f>Tabla3[[#This Row],[Monto3]]*75%</f>
        <v>430.125</v>
      </c>
      <c r="BV18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8" s="107" t="e">
        <f>VLOOKUP(Tabla3[[#This Row],[Nombre del Alumno]],'[3]BECAS COLEGIATURAS'!$I:$N,6,0)</f>
        <v>#N/A</v>
      </c>
      <c r="BX18" s="107" t="e">
        <f>VLOOKUP(Tabla3[[#This Row],[Nombre del Alumno]],[1]!Tabla1[[NOMBRE DEL ALUMNO]:[MATRIZ]],6,0)</f>
        <v>#REF!</v>
      </c>
      <c r="BY18" s="107" t="e">
        <f>VLOOKUP(Tabla3[[#This Row],[Nombre del Alumno]],'[3]BECAS COLEGIATURAS'!$I:$L,4,0)</f>
        <v>#N/A</v>
      </c>
      <c r="BZ18" s="108" t="e">
        <f>VLOOKUP(Tabla3[[#This Row],[Grado 18-19]],[2]Cuotas!$Q:$U,2,0)</f>
        <v>#N/A</v>
      </c>
      <c r="CA18" s="108" t="e">
        <f>VLOOKUP(Tabla3[[#This Row],[Grado 18-19]],[2]Cuotas!$Q:$U,3,0)</f>
        <v>#N/A</v>
      </c>
      <c r="CB18" s="108" t="e">
        <f>VLOOKUP(Tabla3[[#This Row],[Grado 18-19]],[2]Cuotas!$Q:$U,4,0)</f>
        <v>#N/A</v>
      </c>
      <c r="CC18" s="107">
        <v>0</v>
      </c>
      <c r="CD18" s="222">
        <v>0.25</v>
      </c>
      <c r="CE18" s="218" t="e">
        <f>Tabla3[[#This Row],[Monto Colegiatura 2018-2019]]*Tabla3[[#This Row],[% AutorizadoBeca Colegiatura 18-19]]</f>
        <v>#N/A</v>
      </c>
      <c r="CF18" s="223"/>
      <c r="CG18" s="218" t="e">
        <f>Tabla3[[#This Row],[Monto Colegiatura 2018-2019]]*Tabla3[[#This Row],[% Beca Prestacion 18-19]]</f>
        <v>#N/A</v>
      </c>
      <c r="CH18" s="223"/>
      <c r="CI18" s="218" t="e">
        <f>Tabla3[[#This Row],[Canasta 2018-2019]]*Tabla3[[#This Row],[% Beca Canasta 18-19]]</f>
        <v>#N/A</v>
      </c>
      <c r="CJ18" s="223"/>
      <c r="CK18" s="218" t="e">
        <f>Tabla3[[#This Row],[Reinscripción 2019-2020]]*Tabla3[[#This Row],[% Beca Reinscripciones 19-20]]</f>
        <v>#N/A</v>
      </c>
      <c r="CL18" s="218" t="e">
        <f>Tabla3[[#This Row],[Cantidad Beca Comunidad Colegiatura 18-19]]*25%</f>
        <v>#N/A</v>
      </c>
      <c r="CM18" s="224" t="e">
        <f>Tabla3[[#This Row],[Cantidad Beca Reinscripciones Comunidad 19-20]]*25%</f>
        <v>#N/A</v>
      </c>
      <c r="CN18" s="222"/>
      <c r="CO18" s="218" t="e">
        <f>Tabla3[[#This Row],[Monto Colegiatura 2018-2019]]*Tabla3[[#This Row],[% Beca UNAM 18-19]]</f>
        <v>#N/A</v>
      </c>
      <c r="CP18" s="225"/>
      <c r="CQ18" s="224">
        <f>3328*Tabla3[[#This Row],[% Beca Reinscripciones UNAM 18-19]]</f>
        <v>0</v>
      </c>
      <c r="CR18" s="226" t="e">
        <f>Tabla3[[#This Row],[Cantidad Beca Colegiatura 18-19]]+Tabla3[[#This Row],[Cantidad Beca Canasta 18-19]]+Tabla3[[#This Row],[Cantidad Beca Reinscripciones 19-20]]</f>
        <v>#N/A</v>
      </c>
      <c r="CS18" s="222">
        <v>0.4</v>
      </c>
      <c r="CT18" s="218" t="e">
        <f>Tabla3[[#This Row],[Monto Colegiatura 2018-2019]]*Tabla3[[#This Row],[% Beca Comunidad 18-19]]</f>
        <v>#N/A</v>
      </c>
      <c r="CU18" s="218" t="e">
        <f>Tabla3[[#This Row],[Cantidad Beca Comunidad Colegiatura 18-19]]*75%</f>
        <v>#N/A</v>
      </c>
      <c r="CV18" s="223"/>
      <c r="CW18" s="218" t="e">
        <f>Tabla3[[#This Row],[Reinscripción 2019-2020]]*Tabla3[[#This Row],[% Beca Reinscripciones Comunidad 19-20]]</f>
        <v>#N/A</v>
      </c>
      <c r="CX18" s="218" t="e">
        <f>Tabla3[[#This Row],[Cantidad Beca Reinscripciones Comunidad 19-20]]*75%</f>
        <v>#N/A</v>
      </c>
      <c r="CY18" s="227" t="e">
        <f>Tabla3[[#This Row],[75% Cantidad Beca Comunidad Colegiatura 18-19]]+Tabla3[[#This Row],[75% Cantidad Beca Reinscripciones 19-20]]</f>
        <v>#N/A</v>
      </c>
      <c r="CZ18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8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8" s="108">
        <f>1440*(Tabla3[[#This Row],[% AutorizadoBeca Colegiatura 18-19]]+Tabla3[[#This Row],[% Beca Prestacion 18-19]]+Tabla3[[#This Row],[% Beca UNAM 18-19]]+Tabla3[[#This Row],[% Beca Comunidad 18-19]])</f>
        <v>936</v>
      </c>
    </row>
    <row r="19" spans="2:106" ht="15" customHeight="1" x14ac:dyDescent="0.2">
      <c r="B19" s="107" t="s">
        <v>325</v>
      </c>
      <c r="C19" s="107" t="e">
        <f>VLOOKUP(Tabla3[[#This Row],[Nombre del Padre]],[1]!Tabla1[[PADRE]:[PADRE_CELULAR]],2,0)</f>
        <v>#REF!</v>
      </c>
      <c r="D19" s="107" t="e">
        <f>VLOOKUP(Tabla3[[#This Row],[Nombre del Padre]],[1]!Tabla1[[PADRE]:[PADRE_CELULAR]],3,0)</f>
        <v>#REF!</v>
      </c>
      <c r="E19" s="107" t="s">
        <v>326</v>
      </c>
      <c r="F19" s="107" t="e">
        <f>VLOOKUP(Tabla3[[#This Row],[Nombre de la Madre]],[1]!Tabla1[[MADRE]:[MADRE_TELEFONO]],2,0)</f>
        <v>#REF!</v>
      </c>
      <c r="G19" s="202" t="e">
        <f>VLOOKUP(Tabla3[[#This Row],[Nombre de la Madre]],[1]!Tabla1[[MADRE]:[MADRE_TELEFONO]],3,0)</f>
        <v>#REF!</v>
      </c>
      <c r="H19" s="203"/>
      <c r="I19" s="204">
        <v>1924</v>
      </c>
      <c r="J19" s="204" t="s">
        <v>327</v>
      </c>
      <c r="K19" s="204" t="s">
        <v>273</v>
      </c>
      <c r="L19" s="204" t="s">
        <v>334</v>
      </c>
      <c r="M19" s="205" t="s">
        <v>335</v>
      </c>
      <c r="N19" s="204" t="s">
        <v>336</v>
      </c>
      <c r="O19" s="206" t="e">
        <f>VLOOKUP(Tabla3[[#This Row],[Grado]],[2]Cuotas!$A:$E,2,0)</f>
        <v>#N/A</v>
      </c>
      <c r="P19" s="206" t="e">
        <f>VLOOKUP(Tabla3[[#This Row],[Grado]],[2]Cuotas!$A:$E,4,0)</f>
        <v>#N/A</v>
      </c>
      <c r="Q19" s="206" t="e">
        <f>VLOOKUP(Tabla3[[#This Row],[Grado]],[2]Cuotas!$A:$E,3,0)</f>
        <v>#N/A</v>
      </c>
      <c r="R19" s="207">
        <v>0.25</v>
      </c>
      <c r="S19" s="206" t="e">
        <f>Tabla3[[#This Row],[Monto Colegiatura]]*Tabla3[[#This Row],[% Beca Colegio 16-17]]</f>
        <v>#N/A</v>
      </c>
      <c r="T19" s="206"/>
      <c r="U19" s="206" t="e">
        <f>Tabla3[[#This Row],[Monto Colegiatura]]*Tabla3[[#This Row],[% Beca Prestación 16-17]]</f>
        <v>#N/A</v>
      </c>
      <c r="V19" s="208">
        <v>0.5</v>
      </c>
      <c r="W19" s="206" t="e">
        <f>Tabla3[[#This Row],[Monto Colegiatura]]*Tabla3[[#This Row],[% Beca Comunidad 16-17]]</f>
        <v>#N/A</v>
      </c>
      <c r="X19" s="206" t="e">
        <f>Tabla3[[#This Row],[Cantidad Beca Comunidad 16-17]]*25%</f>
        <v>#N/A</v>
      </c>
      <c r="Y19" s="206"/>
      <c r="Z19" s="206" t="e">
        <f>Tabla3[[#This Row],[Monto Colegiatura]]*Tabla3[[#This Row],[% Beca UNAM 16-17]]</f>
        <v>#N/A</v>
      </c>
      <c r="AA19" s="208"/>
      <c r="AB19" s="206" t="e">
        <f>Tabla3[[#This Row],[Monto Reinscripción]]*Tabla3[[#This Row],[% Beca Reinscripción 16-17]]</f>
        <v>#N/A</v>
      </c>
      <c r="AC19" s="206"/>
      <c r="AD19" s="206" t="e">
        <f>Tabla3[[#This Row],[Monto Canasta]]*Tabla3[[#This Row],[% Beca Canasta 16-17]]</f>
        <v>#N/A</v>
      </c>
      <c r="AE19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9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9" s="209" t="e">
        <f>VLOOKUP(Tabla3[[#This Row],[Nombre del Alumno]],[2]!Tabla1[[Alumno]:[Cuenta Ciclos]],2,0)</f>
        <v>#REF!</v>
      </c>
      <c r="AH19" s="210" t="s">
        <v>337</v>
      </c>
      <c r="AI19" s="211" t="s">
        <v>338</v>
      </c>
      <c r="AJ19" s="206" t="e">
        <f>VLOOKUP(Tabla3[[#This Row],[Grado 17-18]],[2]Cuotas!$H:$L,2,0)</f>
        <v>#N/A</v>
      </c>
      <c r="AK19" s="206" t="e">
        <f>VLOOKUP(Tabla3[[#This Row],[Grado 17-18]],[2]Cuotas!$H:$L,3,0)</f>
        <v>#N/A</v>
      </c>
      <c r="AL19" s="206" t="e">
        <f>VLOOKUP(Tabla3[[#This Row],[Grado 17-18]],[2]Cuotas!$H:$L,4,0)</f>
        <v>#N/A</v>
      </c>
      <c r="AM19" s="229">
        <v>0.5</v>
      </c>
      <c r="AN19" s="213">
        <v>0.25</v>
      </c>
      <c r="AO19" s="206" t="e">
        <f>Tabla3[[#This Row],[Monto Colegiatura ]]*Tabla3[[#This Row],[% AutorizadoBeca Colegiatura 17-18]]</f>
        <v>#N/A</v>
      </c>
      <c r="AP19" s="208"/>
      <c r="AQ19" s="206" t="e">
        <f>Tabla3[[#This Row],[Monto Colegiatura ]]*Tabla3[[#This Row],[% Beca Prestacion 17-18]]</f>
        <v>#N/A</v>
      </c>
      <c r="AR19" s="208"/>
      <c r="AS19" s="206" t="e">
        <f>Tabla3[[#This Row],[Canasta]]*Tabla3[[#This Row],[% Beca Canasta 17-18]]</f>
        <v>#N/A</v>
      </c>
      <c r="AT19" s="208"/>
      <c r="AU19" s="214">
        <v>0</v>
      </c>
      <c r="AV19" s="206" t="e">
        <f>Tabla3[[#This Row],[Cantidad Beca Comunidad Colegiatura 17-18]]*25%</f>
        <v>#N/A</v>
      </c>
      <c r="AW19" s="206"/>
      <c r="AX19" s="215"/>
      <c r="AY19" s="206" t="e">
        <f>Tabla3[[#This Row],[Monto Colegiatura ]]*Tabla3[[#This Row],[% Beca UNAM 17-18]]</f>
        <v>#N/A</v>
      </c>
      <c r="AZ19" s="206"/>
      <c r="BA19" s="216">
        <f>3200*Tabla3[[#This Row],[% Beca Reinscripciones UNAM 17-18]]</f>
        <v>0</v>
      </c>
      <c r="BB19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9" s="231">
        <v>0.5</v>
      </c>
      <c r="BD19" s="218" t="e">
        <f>Tabla3[[#This Row],[Monto Colegiatura ]]*Tabla3[[#This Row],[% Beca Comunidad 17-18]]</f>
        <v>#N/A</v>
      </c>
      <c r="BE19" s="218" t="e">
        <f>Tabla3[[#This Row],[Cantidad Beca Comunidad Colegiatura 17-18]]*75%</f>
        <v>#N/A</v>
      </c>
      <c r="BF19" s="219"/>
      <c r="BG19" s="218" t="e">
        <f>Tabla3[[#This Row],[Reinscripción]]*Tabla3[[#This Row],[% Beca Reinscripciones Comunidad 18-19]]</f>
        <v>#N/A</v>
      </c>
      <c r="BH19" s="218" t="e">
        <f>Tabla3[[#This Row],[Cantidad Beca Reinscripciones Comunidad 18-19]]*70%</f>
        <v>#N/A</v>
      </c>
      <c r="BI19" s="216" t="e">
        <f>Tabla3[[#This Row],[75% Cantidad Beca Comunidad Colegiatura 17-18]]+Tabla3[[#This Row],[70% Cantidad Beca Reinscripciones 18-19]]</f>
        <v>#N/A</v>
      </c>
      <c r="BJ19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9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9" s="220"/>
      <c r="BM19" s="229"/>
      <c r="BN19" s="221"/>
      <c r="BO19" s="107"/>
      <c r="BP19" s="107">
        <f>Tabla3[[#This Row],[% AutorizadoBeca Colegiatura 17-18]]+Tabla3[[#This Row],[% Beca Prestacion 17-18]]+Tabla3[[#This Row],[% Beca UNAM 17-18]]</f>
        <v>0.25</v>
      </c>
      <c r="BQ19" s="108">
        <f t="shared" si="0"/>
        <v>286.75</v>
      </c>
      <c r="BR19" s="107">
        <f>Tabla3[[#This Row],[% Beca Comunidad 17-18]]</f>
        <v>0.5</v>
      </c>
      <c r="BS19" s="108">
        <f t="shared" si="1"/>
        <v>573.5</v>
      </c>
      <c r="BT19" s="108">
        <f t="shared" si="2"/>
        <v>143.375</v>
      </c>
      <c r="BU19" s="108">
        <f>Tabla3[[#This Row],[Monto3]]*75%</f>
        <v>430.125</v>
      </c>
      <c r="BV19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9" s="107" t="e">
        <f>VLOOKUP(Tabla3[[#This Row],[Nombre del Alumno]],'[3]BECAS COLEGIATURAS'!$I:$N,6,0)</f>
        <v>#N/A</v>
      </c>
      <c r="BX19" s="107" t="e">
        <f>VLOOKUP(Tabla3[[#This Row],[Nombre del Alumno]],[1]!Tabla1[[NOMBRE DEL ALUMNO]:[MATRIZ]],6,0)</f>
        <v>#REF!</v>
      </c>
      <c r="BY19" s="107" t="e">
        <f>VLOOKUP(Tabla3[[#This Row],[Nombre del Alumno]],'[3]BECAS COLEGIATURAS'!$I:$L,4,0)</f>
        <v>#N/A</v>
      </c>
      <c r="BZ19" s="108" t="e">
        <f>VLOOKUP(Tabla3[[#This Row],[Grado 18-19]],[2]Cuotas!$Q:$U,2,0)</f>
        <v>#N/A</v>
      </c>
      <c r="CA19" s="108" t="e">
        <f>VLOOKUP(Tabla3[[#This Row],[Grado 18-19]],[2]Cuotas!$Q:$U,3,0)</f>
        <v>#N/A</v>
      </c>
      <c r="CB19" s="108" t="e">
        <f>VLOOKUP(Tabla3[[#This Row],[Grado 18-19]],[2]Cuotas!$Q:$U,4,0)</f>
        <v>#N/A</v>
      </c>
      <c r="CC19" s="107">
        <v>0</v>
      </c>
      <c r="CD19" s="222">
        <v>0.25</v>
      </c>
      <c r="CE19" s="218" t="e">
        <f>Tabla3[[#This Row],[Monto Colegiatura 2018-2019]]*Tabla3[[#This Row],[% AutorizadoBeca Colegiatura 18-19]]</f>
        <v>#N/A</v>
      </c>
      <c r="CF19" s="223"/>
      <c r="CG19" s="218" t="e">
        <f>Tabla3[[#This Row],[Monto Colegiatura 2018-2019]]*Tabla3[[#This Row],[% Beca Prestacion 18-19]]</f>
        <v>#N/A</v>
      </c>
      <c r="CH19" s="223"/>
      <c r="CI19" s="218" t="e">
        <f>Tabla3[[#This Row],[Canasta 2018-2019]]*Tabla3[[#This Row],[% Beca Canasta 18-19]]</f>
        <v>#N/A</v>
      </c>
      <c r="CJ19" s="223"/>
      <c r="CK19" s="218" t="e">
        <f>Tabla3[[#This Row],[Reinscripción 2019-2020]]*Tabla3[[#This Row],[% Beca Reinscripciones 19-20]]</f>
        <v>#N/A</v>
      </c>
      <c r="CL19" s="218" t="e">
        <f>Tabla3[[#This Row],[Cantidad Beca Comunidad Colegiatura 18-19]]*25%</f>
        <v>#N/A</v>
      </c>
      <c r="CM19" s="224" t="e">
        <f>Tabla3[[#This Row],[Cantidad Beca Reinscripciones Comunidad 19-20]]*25%</f>
        <v>#N/A</v>
      </c>
      <c r="CN19" s="222"/>
      <c r="CO19" s="218" t="e">
        <f>Tabla3[[#This Row],[Monto Colegiatura 2018-2019]]*Tabla3[[#This Row],[% Beca UNAM 18-19]]</f>
        <v>#N/A</v>
      </c>
      <c r="CP19" s="225"/>
      <c r="CQ19" s="224">
        <f>3328*Tabla3[[#This Row],[% Beca Reinscripciones UNAM 18-19]]</f>
        <v>0</v>
      </c>
      <c r="CR19" s="226" t="e">
        <f>Tabla3[[#This Row],[Cantidad Beca Colegiatura 18-19]]+Tabla3[[#This Row],[Cantidad Beca Canasta 18-19]]+Tabla3[[#This Row],[Cantidad Beca Reinscripciones 19-20]]</f>
        <v>#N/A</v>
      </c>
      <c r="CS19" s="222">
        <v>0.4</v>
      </c>
      <c r="CT19" s="218" t="e">
        <f>Tabla3[[#This Row],[Monto Colegiatura 2018-2019]]*Tabla3[[#This Row],[% Beca Comunidad 18-19]]</f>
        <v>#N/A</v>
      </c>
      <c r="CU19" s="218" t="e">
        <f>Tabla3[[#This Row],[Cantidad Beca Comunidad Colegiatura 18-19]]*75%</f>
        <v>#N/A</v>
      </c>
      <c r="CV19" s="223"/>
      <c r="CW19" s="218" t="e">
        <f>Tabla3[[#This Row],[Reinscripción 2019-2020]]*Tabla3[[#This Row],[% Beca Reinscripciones Comunidad 19-20]]</f>
        <v>#N/A</v>
      </c>
      <c r="CX19" s="218" t="e">
        <f>Tabla3[[#This Row],[Cantidad Beca Reinscripciones Comunidad 19-20]]*75%</f>
        <v>#N/A</v>
      </c>
      <c r="CY19" s="227" t="e">
        <f>Tabla3[[#This Row],[75% Cantidad Beca Comunidad Colegiatura 18-19]]+Tabla3[[#This Row],[75% Cantidad Beca Reinscripciones 19-20]]</f>
        <v>#N/A</v>
      </c>
      <c r="CZ19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9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9" s="108">
        <f>1440*(Tabla3[[#This Row],[% AutorizadoBeca Colegiatura 18-19]]+Tabla3[[#This Row],[% Beca Prestacion 18-19]]+Tabla3[[#This Row],[% Beca UNAM 18-19]]+Tabla3[[#This Row],[% Beca Comunidad 18-19]])</f>
        <v>936</v>
      </c>
    </row>
    <row r="20" spans="2:106" ht="15" customHeight="1" x14ac:dyDescent="0.2">
      <c r="B20" s="107" t="s">
        <v>325</v>
      </c>
      <c r="C20" s="107" t="e">
        <f>VLOOKUP(Tabla3[[#This Row],[Nombre del Padre]],[1]!Tabla1[[PADRE]:[PADRE_CELULAR]],2,0)</f>
        <v>#REF!</v>
      </c>
      <c r="D20" s="107" t="e">
        <f>VLOOKUP(Tabla3[[#This Row],[Nombre del Padre]],[1]!Tabla1[[PADRE]:[PADRE_CELULAR]],3,0)</f>
        <v>#REF!</v>
      </c>
      <c r="E20" s="107" t="s">
        <v>326</v>
      </c>
      <c r="F20" s="107" t="e">
        <f>VLOOKUP(Tabla3[[#This Row],[Nombre de la Madre]],[1]!Tabla1[[MADRE]:[MADRE_TELEFONO]],2,0)</f>
        <v>#REF!</v>
      </c>
      <c r="G20" s="202" t="e">
        <f>VLOOKUP(Tabla3[[#This Row],[Nombre de la Madre]],[1]!Tabla1[[MADRE]:[MADRE_TELEFONO]],3,0)</f>
        <v>#REF!</v>
      </c>
      <c r="H20" s="203"/>
      <c r="I20" s="204">
        <v>1924</v>
      </c>
      <c r="J20" s="204" t="s">
        <v>327</v>
      </c>
      <c r="K20" s="204" t="s">
        <v>273</v>
      </c>
      <c r="L20" s="204" t="s">
        <v>339</v>
      </c>
      <c r="M20" s="205" t="s">
        <v>340</v>
      </c>
      <c r="N20" s="204" t="s">
        <v>299</v>
      </c>
      <c r="O20" s="206" t="e">
        <f>VLOOKUP(Tabla3[[#This Row],[Grado]],[2]Cuotas!$A:$E,2,0)</f>
        <v>#N/A</v>
      </c>
      <c r="P20" s="206" t="e">
        <f>VLOOKUP(Tabla3[[#This Row],[Grado]],[2]Cuotas!$A:$E,4,0)</f>
        <v>#N/A</v>
      </c>
      <c r="Q20" s="206" t="e">
        <f>VLOOKUP(Tabla3[[#This Row],[Grado]],[2]Cuotas!$A:$E,3,0)</f>
        <v>#N/A</v>
      </c>
      <c r="R20" s="207">
        <v>0.25</v>
      </c>
      <c r="S20" s="206" t="e">
        <f>Tabla3[[#This Row],[Monto Colegiatura]]*Tabla3[[#This Row],[% Beca Colegio 16-17]]</f>
        <v>#N/A</v>
      </c>
      <c r="T20" s="206"/>
      <c r="U20" s="206" t="e">
        <f>Tabla3[[#This Row],[Monto Colegiatura]]*Tabla3[[#This Row],[% Beca Prestación 16-17]]</f>
        <v>#N/A</v>
      </c>
      <c r="V20" s="208">
        <v>0.5</v>
      </c>
      <c r="W20" s="206" t="e">
        <f>Tabla3[[#This Row],[Monto Colegiatura]]*Tabla3[[#This Row],[% Beca Comunidad 16-17]]</f>
        <v>#N/A</v>
      </c>
      <c r="X20" s="206" t="e">
        <f>Tabla3[[#This Row],[Cantidad Beca Comunidad 16-17]]*25%</f>
        <v>#N/A</v>
      </c>
      <c r="Y20" s="206"/>
      <c r="Z20" s="206" t="e">
        <f>Tabla3[[#This Row],[Monto Colegiatura]]*Tabla3[[#This Row],[% Beca UNAM 16-17]]</f>
        <v>#N/A</v>
      </c>
      <c r="AA20" s="208"/>
      <c r="AB20" s="206" t="e">
        <f>Tabla3[[#This Row],[Monto Reinscripción]]*Tabla3[[#This Row],[% Beca Reinscripción 16-17]]</f>
        <v>#N/A</v>
      </c>
      <c r="AC20" s="206"/>
      <c r="AD20" s="206" t="e">
        <f>Tabla3[[#This Row],[Monto Canasta]]*Tabla3[[#This Row],[% Beca Canasta 16-17]]</f>
        <v>#N/A</v>
      </c>
      <c r="AE20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20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20" s="209" t="e">
        <f>VLOOKUP(Tabla3[[#This Row],[Nombre del Alumno]],[2]!Tabla1[[Alumno]:[Cuenta Ciclos]],2,0)</f>
        <v>#REF!</v>
      </c>
      <c r="AH20" s="210" t="s">
        <v>341</v>
      </c>
      <c r="AI20" s="211" t="s">
        <v>306</v>
      </c>
      <c r="AJ20" s="206" t="e">
        <f>VLOOKUP(Tabla3[[#This Row],[Grado 17-18]],[2]Cuotas!$H:$L,2,0)</f>
        <v>#N/A</v>
      </c>
      <c r="AK20" s="206">
        <v>2573.7919999999999</v>
      </c>
      <c r="AL20" s="206" t="e">
        <f>VLOOKUP(Tabla3[[#This Row],[Grado 17-18]],[2]Cuotas!$H:$L,4,0)</f>
        <v>#N/A</v>
      </c>
      <c r="AM20" s="229">
        <v>0.5</v>
      </c>
      <c r="AN20" s="213">
        <v>0.25</v>
      </c>
      <c r="AO20" s="206" t="e">
        <f>Tabla3[[#This Row],[Monto Colegiatura ]]*Tabla3[[#This Row],[% AutorizadoBeca Colegiatura 17-18]]</f>
        <v>#N/A</v>
      </c>
      <c r="AP20" s="208"/>
      <c r="AQ20" s="206" t="e">
        <f>Tabla3[[#This Row],[Monto Colegiatura ]]*Tabla3[[#This Row],[% Beca Prestacion 17-18]]</f>
        <v>#N/A</v>
      </c>
      <c r="AR20" s="208"/>
      <c r="AS20" s="206" t="e">
        <f>Tabla3[[#This Row],[Canasta]]*Tabla3[[#This Row],[% Beca Canasta 17-18]]</f>
        <v>#N/A</v>
      </c>
      <c r="AT20" s="208"/>
      <c r="AU20" s="214">
        <v>0</v>
      </c>
      <c r="AV20" s="206" t="e">
        <f>Tabla3[[#This Row],[Cantidad Beca Comunidad Colegiatura 17-18]]*25%</f>
        <v>#N/A</v>
      </c>
      <c r="AW20" s="206"/>
      <c r="AX20" s="215"/>
      <c r="AY20" s="206" t="e">
        <f>Tabla3[[#This Row],[Monto Colegiatura ]]*Tabla3[[#This Row],[% Beca UNAM 17-18]]</f>
        <v>#N/A</v>
      </c>
      <c r="AZ20" s="206"/>
      <c r="BA20" s="216">
        <f>3200*Tabla3[[#This Row],[% Beca Reinscripciones UNAM 17-18]]</f>
        <v>0</v>
      </c>
      <c r="BB20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20" s="231">
        <v>0.5</v>
      </c>
      <c r="BD20" s="218" t="e">
        <f>Tabla3[[#This Row],[Monto Colegiatura ]]*Tabla3[[#This Row],[% Beca Comunidad 17-18]]</f>
        <v>#N/A</v>
      </c>
      <c r="BE20" s="218" t="e">
        <f>Tabla3[[#This Row],[Cantidad Beca Comunidad Colegiatura 17-18]]*75%</f>
        <v>#N/A</v>
      </c>
      <c r="BF20" s="219"/>
      <c r="BG20" s="218">
        <f>Tabla3[[#This Row],[Reinscripción]]*Tabla3[[#This Row],[% Beca Reinscripciones Comunidad 18-19]]</f>
        <v>0</v>
      </c>
      <c r="BH20" s="218">
        <f>Tabla3[[#This Row],[Cantidad Beca Reinscripciones Comunidad 18-19]]*70%</f>
        <v>0</v>
      </c>
      <c r="BI20" s="216" t="e">
        <f>Tabla3[[#This Row],[75% Cantidad Beca Comunidad Colegiatura 17-18]]+Tabla3[[#This Row],[70% Cantidad Beca Reinscripciones 18-19]]</f>
        <v>#N/A</v>
      </c>
      <c r="BJ20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20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20" s="220"/>
      <c r="BM20" s="229"/>
      <c r="BN20" s="221"/>
      <c r="BO20" s="107"/>
      <c r="BP20" s="107">
        <f>Tabla3[[#This Row],[% AutorizadoBeca Colegiatura 17-18]]+Tabla3[[#This Row],[% Beca Prestacion 17-18]]+Tabla3[[#This Row],[% Beca UNAM 17-18]]</f>
        <v>0.25</v>
      </c>
      <c r="BQ20" s="108">
        <f t="shared" si="0"/>
        <v>286.75</v>
      </c>
      <c r="BR20" s="107">
        <f>Tabla3[[#This Row],[% Beca Comunidad 17-18]]</f>
        <v>0.5</v>
      </c>
      <c r="BS20" s="108">
        <f t="shared" si="1"/>
        <v>573.5</v>
      </c>
      <c r="BT20" s="108">
        <f t="shared" si="2"/>
        <v>143.375</v>
      </c>
      <c r="BU20" s="108">
        <f>Tabla3[[#This Row],[Monto3]]*75%</f>
        <v>430.125</v>
      </c>
      <c r="BV20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20" s="107" t="e">
        <f>VLOOKUP(Tabla3[[#This Row],[Nombre del Alumno]],'[3]BECAS COLEGIATURAS'!$I:$N,6,0)</f>
        <v>#N/A</v>
      </c>
      <c r="BX20" s="107" t="e">
        <f>VLOOKUP(Tabla3[[#This Row],[Nombre del Alumno]],[1]!Tabla1[[NOMBRE DEL ALUMNO]:[MATRIZ]],6,0)</f>
        <v>#REF!</v>
      </c>
      <c r="BY20" s="107" t="e">
        <f>VLOOKUP(Tabla3[[#This Row],[Nombre del Alumno]],'[3]BECAS COLEGIATURAS'!$I:$L,4,0)</f>
        <v>#N/A</v>
      </c>
      <c r="BZ20" s="108" t="e">
        <f>VLOOKUP(Tabla3[[#This Row],[Grado 18-19]],[2]Cuotas!$Q:$U,2,0)</f>
        <v>#N/A</v>
      </c>
      <c r="CA20" s="108" t="e">
        <f>VLOOKUP(Tabla3[[#This Row],[Grado 18-19]],[2]Cuotas!$Q:$U,3,0)</f>
        <v>#N/A</v>
      </c>
      <c r="CB20" s="108" t="e">
        <f>VLOOKUP(Tabla3[[#This Row],[Grado 18-19]],[2]Cuotas!$Q:$U,4,0)</f>
        <v>#N/A</v>
      </c>
      <c r="CC20" s="107">
        <v>0</v>
      </c>
      <c r="CD20" s="222">
        <v>0.25</v>
      </c>
      <c r="CE20" s="218" t="e">
        <f>Tabla3[[#This Row],[Monto Colegiatura 2018-2019]]*Tabla3[[#This Row],[% AutorizadoBeca Colegiatura 18-19]]</f>
        <v>#N/A</v>
      </c>
      <c r="CF20" s="223"/>
      <c r="CG20" s="218" t="e">
        <f>Tabla3[[#This Row],[Monto Colegiatura 2018-2019]]*Tabla3[[#This Row],[% Beca Prestacion 18-19]]</f>
        <v>#N/A</v>
      </c>
      <c r="CH20" s="223"/>
      <c r="CI20" s="218" t="e">
        <f>Tabla3[[#This Row],[Canasta 2018-2019]]*Tabla3[[#This Row],[% Beca Canasta 18-19]]</f>
        <v>#N/A</v>
      </c>
      <c r="CJ20" s="223"/>
      <c r="CK20" s="218" t="e">
        <f>Tabla3[[#This Row],[Reinscripción 2019-2020]]*Tabla3[[#This Row],[% Beca Reinscripciones 19-20]]</f>
        <v>#N/A</v>
      </c>
      <c r="CL20" s="218" t="e">
        <f>Tabla3[[#This Row],[Cantidad Beca Comunidad Colegiatura 18-19]]*25%</f>
        <v>#N/A</v>
      </c>
      <c r="CM20" s="224" t="e">
        <f>Tabla3[[#This Row],[Cantidad Beca Reinscripciones Comunidad 19-20]]*25%</f>
        <v>#N/A</v>
      </c>
      <c r="CN20" s="222"/>
      <c r="CO20" s="218" t="e">
        <f>Tabla3[[#This Row],[Monto Colegiatura 2018-2019]]*Tabla3[[#This Row],[% Beca UNAM 18-19]]</f>
        <v>#N/A</v>
      </c>
      <c r="CP20" s="225"/>
      <c r="CQ20" s="224">
        <f>3328*Tabla3[[#This Row],[% Beca Reinscripciones UNAM 18-19]]</f>
        <v>0</v>
      </c>
      <c r="CR20" s="226" t="e">
        <f>Tabla3[[#This Row],[Cantidad Beca Colegiatura 18-19]]+Tabla3[[#This Row],[Cantidad Beca Canasta 18-19]]+Tabla3[[#This Row],[Cantidad Beca Reinscripciones 19-20]]</f>
        <v>#N/A</v>
      </c>
      <c r="CS20" s="222">
        <v>0.4</v>
      </c>
      <c r="CT20" s="218" t="e">
        <f>Tabla3[[#This Row],[Monto Colegiatura 2018-2019]]*Tabla3[[#This Row],[% Beca Comunidad 18-19]]</f>
        <v>#N/A</v>
      </c>
      <c r="CU20" s="218" t="e">
        <f>Tabla3[[#This Row],[Cantidad Beca Comunidad Colegiatura 18-19]]*75%</f>
        <v>#N/A</v>
      </c>
      <c r="CV20" s="223"/>
      <c r="CW20" s="218" t="e">
        <f>Tabla3[[#This Row],[Reinscripción 2019-2020]]*Tabla3[[#This Row],[% Beca Reinscripciones Comunidad 19-20]]</f>
        <v>#N/A</v>
      </c>
      <c r="CX20" s="218" t="e">
        <f>Tabla3[[#This Row],[Cantidad Beca Reinscripciones Comunidad 19-20]]*75%</f>
        <v>#N/A</v>
      </c>
      <c r="CY20" s="227" t="e">
        <f>Tabla3[[#This Row],[75% Cantidad Beca Comunidad Colegiatura 18-19]]+Tabla3[[#This Row],[75% Cantidad Beca Reinscripciones 19-20]]</f>
        <v>#N/A</v>
      </c>
      <c r="CZ20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20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20" s="108">
        <f>1440*(Tabla3[[#This Row],[% AutorizadoBeca Colegiatura 18-19]]+Tabla3[[#This Row],[% Beca Prestacion 18-19]]+Tabla3[[#This Row],[% Beca UNAM 18-19]]+Tabla3[[#This Row],[% Beca Comunidad 18-19]])</f>
        <v>936</v>
      </c>
    </row>
    <row r="21" spans="2:106" ht="15" customHeight="1" x14ac:dyDescent="0.2">
      <c r="B21" s="107" t="s">
        <v>342</v>
      </c>
      <c r="C21" s="107" t="e">
        <f>VLOOKUP(Tabla3[[#This Row],[Nombre del Padre]],[1]!Tabla1[[PADRE]:[PADRE_CELULAR]],2,0)</f>
        <v>#REF!</v>
      </c>
      <c r="D21" s="107" t="e">
        <f>VLOOKUP(Tabla3[[#This Row],[Nombre del Padre]],[1]!Tabla1[[PADRE]:[PADRE_CELULAR]],3,0)</f>
        <v>#REF!</v>
      </c>
      <c r="E21" s="107" t="s">
        <v>343</v>
      </c>
      <c r="F21" s="107" t="e">
        <f>VLOOKUP(Tabla3[[#This Row],[Nombre de la Madre]],[1]!Tabla1[[MADRE]:[MADRE_TELEFONO]],2,0)</f>
        <v>#REF!</v>
      </c>
      <c r="G21" s="202" t="e">
        <f>VLOOKUP(Tabla3[[#This Row],[Nombre de la Madre]],[1]!Tabla1[[MADRE]:[MADRE_TELEFONO]],3,0)</f>
        <v>#REF!</v>
      </c>
      <c r="H21" s="228">
        <v>17</v>
      </c>
      <c r="I21" s="204">
        <v>1452</v>
      </c>
      <c r="J21" s="204" t="s">
        <v>344</v>
      </c>
      <c r="K21" s="204" t="s">
        <v>273</v>
      </c>
      <c r="L21" s="204" t="s">
        <v>345</v>
      </c>
      <c r="M21" s="205" t="s">
        <v>346</v>
      </c>
      <c r="N21" s="204" t="s">
        <v>278</v>
      </c>
      <c r="O21" s="206" t="e">
        <f>VLOOKUP(Tabla3[[#This Row],[Grado]],[2]Cuotas!$A:$E,2,0)</f>
        <v>#N/A</v>
      </c>
      <c r="P21" s="206" t="e">
        <f>VLOOKUP(Tabla3[[#This Row],[Grado]],[2]Cuotas!$A:$E,4,0)</f>
        <v>#N/A</v>
      </c>
      <c r="Q21" s="206" t="e">
        <f>VLOOKUP(Tabla3[[#This Row],[Grado]],[2]Cuotas!$A:$E,3,0)</f>
        <v>#N/A</v>
      </c>
      <c r="R21" s="207"/>
      <c r="S21" s="206" t="e">
        <f>Tabla3[[#This Row],[Monto Colegiatura]]*Tabla3[[#This Row],[% Beca Colegio 16-17]]</f>
        <v>#N/A</v>
      </c>
      <c r="T21" s="208">
        <v>0.4</v>
      </c>
      <c r="U21" s="206" t="e">
        <f>Tabla3[[#This Row],[Monto Colegiatura]]*Tabla3[[#This Row],[% Beca Prestación 16-17]]</f>
        <v>#N/A</v>
      </c>
      <c r="V21" s="208"/>
      <c r="W21" s="206" t="e">
        <f>Tabla3[[#This Row],[Monto Colegiatura]]*Tabla3[[#This Row],[% Beca Comunidad 16-17]]</f>
        <v>#N/A</v>
      </c>
      <c r="X21" s="206" t="e">
        <f>Tabla3[[#This Row],[Cantidad Beca Comunidad 16-17]]*25%</f>
        <v>#N/A</v>
      </c>
      <c r="Y21" s="206"/>
      <c r="Z21" s="206" t="e">
        <f>Tabla3[[#This Row],[Monto Colegiatura]]*Tabla3[[#This Row],[% Beca UNAM 16-17]]</f>
        <v>#N/A</v>
      </c>
      <c r="AA21" s="208"/>
      <c r="AB21" s="206" t="e">
        <f>Tabla3[[#This Row],[Monto Reinscripción]]*Tabla3[[#This Row],[% Beca Reinscripción 16-17]]</f>
        <v>#N/A</v>
      </c>
      <c r="AC21" s="206"/>
      <c r="AD21" s="206" t="e">
        <f>Tabla3[[#This Row],[Monto Canasta]]*Tabla3[[#This Row],[% Beca Canasta 16-17]]</f>
        <v>#N/A</v>
      </c>
      <c r="AE21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21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21" s="209" t="e">
        <f>VLOOKUP(Tabla3[[#This Row],[Nombre del Alumno]],[2]!Tabla1[[Alumno]:[Cuenta Ciclos]],2,0)</f>
        <v>#REF!</v>
      </c>
      <c r="AH21" s="210" t="s">
        <v>347</v>
      </c>
      <c r="AI21" s="211" t="s">
        <v>291</v>
      </c>
      <c r="AJ21" s="206" t="e">
        <f>VLOOKUP(Tabla3[[#This Row],[Grado 17-18]],[2]Cuotas!$H:$L,2,0)</f>
        <v>#N/A</v>
      </c>
      <c r="AK21" s="206" t="e">
        <f>VLOOKUP(Tabla3[[#This Row],[Grado 17-18]],[2]Cuotas!$H:$L,3,0)</f>
        <v>#N/A</v>
      </c>
      <c r="AL21" s="206" t="e">
        <f>VLOOKUP(Tabla3[[#This Row],[Grado 17-18]],[2]Cuotas!$H:$L,4,0)</f>
        <v>#N/A</v>
      </c>
      <c r="AM21" s="212"/>
      <c r="AN21" s="213"/>
      <c r="AO21" s="206" t="e">
        <f>Tabla3[[#This Row],[Monto Colegiatura ]]*Tabla3[[#This Row],[% AutorizadoBeca Colegiatura 17-18]]</f>
        <v>#N/A</v>
      </c>
      <c r="AP21" s="208">
        <v>0.4</v>
      </c>
      <c r="AQ21" s="206" t="e">
        <f>Tabla3[[#This Row],[Monto Colegiatura ]]*Tabla3[[#This Row],[% Beca Prestacion 17-18]]</f>
        <v>#N/A</v>
      </c>
      <c r="AR21" s="208"/>
      <c r="AS21" s="206" t="e">
        <f>Tabla3[[#This Row],[Canasta]]*Tabla3[[#This Row],[% Beca Canasta 17-18]]</f>
        <v>#N/A</v>
      </c>
      <c r="AT21" s="208"/>
      <c r="AU21" s="214">
        <v>0</v>
      </c>
      <c r="AV21" s="206" t="e">
        <f>Tabla3[[#This Row],[Cantidad Beca Comunidad Colegiatura 17-18]]*25%</f>
        <v>#N/A</v>
      </c>
      <c r="AW21" s="206"/>
      <c r="AX21" s="215"/>
      <c r="AY21" s="206" t="e">
        <f>Tabla3[[#This Row],[Monto Colegiatura ]]*Tabla3[[#This Row],[% Beca UNAM 17-18]]</f>
        <v>#N/A</v>
      </c>
      <c r="AZ21" s="206"/>
      <c r="BA21" s="216">
        <f>3200*Tabla3[[#This Row],[% Beca Reinscripciones UNAM 17-18]]</f>
        <v>0</v>
      </c>
      <c r="BB21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21" s="217"/>
      <c r="BD21" s="218" t="e">
        <f>Tabla3[[#This Row],[Monto Colegiatura ]]*Tabla3[[#This Row],[% Beca Comunidad 17-18]]</f>
        <v>#N/A</v>
      </c>
      <c r="BE21" s="218" t="e">
        <f>Tabla3[[#This Row],[Cantidad Beca Comunidad Colegiatura 17-18]]*75%</f>
        <v>#N/A</v>
      </c>
      <c r="BF21" s="219"/>
      <c r="BG21" s="218" t="e">
        <f>Tabla3[[#This Row],[Reinscripción]]*Tabla3[[#This Row],[% Beca Reinscripciones Comunidad 18-19]]</f>
        <v>#N/A</v>
      </c>
      <c r="BH21" s="218" t="e">
        <f>Tabla3[[#This Row],[Cantidad Beca Reinscripciones Comunidad 18-19]]*70%</f>
        <v>#N/A</v>
      </c>
      <c r="BI21" s="216" t="e">
        <f>Tabla3[[#This Row],[75% Cantidad Beca Comunidad Colegiatura 17-18]]+Tabla3[[#This Row],[70% Cantidad Beca Reinscripciones 18-19]]</f>
        <v>#N/A</v>
      </c>
      <c r="BJ21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21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21" s="220"/>
      <c r="BM21" s="204"/>
      <c r="BN21" s="221"/>
      <c r="BO21" s="107"/>
      <c r="BP21" s="107">
        <f>Tabla3[[#This Row],[% AutorizadoBeca Colegiatura 17-18]]+Tabla3[[#This Row],[% Beca Prestacion 17-18]]+Tabla3[[#This Row],[% Beca UNAM 17-18]]</f>
        <v>0.4</v>
      </c>
      <c r="BQ21" s="108">
        <f t="shared" si="0"/>
        <v>458.8</v>
      </c>
      <c r="BR21" s="107">
        <f>Tabla3[[#This Row],[% Beca Comunidad 17-18]]</f>
        <v>0</v>
      </c>
      <c r="BS21" s="108">
        <f t="shared" si="1"/>
        <v>0</v>
      </c>
      <c r="BT21" s="108">
        <f t="shared" si="2"/>
        <v>0</v>
      </c>
      <c r="BU21" s="108">
        <f>Tabla3[[#This Row],[Monto3]]*75%</f>
        <v>0</v>
      </c>
      <c r="BV21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21" s="107" t="e">
        <f>VLOOKUP(Tabla3[[#This Row],[Nombre del Alumno]],'[3]BECAS COLEGIATURAS'!$I:$N,6,0)</f>
        <v>#N/A</v>
      </c>
      <c r="BX21" s="107" t="e">
        <f>VLOOKUP(Tabla3[[#This Row],[Nombre del Alumno]],[1]!Tabla1[[NOMBRE DEL ALUMNO]:[MATRIZ]],6,0)</f>
        <v>#REF!</v>
      </c>
      <c r="BY21" s="107" t="e">
        <f>VLOOKUP(Tabla3[[#This Row],[Nombre del Alumno]],'[3]BECAS COLEGIATURAS'!$I:$L,4,0)</f>
        <v>#N/A</v>
      </c>
      <c r="BZ21" s="108" t="e">
        <f>VLOOKUP(Tabla3[[#This Row],[Grado 18-19]],[2]Cuotas!$Q:$U,2,0)</f>
        <v>#N/A</v>
      </c>
      <c r="CA21" s="108" t="e">
        <f>VLOOKUP(Tabla3[[#This Row],[Grado 18-19]],[2]Cuotas!$Q:$U,3,0)</f>
        <v>#N/A</v>
      </c>
      <c r="CB21" s="108" t="e">
        <f>VLOOKUP(Tabla3[[#This Row],[Grado 18-19]],[2]Cuotas!$Q:$U,4,0)</f>
        <v>#N/A</v>
      </c>
      <c r="CC21" s="107">
        <v>0</v>
      </c>
      <c r="CD21" s="222"/>
      <c r="CE21" s="218" t="e">
        <f>Tabla3[[#This Row],[Monto Colegiatura 2018-2019]]*Tabla3[[#This Row],[% AutorizadoBeca Colegiatura 18-19]]</f>
        <v>#N/A</v>
      </c>
      <c r="CF21" s="223">
        <v>0.4</v>
      </c>
      <c r="CG21" s="218" t="e">
        <f>Tabla3[[#This Row],[Monto Colegiatura 2018-2019]]*Tabla3[[#This Row],[% Beca Prestacion 18-19]]</f>
        <v>#N/A</v>
      </c>
      <c r="CH21" s="223"/>
      <c r="CI21" s="218" t="e">
        <f>Tabla3[[#This Row],[Canasta 2018-2019]]*Tabla3[[#This Row],[% Beca Canasta 18-19]]</f>
        <v>#N/A</v>
      </c>
      <c r="CJ21" s="223"/>
      <c r="CK21" s="218" t="e">
        <f>Tabla3[[#This Row],[Reinscripción 2019-2020]]*Tabla3[[#This Row],[% Beca Reinscripciones 19-20]]</f>
        <v>#N/A</v>
      </c>
      <c r="CL21" s="218" t="e">
        <f>Tabla3[[#This Row],[Cantidad Beca Comunidad Colegiatura 18-19]]*25%</f>
        <v>#N/A</v>
      </c>
      <c r="CM21" s="224" t="e">
        <f>Tabla3[[#This Row],[Cantidad Beca Reinscripciones Comunidad 19-20]]*25%</f>
        <v>#N/A</v>
      </c>
      <c r="CN21" s="222"/>
      <c r="CO21" s="218" t="e">
        <f>Tabla3[[#This Row],[Monto Colegiatura 2018-2019]]*Tabla3[[#This Row],[% Beca UNAM 18-19]]</f>
        <v>#N/A</v>
      </c>
      <c r="CP21" s="225"/>
      <c r="CQ21" s="224">
        <f>3328*Tabla3[[#This Row],[% Beca Reinscripciones UNAM 18-19]]</f>
        <v>0</v>
      </c>
      <c r="CR21" s="226" t="e">
        <f>Tabla3[[#This Row],[Cantidad Beca Colegiatura 18-19]]+Tabla3[[#This Row],[Cantidad Beca Canasta 18-19]]+Tabla3[[#This Row],[Cantidad Beca Reinscripciones 19-20]]</f>
        <v>#N/A</v>
      </c>
      <c r="CS21" s="222"/>
      <c r="CT21" s="218" t="e">
        <f>Tabla3[[#This Row],[Monto Colegiatura 2018-2019]]*Tabla3[[#This Row],[% Beca Comunidad 18-19]]</f>
        <v>#N/A</v>
      </c>
      <c r="CU21" s="218" t="e">
        <f>Tabla3[[#This Row],[Cantidad Beca Comunidad Colegiatura 18-19]]*75%</f>
        <v>#N/A</v>
      </c>
      <c r="CV21" s="223"/>
      <c r="CW21" s="218" t="e">
        <f>Tabla3[[#This Row],[Reinscripción 2019-2020]]*Tabla3[[#This Row],[% Beca Reinscripciones Comunidad 19-20]]</f>
        <v>#N/A</v>
      </c>
      <c r="CX21" s="218" t="e">
        <f>Tabla3[[#This Row],[Cantidad Beca Reinscripciones Comunidad 19-20]]*75%</f>
        <v>#N/A</v>
      </c>
      <c r="CY21" s="227" t="e">
        <f>Tabla3[[#This Row],[75% Cantidad Beca Comunidad Colegiatura 18-19]]+Tabla3[[#This Row],[75% Cantidad Beca Reinscripciones 19-20]]</f>
        <v>#N/A</v>
      </c>
      <c r="CZ21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21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21" s="108">
        <f>1440*(Tabla3[[#This Row],[% AutorizadoBeca Colegiatura 18-19]]+Tabla3[[#This Row],[% Beca Prestacion 18-19]]+Tabla3[[#This Row],[% Beca UNAM 18-19]]+Tabla3[[#This Row],[% Beca Comunidad 18-19]])</f>
        <v>576</v>
      </c>
    </row>
    <row r="22" spans="2:106" ht="15" customHeight="1" x14ac:dyDescent="0.2">
      <c r="B22" s="107" t="s">
        <v>342</v>
      </c>
      <c r="C22" s="107" t="e">
        <f>VLOOKUP(Tabla3[[#This Row],[Nombre del Padre]],[1]!Tabla1[[PADRE]:[PADRE_CELULAR]],2,0)</f>
        <v>#REF!</v>
      </c>
      <c r="D22" s="107" t="e">
        <f>VLOOKUP(Tabla3[[#This Row],[Nombre del Padre]],[1]!Tabla1[[PADRE]:[PADRE_CELULAR]],3,0)</f>
        <v>#REF!</v>
      </c>
      <c r="E22" s="107" t="s">
        <v>343</v>
      </c>
      <c r="F22" s="107" t="e">
        <f>VLOOKUP(Tabla3[[#This Row],[Nombre de la Madre]],[1]!Tabla1[[MADRE]:[MADRE_TELEFONO]],2,0)</f>
        <v>#REF!</v>
      </c>
      <c r="G22" s="202" t="e">
        <f>VLOOKUP(Tabla3[[#This Row],[Nombre de la Madre]],[1]!Tabla1[[MADRE]:[MADRE_TELEFONO]],3,0)</f>
        <v>#REF!</v>
      </c>
      <c r="H22" s="233"/>
      <c r="I22" s="204">
        <v>1452</v>
      </c>
      <c r="J22" s="204" t="s">
        <v>344</v>
      </c>
      <c r="K22" s="204" t="s">
        <v>273</v>
      </c>
      <c r="L22" s="204" t="s">
        <v>348</v>
      </c>
      <c r="M22" s="205"/>
      <c r="N22" s="204"/>
      <c r="O22" s="206"/>
      <c r="P22" s="206"/>
      <c r="Q22" s="206"/>
      <c r="R22" s="207"/>
      <c r="S22" s="206"/>
      <c r="T22" s="206"/>
      <c r="U22" s="206"/>
      <c r="V22" s="208"/>
      <c r="W22" s="206"/>
      <c r="X22" s="206"/>
      <c r="Y22" s="206"/>
      <c r="Z22" s="206"/>
      <c r="AA22" s="208"/>
      <c r="AB22" s="206"/>
      <c r="AC22" s="206"/>
      <c r="AD22" s="206"/>
      <c r="AE22" s="206"/>
      <c r="AF22" s="206"/>
      <c r="AG22" s="232" t="s">
        <v>289</v>
      </c>
      <c r="AH22" s="210" t="s">
        <v>347</v>
      </c>
      <c r="AI22" s="211" t="s">
        <v>291</v>
      </c>
      <c r="AJ22" s="206" t="e">
        <f>VLOOKUP(Tabla3[[#This Row],[Grado 17-18]],[2]Cuotas!$H:$L,2,0)</f>
        <v>#N/A</v>
      </c>
      <c r="AK22" s="206" t="e">
        <f>VLOOKUP(Tabla3[[#This Row],[Grado 17-18]],[2]Cuotas!$H:$L,3,0)</f>
        <v>#N/A</v>
      </c>
      <c r="AL22" s="206" t="e">
        <f>VLOOKUP(Tabla3[[#This Row],[Grado 17-18]],[2]Cuotas!$H:$L,4,0)</f>
        <v>#N/A</v>
      </c>
      <c r="AM22" s="212"/>
      <c r="AN22" s="213"/>
      <c r="AO22" s="206" t="e">
        <f>Tabla3[[#This Row],[Monto Colegiatura ]]*Tabla3[[#This Row],[% AutorizadoBeca Colegiatura 17-18]]</f>
        <v>#N/A</v>
      </c>
      <c r="AP22" s="208">
        <v>0.4</v>
      </c>
      <c r="AQ22" s="206" t="e">
        <f>Tabla3[[#This Row],[Monto Colegiatura ]]*Tabla3[[#This Row],[% Beca Prestacion 17-18]]</f>
        <v>#N/A</v>
      </c>
      <c r="AR22" s="208"/>
      <c r="AS22" s="206" t="e">
        <f>Tabla3[[#This Row],[Canasta]]*Tabla3[[#This Row],[% Beca Canasta 17-18]]</f>
        <v>#N/A</v>
      </c>
      <c r="AT22" s="208"/>
      <c r="AU22" s="214">
        <v>0</v>
      </c>
      <c r="AV22" s="206" t="e">
        <f>Tabla3[[#This Row],[Cantidad Beca Comunidad Colegiatura 17-18]]*25%</f>
        <v>#N/A</v>
      </c>
      <c r="AW22" s="206"/>
      <c r="AX22" s="215"/>
      <c r="AY22" s="206" t="e">
        <f>Tabla3[[#This Row],[Monto Colegiatura ]]*Tabla3[[#This Row],[% Beca UNAM 17-18]]</f>
        <v>#N/A</v>
      </c>
      <c r="AZ22" s="206"/>
      <c r="BA22" s="216">
        <f>3200*Tabla3[[#This Row],[% Beca Reinscripciones UNAM 17-18]]</f>
        <v>0</v>
      </c>
      <c r="BB22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22" s="217"/>
      <c r="BD22" s="218" t="e">
        <f>Tabla3[[#This Row],[Monto Colegiatura ]]*Tabla3[[#This Row],[% Beca Comunidad 17-18]]</f>
        <v>#N/A</v>
      </c>
      <c r="BE22" s="218" t="e">
        <f>Tabla3[[#This Row],[Cantidad Beca Comunidad Colegiatura 17-18]]*75%</f>
        <v>#N/A</v>
      </c>
      <c r="BF22" s="219"/>
      <c r="BG22" s="218" t="e">
        <f>Tabla3[[#This Row],[Reinscripción]]*Tabla3[[#This Row],[% Beca Reinscripciones Comunidad 18-19]]</f>
        <v>#N/A</v>
      </c>
      <c r="BH22" s="218" t="e">
        <f>Tabla3[[#This Row],[Cantidad Beca Reinscripciones Comunidad 18-19]]*70%</f>
        <v>#N/A</v>
      </c>
      <c r="BI22" s="216" t="e">
        <f>Tabla3[[#This Row],[75% Cantidad Beca Comunidad Colegiatura 17-18]]+Tabla3[[#This Row],[70% Cantidad Beca Reinscripciones 18-19]]</f>
        <v>#N/A</v>
      </c>
      <c r="BJ22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22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22" s="220"/>
      <c r="BM22" s="204"/>
      <c r="BN22" s="221"/>
      <c r="BO22" s="107"/>
      <c r="BP22" s="107">
        <f>Tabla3[[#This Row],[% AutorizadoBeca Colegiatura 17-18]]+Tabla3[[#This Row],[% Beca Prestacion 17-18]]+Tabla3[[#This Row],[% Beca UNAM 17-18]]</f>
        <v>0.4</v>
      </c>
      <c r="BQ22" s="108">
        <f t="shared" si="0"/>
        <v>458.8</v>
      </c>
      <c r="BR22" s="107">
        <f>Tabla3[[#This Row],[% Beca Comunidad 17-18]]</f>
        <v>0</v>
      </c>
      <c r="BS22" s="108">
        <f t="shared" si="1"/>
        <v>0</v>
      </c>
      <c r="BT22" s="108">
        <f t="shared" si="2"/>
        <v>0</v>
      </c>
      <c r="BU22" s="108">
        <f>Tabla3[[#This Row],[Monto3]]*75%</f>
        <v>0</v>
      </c>
      <c r="BV22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22" s="107" t="e">
        <f>VLOOKUP(Tabla3[[#This Row],[Nombre del Alumno]],'[3]BECAS COLEGIATURAS'!$I:$N,6,0)</f>
        <v>#N/A</v>
      </c>
      <c r="BX22" s="107" t="e">
        <f>VLOOKUP(Tabla3[[#This Row],[Nombre del Alumno]],[1]!Tabla1[[NOMBRE DEL ALUMNO]:[MATRIZ]],6,0)</f>
        <v>#REF!</v>
      </c>
      <c r="BY22" s="107" t="e">
        <f>VLOOKUP(Tabla3[[#This Row],[Nombre del Alumno]],'[3]BECAS COLEGIATURAS'!$I:$L,4,0)</f>
        <v>#N/A</v>
      </c>
      <c r="BZ22" s="108" t="e">
        <f>VLOOKUP(Tabla3[[#This Row],[Grado 18-19]],[2]Cuotas!$Q:$U,2,0)</f>
        <v>#N/A</v>
      </c>
      <c r="CA22" s="108" t="e">
        <f>VLOOKUP(Tabla3[[#This Row],[Grado 18-19]],[2]Cuotas!$Q:$U,3,0)</f>
        <v>#N/A</v>
      </c>
      <c r="CB22" s="108" t="e">
        <f>VLOOKUP(Tabla3[[#This Row],[Grado 18-19]],[2]Cuotas!$Q:$U,4,0)</f>
        <v>#N/A</v>
      </c>
      <c r="CC22" s="107">
        <v>0</v>
      </c>
      <c r="CD22" s="222"/>
      <c r="CE22" s="218" t="e">
        <f>Tabla3[[#This Row],[Monto Colegiatura 2018-2019]]*Tabla3[[#This Row],[% AutorizadoBeca Colegiatura 18-19]]</f>
        <v>#N/A</v>
      </c>
      <c r="CF22" s="223">
        <v>0.4</v>
      </c>
      <c r="CG22" s="218" t="e">
        <f>Tabla3[[#This Row],[Monto Colegiatura 2018-2019]]*Tabla3[[#This Row],[% Beca Prestacion 18-19]]</f>
        <v>#N/A</v>
      </c>
      <c r="CH22" s="223"/>
      <c r="CI22" s="218" t="e">
        <f>Tabla3[[#This Row],[Canasta 2018-2019]]*Tabla3[[#This Row],[% Beca Canasta 18-19]]</f>
        <v>#N/A</v>
      </c>
      <c r="CJ22" s="223"/>
      <c r="CK22" s="218" t="e">
        <f>Tabla3[[#This Row],[Reinscripción 2019-2020]]*Tabla3[[#This Row],[% Beca Reinscripciones 19-20]]</f>
        <v>#N/A</v>
      </c>
      <c r="CL22" s="218" t="e">
        <f>Tabla3[[#This Row],[Cantidad Beca Comunidad Colegiatura 18-19]]*25%</f>
        <v>#N/A</v>
      </c>
      <c r="CM22" s="224" t="e">
        <f>Tabla3[[#This Row],[Cantidad Beca Reinscripciones Comunidad 19-20]]*25%</f>
        <v>#N/A</v>
      </c>
      <c r="CN22" s="222"/>
      <c r="CO22" s="218" t="e">
        <f>Tabla3[[#This Row],[Monto Colegiatura 2018-2019]]*Tabla3[[#This Row],[% Beca UNAM 18-19]]</f>
        <v>#N/A</v>
      </c>
      <c r="CP22" s="225"/>
      <c r="CQ22" s="224">
        <f>3328*Tabla3[[#This Row],[% Beca Reinscripciones UNAM 18-19]]</f>
        <v>0</v>
      </c>
      <c r="CR22" s="226" t="e">
        <f>Tabla3[[#This Row],[Cantidad Beca Colegiatura 18-19]]+Tabla3[[#This Row],[Cantidad Beca Canasta 18-19]]+Tabla3[[#This Row],[Cantidad Beca Reinscripciones 19-20]]</f>
        <v>#N/A</v>
      </c>
      <c r="CS22" s="222"/>
      <c r="CT22" s="218" t="e">
        <f>Tabla3[[#This Row],[Monto Colegiatura 2018-2019]]*Tabla3[[#This Row],[% Beca Comunidad 18-19]]</f>
        <v>#N/A</v>
      </c>
      <c r="CU22" s="218" t="e">
        <f>Tabla3[[#This Row],[Cantidad Beca Comunidad Colegiatura 18-19]]*75%</f>
        <v>#N/A</v>
      </c>
      <c r="CV22" s="223"/>
      <c r="CW22" s="218" t="e">
        <f>Tabla3[[#This Row],[Reinscripción 2019-2020]]*Tabla3[[#This Row],[% Beca Reinscripciones Comunidad 19-20]]</f>
        <v>#N/A</v>
      </c>
      <c r="CX22" s="218" t="e">
        <f>Tabla3[[#This Row],[Cantidad Beca Reinscripciones Comunidad 19-20]]*75%</f>
        <v>#N/A</v>
      </c>
      <c r="CY22" s="227" t="e">
        <f>Tabla3[[#This Row],[75% Cantidad Beca Comunidad Colegiatura 18-19]]+Tabla3[[#This Row],[75% Cantidad Beca Reinscripciones 19-20]]</f>
        <v>#N/A</v>
      </c>
      <c r="CZ22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22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22" s="108">
        <f>1440*(Tabla3[[#This Row],[% AutorizadoBeca Colegiatura 18-19]]+Tabla3[[#This Row],[% Beca Prestacion 18-19]]+Tabla3[[#This Row],[% Beca UNAM 18-19]]+Tabla3[[#This Row],[% Beca Comunidad 18-19]])</f>
        <v>576</v>
      </c>
    </row>
    <row r="23" spans="2:106" ht="15" customHeight="1" x14ac:dyDescent="0.2">
      <c r="B23" s="107" t="s">
        <v>349</v>
      </c>
      <c r="C23" s="107" t="e">
        <f>VLOOKUP(Tabla3[[#This Row],[Nombre del Padre]],[1]!Tabla1[[PADRE]:[PADRE_CELULAR]],2,0)</f>
        <v>#REF!</v>
      </c>
      <c r="D23" s="107" t="e">
        <f>VLOOKUP(Tabla3[[#This Row],[Nombre del Padre]],[1]!Tabla1[[PADRE]:[PADRE_CELULAR]],3,0)</f>
        <v>#REF!</v>
      </c>
      <c r="E23" s="107" t="s">
        <v>350</v>
      </c>
      <c r="F23" s="107" t="e">
        <f>VLOOKUP(Tabla3[[#This Row],[Nombre de la Madre]],[1]!Tabla1[[MADRE]:[MADRE_TELEFONO]],2,0)</f>
        <v>#REF!</v>
      </c>
      <c r="G23" s="234" t="e">
        <f>VLOOKUP(Tabla3[[#This Row],[Nombre de la Madre]],[1]!Tabla1[[MADRE]:[MADRE_TELEFONO]],3,0)</f>
        <v>#REF!</v>
      </c>
      <c r="H23" s="228">
        <v>18</v>
      </c>
      <c r="I23" s="204">
        <v>1520</v>
      </c>
      <c r="J23" s="204" t="s">
        <v>351</v>
      </c>
      <c r="K23" s="204" t="s">
        <v>273</v>
      </c>
      <c r="L23" s="204" t="s">
        <v>352</v>
      </c>
      <c r="M23" s="205" t="s">
        <v>353</v>
      </c>
      <c r="N23" s="204" t="s">
        <v>276</v>
      </c>
      <c r="O23" s="206" t="e">
        <f>VLOOKUP(Tabla3[[#This Row],[Grado]],[2]Cuotas!$A:$E,2,0)</f>
        <v>#N/A</v>
      </c>
      <c r="P23" s="206" t="e">
        <f>VLOOKUP(Tabla3[[#This Row],[Grado]],[2]Cuotas!$A:$E,4,0)</f>
        <v>#N/A</v>
      </c>
      <c r="Q23" s="206" t="e">
        <f>VLOOKUP(Tabla3[[#This Row],[Grado]],[2]Cuotas!$A:$E,3,0)</f>
        <v>#N/A</v>
      </c>
      <c r="R23" s="207">
        <v>0.3</v>
      </c>
      <c r="S23" s="206" t="e">
        <f>Tabla3[[#This Row],[Monto Colegiatura]]*Tabla3[[#This Row],[% Beca Colegio 16-17]]</f>
        <v>#N/A</v>
      </c>
      <c r="T23" s="206"/>
      <c r="U23" s="206" t="e">
        <f>Tabla3[[#This Row],[Monto Colegiatura]]*Tabla3[[#This Row],[% Beca Prestación 16-17]]</f>
        <v>#N/A</v>
      </c>
      <c r="V23" s="208">
        <v>0.4</v>
      </c>
      <c r="W23" s="206" t="e">
        <f>Tabla3[[#This Row],[Monto Colegiatura]]*Tabla3[[#This Row],[% Beca Comunidad 16-17]]</f>
        <v>#N/A</v>
      </c>
      <c r="X23" s="206" t="e">
        <f>Tabla3[[#This Row],[Cantidad Beca Comunidad 16-17]]*25%</f>
        <v>#N/A</v>
      </c>
      <c r="Y23" s="206"/>
      <c r="Z23" s="206" t="e">
        <f>Tabla3[[#This Row],[Monto Colegiatura]]*Tabla3[[#This Row],[% Beca UNAM 16-17]]</f>
        <v>#N/A</v>
      </c>
      <c r="AA23" s="208"/>
      <c r="AB23" s="206" t="e">
        <f>Tabla3[[#This Row],[Monto Reinscripción]]*Tabla3[[#This Row],[% Beca Reinscripción 16-17]]</f>
        <v>#N/A</v>
      </c>
      <c r="AC23" s="206"/>
      <c r="AD23" s="206" t="e">
        <f>Tabla3[[#This Row],[Monto Canasta]]*Tabla3[[#This Row],[% Beca Canasta 16-17]]</f>
        <v>#N/A</v>
      </c>
      <c r="AE23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23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23" s="209" t="e">
        <f>VLOOKUP(Tabla3[[#This Row],[Nombre del Alumno]],[2]!Tabla1[[Alumno]:[Cuenta Ciclos]],2,0)</f>
        <v>#REF!</v>
      </c>
      <c r="AH23" s="210" t="s">
        <v>354</v>
      </c>
      <c r="AI23" s="211" t="s">
        <v>278</v>
      </c>
      <c r="AJ23" s="206" t="e">
        <f>VLOOKUP(Tabla3[[#This Row],[Grado 17-18]],[2]Cuotas!$H:$L,2,0)</f>
        <v>#N/A</v>
      </c>
      <c r="AK23" s="206" t="e">
        <f>VLOOKUP(Tabla3[[#This Row],[Grado 17-18]],[2]Cuotas!$H:$L,3,0)</f>
        <v>#N/A</v>
      </c>
      <c r="AL23" s="206" t="e">
        <f>VLOOKUP(Tabla3[[#This Row],[Grado 17-18]],[2]Cuotas!$H:$L,4,0)</f>
        <v>#N/A</v>
      </c>
      <c r="AM23" s="229">
        <v>0.5</v>
      </c>
      <c r="AN23" s="213">
        <v>0.3</v>
      </c>
      <c r="AO23" s="206" t="e">
        <f>Tabla3[[#This Row],[Monto Colegiatura ]]*Tabla3[[#This Row],[% AutorizadoBeca Colegiatura 17-18]]</f>
        <v>#N/A</v>
      </c>
      <c r="AP23" s="208"/>
      <c r="AQ23" s="206" t="e">
        <f>Tabla3[[#This Row],[Monto Colegiatura ]]*Tabla3[[#This Row],[% Beca Prestacion 17-18]]</f>
        <v>#N/A</v>
      </c>
      <c r="AR23" s="208"/>
      <c r="AS23" s="206" t="e">
        <f>Tabla3[[#This Row],[Canasta]]*Tabla3[[#This Row],[% Beca Canasta 17-18]]</f>
        <v>#N/A</v>
      </c>
      <c r="AT23" s="208"/>
      <c r="AU23" s="214">
        <v>0</v>
      </c>
      <c r="AV23" s="206" t="e">
        <f>Tabla3[[#This Row],[Cantidad Beca Comunidad Colegiatura 17-18]]*25%</f>
        <v>#N/A</v>
      </c>
      <c r="AW23" s="206"/>
      <c r="AX23" s="215"/>
      <c r="AY23" s="206" t="e">
        <f>Tabla3[[#This Row],[Monto Colegiatura ]]*Tabla3[[#This Row],[% Beca UNAM 17-18]]</f>
        <v>#N/A</v>
      </c>
      <c r="AZ23" s="206"/>
      <c r="BA23" s="216">
        <f>3200*Tabla3[[#This Row],[% Beca Reinscripciones UNAM 17-18]]</f>
        <v>0</v>
      </c>
      <c r="BB23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23" s="231">
        <v>0.5</v>
      </c>
      <c r="BD23" s="218" t="e">
        <f>Tabla3[[#This Row],[Monto Colegiatura ]]*Tabla3[[#This Row],[% Beca Comunidad 17-18]]</f>
        <v>#N/A</v>
      </c>
      <c r="BE23" s="218" t="e">
        <f>Tabla3[[#This Row],[Cantidad Beca Comunidad Colegiatura 17-18]]*75%</f>
        <v>#N/A</v>
      </c>
      <c r="BF23" s="219"/>
      <c r="BG23" s="218" t="e">
        <f>Tabla3[[#This Row],[Reinscripción]]*Tabla3[[#This Row],[% Beca Reinscripciones Comunidad 18-19]]</f>
        <v>#N/A</v>
      </c>
      <c r="BH23" s="218" t="e">
        <f>Tabla3[[#This Row],[Cantidad Beca Reinscripciones Comunidad 18-19]]*70%</f>
        <v>#N/A</v>
      </c>
      <c r="BI23" s="216" t="e">
        <f>Tabla3[[#This Row],[75% Cantidad Beca Comunidad Colegiatura 17-18]]+Tabla3[[#This Row],[70% Cantidad Beca Reinscripciones 18-19]]</f>
        <v>#N/A</v>
      </c>
      <c r="BJ23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23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23" s="220"/>
      <c r="BM23" s="229"/>
      <c r="BN23" s="221" t="s">
        <v>355</v>
      </c>
      <c r="BO23" s="107"/>
      <c r="BP23" s="107">
        <f>Tabla3[[#This Row],[% AutorizadoBeca Colegiatura 17-18]]+Tabla3[[#This Row],[% Beca Prestacion 17-18]]+Tabla3[[#This Row],[% Beca UNAM 17-18]]</f>
        <v>0.3</v>
      </c>
      <c r="BQ23" s="108">
        <f t="shared" si="0"/>
        <v>344.09999999999997</v>
      </c>
      <c r="BR23" s="107">
        <f>Tabla3[[#This Row],[% Beca Comunidad 17-18]]</f>
        <v>0.5</v>
      </c>
      <c r="BS23" s="108">
        <f t="shared" si="1"/>
        <v>573.5</v>
      </c>
      <c r="BT23" s="108">
        <f t="shared" si="2"/>
        <v>143.375</v>
      </c>
      <c r="BU23" s="108">
        <f>Tabla3[[#This Row],[Monto3]]*75%</f>
        <v>430.125</v>
      </c>
      <c r="BV23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23" s="107" t="e">
        <f>VLOOKUP(Tabla3[[#This Row],[Nombre del Alumno]],'[3]BECAS COLEGIATURAS'!$I:$N,6,0)</f>
        <v>#N/A</v>
      </c>
      <c r="BX23" s="107" t="e">
        <f>VLOOKUP(Tabla3[[#This Row],[Nombre del Alumno]],[1]!Tabla1[[NOMBRE DEL ALUMNO]:[MATRIZ]],6,0)</f>
        <v>#REF!</v>
      </c>
      <c r="BY23" s="107" t="e">
        <f>VLOOKUP(Tabla3[[#This Row],[Nombre del Alumno]],'[3]BECAS COLEGIATURAS'!$I:$L,4,0)</f>
        <v>#N/A</v>
      </c>
      <c r="BZ23" s="108" t="e">
        <f>VLOOKUP(Tabla3[[#This Row],[Grado 18-19]],[2]Cuotas!$Q:$U,2,0)</f>
        <v>#N/A</v>
      </c>
      <c r="CA23" s="108" t="e">
        <f>VLOOKUP(Tabla3[[#This Row],[Grado 18-19]],[2]Cuotas!$Q:$U,3,0)</f>
        <v>#N/A</v>
      </c>
      <c r="CB23" s="108" t="e">
        <f>VLOOKUP(Tabla3[[#This Row],[Grado 18-19]],[2]Cuotas!$Q:$U,4,0)</f>
        <v>#N/A</v>
      </c>
      <c r="CC23" s="107">
        <v>45</v>
      </c>
      <c r="CD23" s="222">
        <v>0.3</v>
      </c>
      <c r="CE23" s="218" t="e">
        <f>Tabla3[[#This Row],[Monto Colegiatura 2018-2019]]*Tabla3[[#This Row],[% AutorizadoBeca Colegiatura 18-19]]</f>
        <v>#N/A</v>
      </c>
      <c r="CF23" s="223"/>
      <c r="CG23" s="218" t="e">
        <f>Tabla3[[#This Row],[Monto Colegiatura 2018-2019]]*Tabla3[[#This Row],[% Beca Prestacion 18-19]]</f>
        <v>#N/A</v>
      </c>
      <c r="CH23" s="223"/>
      <c r="CI23" s="218" t="e">
        <f>Tabla3[[#This Row],[Canasta 2018-2019]]*Tabla3[[#This Row],[% Beca Canasta 18-19]]</f>
        <v>#N/A</v>
      </c>
      <c r="CJ23" s="223"/>
      <c r="CK23" s="218" t="e">
        <f>Tabla3[[#This Row],[Reinscripción 2019-2020]]*Tabla3[[#This Row],[% Beca Reinscripciones 19-20]]</f>
        <v>#N/A</v>
      </c>
      <c r="CL23" s="218" t="e">
        <f>Tabla3[[#This Row],[Cantidad Beca Comunidad Colegiatura 18-19]]*25%</f>
        <v>#N/A</v>
      </c>
      <c r="CM23" s="224" t="e">
        <f>Tabla3[[#This Row],[Cantidad Beca Reinscripciones Comunidad 19-20]]*25%</f>
        <v>#N/A</v>
      </c>
      <c r="CN23" s="222"/>
      <c r="CO23" s="218" t="e">
        <f>Tabla3[[#This Row],[Monto Colegiatura 2018-2019]]*Tabla3[[#This Row],[% Beca UNAM 18-19]]</f>
        <v>#N/A</v>
      </c>
      <c r="CP23" s="225"/>
      <c r="CQ23" s="224">
        <f>3328*Tabla3[[#This Row],[% Beca Reinscripciones UNAM 18-19]]</f>
        <v>0</v>
      </c>
      <c r="CR23" s="226" t="e">
        <f>Tabla3[[#This Row],[Cantidad Beca Colegiatura 18-19]]+Tabla3[[#This Row],[Cantidad Beca Canasta 18-19]]+Tabla3[[#This Row],[Cantidad Beca Reinscripciones 19-20]]</f>
        <v>#N/A</v>
      </c>
      <c r="CS23" s="222">
        <v>0.5</v>
      </c>
      <c r="CT23" s="218" t="e">
        <f>Tabla3[[#This Row],[Monto Colegiatura 2018-2019]]*Tabla3[[#This Row],[% Beca Comunidad 18-19]]</f>
        <v>#N/A</v>
      </c>
      <c r="CU23" s="218" t="e">
        <f>Tabla3[[#This Row],[Cantidad Beca Comunidad Colegiatura 18-19]]*75%</f>
        <v>#N/A</v>
      </c>
      <c r="CV23" s="223"/>
      <c r="CW23" s="218" t="e">
        <f>Tabla3[[#This Row],[Reinscripción 2019-2020]]*Tabla3[[#This Row],[% Beca Reinscripciones Comunidad 19-20]]</f>
        <v>#N/A</v>
      </c>
      <c r="CX23" s="218" t="e">
        <f>Tabla3[[#This Row],[Cantidad Beca Reinscripciones Comunidad 19-20]]*75%</f>
        <v>#N/A</v>
      </c>
      <c r="CY23" s="227" t="e">
        <f>Tabla3[[#This Row],[75% Cantidad Beca Comunidad Colegiatura 18-19]]+Tabla3[[#This Row],[75% Cantidad Beca Reinscripciones 19-20]]</f>
        <v>#N/A</v>
      </c>
      <c r="CZ23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23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23" s="108">
        <f>1440*(Tabla3[[#This Row],[% AutorizadoBeca Colegiatura 18-19]]+Tabla3[[#This Row],[% Beca Prestacion 18-19]]+Tabla3[[#This Row],[% Beca UNAM 18-19]]+Tabla3[[#This Row],[% Beca Comunidad 18-19]])</f>
        <v>1152</v>
      </c>
    </row>
    <row r="24" spans="2:106" ht="15" customHeight="1" x14ac:dyDescent="0.2">
      <c r="B24" s="107" t="s">
        <v>356</v>
      </c>
      <c r="C24" s="107" t="e">
        <f>VLOOKUP(Tabla3[[#This Row],[Nombre del Padre]],[1]!Tabla1[[PADRE]:[PADRE_CELULAR]],2,0)</f>
        <v>#REF!</v>
      </c>
      <c r="D24" s="107" t="e">
        <f>VLOOKUP(Tabla3[[#This Row],[Nombre del Padre]],[1]!Tabla1[[PADRE]:[PADRE_CELULAR]],3,0)</f>
        <v>#REF!</v>
      </c>
      <c r="E24" s="107" t="s">
        <v>357</v>
      </c>
      <c r="F24" s="107" t="e">
        <f>VLOOKUP(Tabla3[[#This Row],[Nombre de la Madre]],[1]!Tabla1[[MADRE]:[MADRE_TELEFONO]],2,0)</f>
        <v>#REF!</v>
      </c>
      <c r="G24" s="202" t="e">
        <f>VLOOKUP(Tabla3[[#This Row],[Nombre de la Madre]],[1]!Tabla1[[MADRE]:[MADRE_TELEFONO]],3,0)</f>
        <v>#REF!</v>
      </c>
      <c r="H24" s="230">
        <v>19</v>
      </c>
      <c r="I24" s="204">
        <v>2606</v>
      </c>
      <c r="J24" s="204" t="s">
        <v>358</v>
      </c>
      <c r="K24" s="204" t="s">
        <v>312</v>
      </c>
      <c r="L24" s="204" t="s">
        <v>359</v>
      </c>
      <c r="M24" s="205" t="s">
        <v>360</v>
      </c>
      <c r="N24" s="204" t="s">
        <v>299</v>
      </c>
      <c r="O24" s="206" t="e">
        <f>VLOOKUP(Tabla3[[#This Row],[Grado]],[2]Cuotas!$A:$E,2,0)</f>
        <v>#N/A</v>
      </c>
      <c r="P24" s="206" t="e">
        <f>VLOOKUP(Tabla3[[#This Row],[Grado]],[2]Cuotas!$A:$E,4,0)</f>
        <v>#N/A</v>
      </c>
      <c r="Q24" s="206" t="e">
        <f>VLOOKUP(Tabla3[[#This Row],[Grado]],[2]Cuotas!$A:$E,3,0)</f>
        <v>#N/A</v>
      </c>
      <c r="R24" s="207"/>
      <c r="S24" s="206"/>
      <c r="T24" s="208">
        <v>0.25</v>
      </c>
      <c r="U24" s="206" t="e">
        <f>Tabla3[[#This Row],[Monto Colegiatura]]*Tabla3[[#This Row],[% Beca Prestación 16-17]]</f>
        <v>#N/A</v>
      </c>
      <c r="V24" s="208"/>
      <c r="W24" s="206"/>
      <c r="X24" s="206"/>
      <c r="Y24" s="206"/>
      <c r="Z24" s="206"/>
      <c r="AA24" s="208"/>
      <c r="AB24" s="206"/>
      <c r="AC24" s="206"/>
      <c r="AD24" s="206"/>
      <c r="AE24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24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24" s="209" t="e">
        <f>VLOOKUP(Tabla3[[#This Row],[Nombre del Alumno]],[2]!Tabla1[[Alumno]:[Cuenta Ciclos]],2,0)</f>
        <v>#REF!</v>
      </c>
      <c r="AH24" s="210" t="s">
        <v>361</v>
      </c>
      <c r="AI24" s="211" t="s">
        <v>306</v>
      </c>
      <c r="AJ24" s="206" t="e">
        <f>VLOOKUP(Tabla3[[#This Row],[Grado 17-18]],[2]Cuotas!$H:$L,2,0)</f>
        <v>#N/A</v>
      </c>
      <c r="AK24" s="206" t="e">
        <f>VLOOKUP(Tabla3[[#This Row],[Grado 17-18]],[2]Cuotas!$H:$L,3,0)</f>
        <v>#N/A</v>
      </c>
      <c r="AL24" s="206" t="e">
        <f>VLOOKUP(Tabla3[[#This Row],[Grado 17-18]],[2]Cuotas!$H:$L,4,0)</f>
        <v>#N/A</v>
      </c>
      <c r="AM24" s="212"/>
      <c r="AN24" s="213"/>
      <c r="AO24" s="206" t="e">
        <f>Tabla3[[#This Row],[Monto Colegiatura ]]*Tabla3[[#This Row],[% AutorizadoBeca Colegiatura 17-18]]</f>
        <v>#N/A</v>
      </c>
      <c r="AP24" s="208">
        <v>0.25</v>
      </c>
      <c r="AQ24" s="206" t="e">
        <f>Tabla3[[#This Row],[Monto Colegiatura ]]*Tabla3[[#This Row],[% Beca Prestacion 17-18]]</f>
        <v>#N/A</v>
      </c>
      <c r="AR24" s="208"/>
      <c r="AS24" s="206" t="e">
        <f>Tabla3[[#This Row],[Canasta]]*Tabla3[[#This Row],[% Beca Canasta 17-18]]</f>
        <v>#N/A</v>
      </c>
      <c r="AT24" s="208"/>
      <c r="AU24" s="214">
        <v>0</v>
      </c>
      <c r="AV24" s="206" t="e">
        <f>Tabla3[[#This Row],[Cantidad Beca Comunidad Colegiatura 17-18]]*25%</f>
        <v>#N/A</v>
      </c>
      <c r="AW24" s="206"/>
      <c r="AX24" s="215"/>
      <c r="AY24" s="206" t="e">
        <f>Tabla3[[#This Row],[Monto Colegiatura ]]*Tabla3[[#This Row],[% Beca UNAM 17-18]]</f>
        <v>#N/A</v>
      </c>
      <c r="AZ24" s="206"/>
      <c r="BA24" s="216">
        <f>3200*Tabla3[[#This Row],[% Beca Reinscripciones UNAM 17-18]]</f>
        <v>0</v>
      </c>
      <c r="BB24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24" s="217"/>
      <c r="BD24" s="218" t="e">
        <f>Tabla3[[#This Row],[Monto Colegiatura ]]*Tabla3[[#This Row],[% Beca Comunidad 17-18]]</f>
        <v>#N/A</v>
      </c>
      <c r="BE24" s="218" t="e">
        <f>Tabla3[[#This Row],[Cantidad Beca Comunidad Colegiatura 17-18]]*75%</f>
        <v>#N/A</v>
      </c>
      <c r="BF24" s="219"/>
      <c r="BG24" s="218" t="e">
        <f>Tabla3[[#This Row],[Reinscripción]]*Tabla3[[#This Row],[% Beca Reinscripciones Comunidad 18-19]]</f>
        <v>#N/A</v>
      </c>
      <c r="BH24" s="218" t="e">
        <f>Tabla3[[#This Row],[Cantidad Beca Reinscripciones Comunidad 18-19]]*70%</f>
        <v>#N/A</v>
      </c>
      <c r="BI24" s="216" t="e">
        <f>Tabla3[[#This Row],[75% Cantidad Beca Comunidad Colegiatura 17-18]]+Tabla3[[#This Row],[70% Cantidad Beca Reinscripciones 18-19]]</f>
        <v>#N/A</v>
      </c>
      <c r="BJ24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24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24" s="220"/>
      <c r="BM24" s="204"/>
      <c r="BN24" s="221"/>
      <c r="BO24" s="107"/>
      <c r="BP24" s="107">
        <f>Tabla3[[#This Row],[% AutorizadoBeca Colegiatura 17-18]]+Tabla3[[#This Row],[% Beca Prestacion 17-18]]+Tabla3[[#This Row],[% Beca UNAM 17-18]]</f>
        <v>0.25</v>
      </c>
      <c r="BQ24" s="108">
        <f t="shared" si="0"/>
        <v>286.75</v>
      </c>
      <c r="BR24" s="107">
        <f>Tabla3[[#This Row],[% Beca Comunidad 17-18]]</f>
        <v>0</v>
      </c>
      <c r="BS24" s="108">
        <f t="shared" si="1"/>
        <v>0</v>
      </c>
      <c r="BT24" s="108">
        <f t="shared" si="2"/>
        <v>0</v>
      </c>
      <c r="BU24" s="108">
        <f>Tabla3[[#This Row],[Monto3]]*75%</f>
        <v>0</v>
      </c>
      <c r="BV24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24" s="107" t="e">
        <f>VLOOKUP(Tabla3[[#This Row],[Nombre del Alumno]],'[3]BECAS COLEGIATURAS'!$I:$N,6,0)</f>
        <v>#N/A</v>
      </c>
      <c r="BX24" s="107" t="e">
        <f>VLOOKUP(Tabla3[[#This Row],[Nombre del Alumno]],[1]!Tabla1[[NOMBRE DEL ALUMNO]:[MATRIZ]],6,0)</f>
        <v>#REF!</v>
      </c>
      <c r="BY24" s="107" t="e">
        <f>VLOOKUP(Tabla3[[#This Row],[Nombre del Alumno]],'[3]BECAS COLEGIATURAS'!$I:$L,4,0)</f>
        <v>#N/A</v>
      </c>
      <c r="BZ24" s="108" t="e">
        <f>VLOOKUP(Tabla3[[#This Row],[Grado 18-19]],[2]Cuotas!$Q:$U,2,0)</f>
        <v>#N/A</v>
      </c>
      <c r="CA24" s="108" t="e">
        <f>VLOOKUP(Tabla3[[#This Row],[Grado 18-19]],[2]Cuotas!$Q:$U,3,0)</f>
        <v>#N/A</v>
      </c>
      <c r="CB24" s="108" t="e">
        <f>VLOOKUP(Tabla3[[#This Row],[Grado 18-19]],[2]Cuotas!$Q:$U,4,0)</f>
        <v>#N/A</v>
      </c>
      <c r="CC24" s="107">
        <v>0</v>
      </c>
      <c r="CD24" s="222"/>
      <c r="CE24" s="218" t="e">
        <f>Tabla3[[#This Row],[Monto Colegiatura 2018-2019]]*Tabla3[[#This Row],[% AutorizadoBeca Colegiatura 18-19]]</f>
        <v>#N/A</v>
      </c>
      <c r="CF24" s="223">
        <v>0.25</v>
      </c>
      <c r="CG24" s="218" t="e">
        <f>Tabla3[[#This Row],[Monto Colegiatura 2018-2019]]*Tabla3[[#This Row],[% Beca Prestacion 18-19]]</f>
        <v>#N/A</v>
      </c>
      <c r="CH24" s="223"/>
      <c r="CI24" s="218" t="e">
        <f>Tabla3[[#This Row],[Canasta 2018-2019]]*Tabla3[[#This Row],[% Beca Canasta 18-19]]</f>
        <v>#N/A</v>
      </c>
      <c r="CJ24" s="223"/>
      <c r="CK24" s="218" t="e">
        <f>Tabla3[[#This Row],[Reinscripción 2019-2020]]*Tabla3[[#This Row],[% Beca Reinscripciones 19-20]]</f>
        <v>#N/A</v>
      </c>
      <c r="CL24" s="218" t="e">
        <f>Tabla3[[#This Row],[Cantidad Beca Comunidad Colegiatura 18-19]]*25%</f>
        <v>#N/A</v>
      </c>
      <c r="CM24" s="224" t="e">
        <f>Tabla3[[#This Row],[Cantidad Beca Reinscripciones Comunidad 19-20]]*25%</f>
        <v>#N/A</v>
      </c>
      <c r="CN24" s="222"/>
      <c r="CO24" s="218" t="e">
        <f>Tabla3[[#This Row],[Monto Colegiatura 2018-2019]]*Tabla3[[#This Row],[% Beca UNAM 18-19]]</f>
        <v>#N/A</v>
      </c>
      <c r="CP24" s="225"/>
      <c r="CQ24" s="224">
        <f>3328*Tabla3[[#This Row],[% Beca Reinscripciones UNAM 18-19]]</f>
        <v>0</v>
      </c>
      <c r="CR24" s="226" t="e">
        <f>Tabla3[[#This Row],[Cantidad Beca Colegiatura 18-19]]+Tabla3[[#This Row],[Cantidad Beca Canasta 18-19]]+Tabla3[[#This Row],[Cantidad Beca Reinscripciones 19-20]]</f>
        <v>#N/A</v>
      </c>
      <c r="CS24" s="222"/>
      <c r="CT24" s="218" t="e">
        <f>Tabla3[[#This Row],[Monto Colegiatura 2018-2019]]*Tabla3[[#This Row],[% Beca Comunidad 18-19]]</f>
        <v>#N/A</v>
      </c>
      <c r="CU24" s="218" t="e">
        <f>Tabla3[[#This Row],[Cantidad Beca Comunidad Colegiatura 18-19]]*75%</f>
        <v>#N/A</v>
      </c>
      <c r="CV24" s="223"/>
      <c r="CW24" s="218" t="e">
        <f>Tabla3[[#This Row],[Reinscripción 2019-2020]]*Tabla3[[#This Row],[% Beca Reinscripciones Comunidad 19-20]]</f>
        <v>#N/A</v>
      </c>
      <c r="CX24" s="218" t="e">
        <f>Tabla3[[#This Row],[Cantidad Beca Reinscripciones Comunidad 19-20]]*75%</f>
        <v>#N/A</v>
      </c>
      <c r="CY24" s="227" t="e">
        <f>Tabla3[[#This Row],[75% Cantidad Beca Comunidad Colegiatura 18-19]]+Tabla3[[#This Row],[75% Cantidad Beca Reinscripciones 19-20]]</f>
        <v>#N/A</v>
      </c>
      <c r="CZ24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24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24" s="108">
        <f>1440*(Tabla3[[#This Row],[% AutorizadoBeca Colegiatura 18-19]]+Tabla3[[#This Row],[% Beca Prestacion 18-19]]+Tabla3[[#This Row],[% Beca UNAM 18-19]]+Tabla3[[#This Row],[% Beca Comunidad 18-19]])</f>
        <v>360</v>
      </c>
    </row>
    <row r="25" spans="2:106" ht="15" customHeight="1" x14ac:dyDescent="0.2">
      <c r="B25" s="107" t="s">
        <v>362</v>
      </c>
      <c r="C25" s="107" t="e">
        <f>VLOOKUP(Tabla3[[#This Row],[Nombre del Padre]],[1]!Tabla1[[PADRE]:[PADRE_CELULAR]],2,0)</f>
        <v>#REF!</v>
      </c>
      <c r="D25" s="107" t="e">
        <f>VLOOKUP(Tabla3[[#This Row],[Nombre del Padre]],[1]!Tabla1[[PADRE]:[PADRE_CELULAR]],3,0)</f>
        <v>#REF!</v>
      </c>
      <c r="E25" s="107" t="s">
        <v>363</v>
      </c>
      <c r="F25" s="107" t="e">
        <f>VLOOKUP(Tabla3[[#This Row],[Nombre de la Madre]],[1]!Tabla1[[MADRE]:[MADRE_TELEFONO]],2,0)</f>
        <v>#REF!</v>
      </c>
      <c r="G25" s="202" t="e">
        <f>VLOOKUP(Tabla3[[#This Row],[Nombre de la Madre]],[1]!Tabla1[[MADRE]:[MADRE_TELEFONO]],3,0)</f>
        <v>#REF!</v>
      </c>
      <c r="H25" s="230">
        <v>20</v>
      </c>
      <c r="I25" s="204">
        <v>2235</v>
      </c>
      <c r="J25" s="204" t="s">
        <v>364</v>
      </c>
      <c r="K25" s="204" t="s">
        <v>273</v>
      </c>
      <c r="L25" s="204" t="s">
        <v>365</v>
      </c>
      <c r="M25" s="205" t="s">
        <v>366</v>
      </c>
      <c r="N25" s="204" t="s">
        <v>299</v>
      </c>
      <c r="O25" s="206" t="e">
        <f>VLOOKUP(Tabla3[[#This Row],[Grado]],[2]Cuotas!$A:$E,2,0)</f>
        <v>#N/A</v>
      </c>
      <c r="P25" s="206" t="e">
        <f>VLOOKUP(Tabla3[[#This Row],[Grado]],[2]Cuotas!$A:$E,4,0)</f>
        <v>#N/A</v>
      </c>
      <c r="Q25" s="206" t="e">
        <f>VLOOKUP(Tabla3[[#This Row],[Grado]],[2]Cuotas!$A:$E,3,0)</f>
        <v>#N/A</v>
      </c>
      <c r="R25" s="207">
        <v>0.5</v>
      </c>
      <c r="S25" s="206" t="e">
        <f>Tabla3[[#This Row],[Monto Colegiatura]]*Tabla3[[#This Row],[% Beca Colegio 16-17]]</f>
        <v>#N/A</v>
      </c>
      <c r="T25" s="206"/>
      <c r="U25" s="206" t="e">
        <f>Tabla3[[#This Row],[Monto Colegiatura]]*Tabla3[[#This Row],[% Beca Prestación 16-17]]</f>
        <v>#N/A</v>
      </c>
      <c r="V25" s="208">
        <v>0.5</v>
      </c>
      <c r="W25" s="206" t="e">
        <f>Tabla3[[#This Row],[Monto Colegiatura]]*Tabla3[[#This Row],[% Beca Comunidad 16-17]]</f>
        <v>#N/A</v>
      </c>
      <c r="X25" s="206" t="e">
        <f>Tabla3[[#This Row],[Cantidad Beca Comunidad 16-17]]*25%</f>
        <v>#N/A</v>
      </c>
      <c r="Y25" s="206"/>
      <c r="Z25" s="206" t="e">
        <f>Tabla3[[#This Row],[Monto Colegiatura]]*Tabla3[[#This Row],[% Beca UNAM 16-17]]</f>
        <v>#N/A</v>
      </c>
      <c r="AA25" s="208" t="e">
        <f>VLOOKUP(Tabla3[[#This Row],[Nombre del Alumno]],'[4]BECAS REINSCRIPCIONES'!$B$9:$D$31,3,0)</f>
        <v>#N/A</v>
      </c>
      <c r="AB25" s="206" t="e">
        <f>Tabla3[[#This Row],[Monto Reinscripción]]*Tabla3[[#This Row],[% Beca Reinscripción 16-17]]</f>
        <v>#N/A</v>
      </c>
      <c r="AC25" s="208">
        <v>1</v>
      </c>
      <c r="AD25" s="206" t="e">
        <f>Tabla3[[#This Row],[Monto Canasta]]*Tabla3[[#This Row],[% Beca Canasta 16-17]]</f>
        <v>#N/A</v>
      </c>
      <c r="AE25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25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25" s="209" t="e">
        <f>VLOOKUP(Tabla3[[#This Row],[Nombre del Alumno]],[2]!Tabla1[[Alumno]:[Cuenta Ciclos]],2,0)</f>
        <v>#REF!</v>
      </c>
      <c r="AH25" s="210" t="s">
        <v>367</v>
      </c>
      <c r="AI25" s="211" t="s">
        <v>306</v>
      </c>
      <c r="AJ25" s="206" t="e">
        <f>VLOOKUP(Tabla3[[#This Row],[Grado 17-18]],[2]Cuotas!$H:$L,2,0)</f>
        <v>#N/A</v>
      </c>
      <c r="AK25" s="206">
        <v>2573.7919999999999</v>
      </c>
      <c r="AL25" s="206" t="e">
        <f>VLOOKUP(Tabla3[[#This Row],[Grado 17-18]],[2]Cuotas!$H:$L,4,0)</f>
        <v>#N/A</v>
      </c>
      <c r="AM25" s="229">
        <v>0.5</v>
      </c>
      <c r="AN25" s="213">
        <v>0.6</v>
      </c>
      <c r="AO25" s="206" t="e">
        <f>Tabla3[[#This Row],[Monto Colegiatura ]]*Tabla3[[#This Row],[% AutorizadoBeca Colegiatura 17-18]]</f>
        <v>#N/A</v>
      </c>
      <c r="AP25" s="208"/>
      <c r="AQ25" s="206" t="e">
        <f>Tabla3[[#This Row],[Monto Colegiatura ]]*Tabla3[[#This Row],[% Beca Prestacion 17-18]]</f>
        <v>#N/A</v>
      </c>
      <c r="AR25" s="208">
        <v>1</v>
      </c>
      <c r="AS25" s="206" t="e">
        <f>Tabla3[[#This Row],[Canasta]]*Tabla3[[#This Row],[% Beca Canasta 17-18]]</f>
        <v>#N/A</v>
      </c>
      <c r="AT25" s="208">
        <v>1</v>
      </c>
      <c r="AU25" s="214">
        <f>Tabla3[[#This Row],[Reinscripción]]</f>
        <v>2573.7919999999999</v>
      </c>
      <c r="AV25" s="206" t="e">
        <f>Tabla3[[#This Row],[Cantidad Beca Comunidad Colegiatura 17-18]]*25%</f>
        <v>#N/A</v>
      </c>
      <c r="AW25" s="206"/>
      <c r="AX25" s="215"/>
      <c r="AY25" s="206" t="e">
        <f>Tabla3[[#This Row],[Monto Colegiatura ]]*Tabla3[[#This Row],[% Beca UNAM 17-18]]</f>
        <v>#N/A</v>
      </c>
      <c r="AZ25" s="206"/>
      <c r="BA25" s="216">
        <f>3200*Tabla3[[#This Row],[% Beca Reinscripciones UNAM 17-18]]</f>
        <v>0</v>
      </c>
      <c r="BB25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25" s="231">
        <v>0.4</v>
      </c>
      <c r="BD25" s="218" t="e">
        <f>Tabla3[[#This Row],[Monto Colegiatura ]]*Tabla3[[#This Row],[% Beca Comunidad 17-18]]</f>
        <v>#N/A</v>
      </c>
      <c r="BE25" s="218" t="e">
        <f>Tabla3[[#This Row],[Cantidad Beca Comunidad Colegiatura 17-18]]*75%</f>
        <v>#N/A</v>
      </c>
      <c r="BF25" s="219"/>
      <c r="BG25" s="218">
        <f>Tabla3[[#This Row],[Reinscripción]]*Tabla3[[#This Row],[% Beca Reinscripciones Comunidad 18-19]]</f>
        <v>0</v>
      </c>
      <c r="BH25" s="218">
        <f>Tabla3[[#This Row],[Cantidad Beca Reinscripciones Comunidad 18-19]]*70%</f>
        <v>0</v>
      </c>
      <c r="BI25" s="216" t="e">
        <f>Tabla3[[#This Row],[75% Cantidad Beca Comunidad Colegiatura 17-18]]+Tabla3[[#This Row],[70% Cantidad Beca Reinscripciones 18-19]]</f>
        <v>#N/A</v>
      </c>
      <c r="BJ25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25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25" s="220"/>
      <c r="BM25" s="229"/>
      <c r="BN25" s="221"/>
      <c r="BO25" s="235" t="s">
        <v>368</v>
      </c>
      <c r="BP25" s="107">
        <f>Tabla3[[#This Row],[% AutorizadoBeca Colegiatura 17-18]]+Tabla3[[#This Row],[% Beca Prestacion 17-18]]+Tabla3[[#This Row],[% Beca UNAM 17-18]]</f>
        <v>0.6</v>
      </c>
      <c r="BQ25" s="108">
        <f t="shared" si="0"/>
        <v>688.19999999999993</v>
      </c>
      <c r="BR25" s="107">
        <f>Tabla3[[#This Row],[% Beca Comunidad 17-18]]</f>
        <v>0.4</v>
      </c>
      <c r="BS25" s="108">
        <f t="shared" si="1"/>
        <v>458.8</v>
      </c>
      <c r="BT25" s="108">
        <f t="shared" si="2"/>
        <v>114.7</v>
      </c>
      <c r="BU25" s="108">
        <f>Tabla3[[#This Row],[Monto3]]*75%</f>
        <v>344.1</v>
      </c>
      <c r="BV25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25" s="107" t="e">
        <f>VLOOKUP(Tabla3[[#This Row],[Nombre del Alumno]],'[3]BECAS COLEGIATURAS'!$I:$N,6,0)</f>
        <v>#N/A</v>
      </c>
      <c r="BX25" s="107" t="e">
        <f>VLOOKUP(Tabla3[[#This Row],[Nombre del Alumno]],[1]!Tabla1[[NOMBRE DEL ALUMNO]:[MATRIZ]],6,0)</f>
        <v>#REF!</v>
      </c>
      <c r="BY25" s="107" t="e">
        <f>VLOOKUP(Tabla3[[#This Row],[Nombre del Alumno]],'[3]BECAS COLEGIATURAS'!$I:$L,4,0)</f>
        <v>#N/A</v>
      </c>
      <c r="BZ25" s="108" t="e">
        <f>VLOOKUP(Tabla3[[#This Row],[Grado 18-19]],[2]Cuotas!$Q:$U,2,0)</f>
        <v>#N/A</v>
      </c>
      <c r="CA25" s="108" t="e">
        <f>VLOOKUP(Tabla3[[#This Row],[Grado 18-19]],[2]Cuotas!$Q:$U,3,0)</f>
        <v>#N/A</v>
      </c>
      <c r="CB25" s="108" t="e">
        <f>VLOOKUP(Tabla3[[#This Row],[Grado 18-19]],[2]Cuotas!$Q:$U,4,0)</f>
        <v>#N/A</v>
      </c>
      <c r="CC25" s="107">
        <v>50</v>
      </c>
      <c r="CD25" s="222">
        <v>0.5</v>
      </c>
      <c r="CE25" s="218" t="e">
        <f>Tabla3[[#This Row],[Monto Colegiatura 2018-2019]]*Tabla3[[#This Row],[% AutorizadoBeca Colegiatura 18-19]]</f>
        <v>#N/A</v>
      </c>
      <c r="CF25" s="223"/>
      <c r="CG25" s="218" t="e">
        <f>Tabla3[[#This Row],[Monto Colegiatura 2018-2019]]*Tabla3[[#This Row],[% Beca Prestacion 18-19]]</f>
        <v>#N/A</v>
      </c>
      <c r="CH25" s="223" t="e">
        <f>VLOOKUP(Tabla3[[#This Row],[Nombre del Alumno]],'[3]BECAS REINSCRIPCIONES'!$B$37:$D$40,3,0)</f>
        <v>#N/A</v>
      </c>
      <c r="CI25" s="218" t="e">
        <f>Tabla3[[#This Row],[Canasta 2018-2019]]*Tabla3[[#This Row],[% Beca Canasta 18-19]]</f>
        <v>#N/A</v>
      </c>
      <c r="CJ25" s="223">
        <f>VLOOKUP(Tabla3[[#This Row],[Nombre del Alumno]],'[3]BECAS REINSCRIPCIONES'!$B$8:$D$21,3,0)</f>
        <v>0</v>
      </c>
      <c r="CK25" s="218" t="e">
        <f>Tabla3[[#This Row],[Reinscripción 2019-2020]]*Tabla3[[#This Row],[% Beca Reinscripciones 19-20]]</f>
        <v>#N/A</v>
      </c>
      <c r="CL25" s="218" t="e">
        <f>Tabla3[[#This Row],[Cantidad Beca Comunidad Colegiatura 18-19]]*25%</f>
        <v>#N/A</v>
      </c>
      <c r="CM25" s="224" t="e">
        <f>Tabla3[[#This Row],[Cantidad Beca Reinscripciones Comunidad 19-20]]*25%</f>
        <v>#N/A</v>
      </c>
      <c r="CN25" s="222"/>
      <c r="CO25" s="218" t="e">
        <f>Tabla3[[#This Row],[Monto Colegiatura 2018-2019]]*Tabla3[[#This Row],[% Beca UNAM 18-19]]</f>
        <v>#N/A</v>
      </c>
      <c r="CP25" s="225"/>
      <c r="CQ25" s="224">
        <f>3328*Tabla3[[#This Row],[% Beca Reinscripciones UNAM 18-19]]</f>
        <v>0</v>
      </c>
      <c r="CR25" s="226" t="e">
        <f>Tabla3[[#This Row],[Cantidad Beca Colegiatura 18-19]]+Tabla3[[#This Row],[Cantidad Beca Canasta 18-19]]+Tabla3[[#This Row],[Cantidad Beca Reinscripciones 19-20]]</f>
        <v>#N/A</v>
      </c>
      <c r="CS25" s="222">
        <v>0.5</v>
      </c>
      <c r="CT25" s="218" t="e">
        <f>Tabla3[[#This Row],[Monto Colegiatura 2018-2019]]*Tabla3[[#This Row],[% Beca Comunidad 18-19]]</f>
        <v>#N/A</v>
      </c>
      <c r="CU25" s="218" t="e">
        <f>Tabla3[[#This Row],[Cantidad Beca Comunidad Colegiatura 18-19]]*75%</f>
        <v>#N/A</v>
      </c>
      <c r="CV25" s="223"/>
      <c r="CW25" s="218" t="e">
        <f>Tabla3[[#This Row],[Reinscripción 2019-2020]]*Tabla3[[#This Row],[% Beca Reinscripciones Comunidad 19-20]]</f>
        <v>#N/A</v>
      </c>
      <c r="CX25" s="218" t="e">
        <f>Tabla3[[#This Row],[Cantidad Beca Reinscripciones Comunidad 19-20]]*75%</f>
        <v>#N/A</v>
      </c>
      <c r="CY25" s="227" t="e">
        <f>Tabla3[[#This Row],[75% Cantidad Beca Comunidad Colegiatura 18-19]]+Tabla3[[#This Row],[75% Cantidad Beca Reinscripciones 19-20]]</f>
        <v>#N/A</v>
      </c>
      <c r="CZ25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25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25" s="108">
        <f>1440*(Tabla3[[#This Row],[% AutorizadoBeca Colegiatura 18-19]]+Tabla3[[#This Row],[% Beca Prestacion 18-19]]+Tabla3[[#This Row],[% Beca UNAM 18-19]]+Tabla3[[#This Row],[% Beca Comunidad 18-19]])</f>
        <v>1440</v>
      </c>
    </row>
    <row r="26" spans="2:106" ht="15" customHeight="1" x14ac:dyDescent="0.2">
      <c r="B26" s="107" t="s">
        <v>362</v>
      </c>
      <c r="C26" s="107" t="e">
        <f>VLOOKUP(Tabla3[[#This Row],[Nombre del Padre]],[1]!Tabla1[[PADRE]:[PADRE_CELULAR]],2,0)</f>
        <v>#REF!</v>
      </c>
      <c r="D26" s="107" t="e">
        <f>VLOOKUP(Tabla3[[#This Row],[Nombre del Padre]],[1]!Tabla1[[PADRE]:[PADRE_CELULAR]],3,0)</f>
        <v>#REF!</v>
      </c>
      <c r="E26" s="107" t="s">
        <v>363</v>
      </c>
      <c r="F26" s="107" t="e">
        <f>VLOOKUP(Tabla3[[#This Row],[Nombre de la Madre]],[1]!Tabla1[[MADRE]:[MADRE_TELEFONO]],2,0)</f>
        <v>#REF!</v>
      </c>
      <c r="G26" s="202" t="e">
        <f>VLOOKUP(Tabla3[[#This Row],[Nombre de la Madre]],[1]!Tabla1[[MADRE]:[MADRE_TELEFONO]],3,0)</f>
        <v>#REF!</v>
      </c>
      <c r="H26" s="228"/>
      <c r="I26" s="204">
        <v>2235</v>
      </c>
      <c r="J26" s="204" t="s">
        <v>364</v>
      </c>
      <c r="K26" s="204" t="s">
        <v>273</v>
      </c>
      <c r="L26" s="204" t="s">
        <v>369</v>
      </c>
      <c r="M26" s="205" t="s">
        <v>370</v>
      </c>
      <c r="N26" s="204" t="s">
        <v>330</v>
      </c>
      <c r="O26" s="206" t="e">
        <f>VLOOKUP(Tabla3[[#This Row],[Grado]],[2]Cuotas!$A:$E,2,0)</f>
        <v>#N/A</v>
      </c>
      <c r="P26" s="206" t="e">
        <f>VLOOKUP(Tabla3[[#This Row],[Grado]],[2]Cuotas!$A:$E,4,0)</f>
        <v>#N/A</v>
      </c>
      <c r="Q26" s="206" t="e">
        <f>VLOOKUP(Tabla3[[#This Row],[Grado]],[2]Cuotas!$A:$E,3,0)</f>
        <v>#N/A</v>
      </c>
      <c r="R26" s="207">
        <v>0.5</v>
      </c>
      <c r="S26" s="206" t="e">
        <f>Tabla3[[#This Row],[Monto Colegiatura]]*Tabla3[[#This Row],[% Beca Colegio 16-17]]</f>
        <v>#N/A</v>
      </c>
      <c r="T26" s="206"/>
      <c r="U26" s="206" t="e">
        <f>Tabla3[[#This Row],[Monto Colegiatura]]*Tabla3[[#This Row],[% Beca Prestación 16-17]]</f>
        <v>#N/A</v>
      </c>
      <c r="V26" s="208">
        <v>0.5</v>
      </c>
      <c r="W26" s="206" t="e">
        <f>Tabla3[[#This Row],[Monto Colegiatura]]*Tabla3[[#This Row],[% Beca Comunidad 16-17]]</f>
        <v>#N/A</v>
      </c>
      <c r="X26" s="206" t="e">
        <f>Tabla3[[#This Row],[Cantidad Beca Comunidad 16-17]]*25%</f>
        <v>#N/A</v>
      </c>
      <c r="Y26" s="206"/>
      <c r="Z26" s="206" t="e">
        <f>Tabla3[[#This Row],[Monto Colegiatura]]*Tabla3[[#This Row],[% Beca UNAM 16-17]]</f>
        <v>#N/A</v>
      </c>
      <c r="AA26" s="208" t="e">
        <f>VLOOKUP(Tabla3[[#This Row],[Nombre del Alumno]],'[4]BECAS REINSCRIPCIONES'!$B$9:$D$31,3,0)</f>
        <v>#N/A</v>
      </c>
      <c r="AB26" s="206" t="e">
        <f>Tabla3[[#This Row],[Monto Reinscripción]]*Tabla3[[#This Row],[% Beca Reinscripción 16-17]]</f>
        <v>#N/A</v>
      </c>
      <c r="AC26" s="208"/>
      <c r="AD26" s="206" t="e">
        <f>Tabla3[[#This Row],[Monto Canasta]]*Tabla3[[#This Row],[% Beca Canasta 16-17]]</f>
        <v>#N/A</v>
      </c>
      <c r="AE26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26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26" s="209" t="e">
        <f>VLOOKUP(Tabla3[[#This Row],[Nombre del Alumno]],[2]!Tabla1[[Alumno]:[Cuenta Ciclos]],2,0)</f>
        <v>#REF!</v>
      </c>
      <c r="AH26" s="210" t="s">
        <v>371</v>
      </c>
      <c r="AI26" s="211" t="s">
        <v>332</v>
      </c>
      <c r="AJ26" s="206" t="e">
        <f>VLOOKUP(Tabla3[[#This Row],[Grado 17-18]],[2]Cuotas!$H:$L,2,0)</f>
        <v>#N/A</v>
      </c>
      <c r="AK26" s="206" t="e">
        <f>VLOOKUP(Tabla3[[#This Row],[Grado 17-18]],[2]Cuotas!$H:$L,3,0)</f>
        <v>#N/A</v>
      </c>
      <c r="AL26" s="206" t="e">
        <f>VLOOKUP(Tabla3[[#This Row],[Grado 17-18]],[2]Cuotas!$H:$L,4,0)</f>
        <v>#N/A</v>
      </c>
      <c r="AM26" s="229">
        <v>0.5</v>
      </c>
      <c r="AN26" s="213">
        <v>0.6</v>
      </c>
      <c r="AO26" s="206" t="e">
        <f>Tabla3[[#This Row],[Monto Colegiatura ]]*Tabla3[[#This Row],[% AutorizadoBeca Colegiatura 17-18]]</f>
        <v>#N/A</v>
      </c>
      <c r="AP26" s="208"/>
      <c r="AQ26" s="206" t="e">
        <f>Tabla3[[#This Row],[Monto Colegiatura ]]*Tabla3[[#This Row],[% Beca Prestacion 17-18]]</f>
        <v>#N/A</v>
      </c>
      <c r="AR26" s="208">
        <v>1</v>
      </c>
      <c r="AS26" s="206" t="e">
        <f>Tabla3[[#This Row],[Canasta]]*Tabla3[[#This Row],[% Beca Canasta 17-18]]</f>
        <v>#N/A</v>
      </c>
      <c r="AT26" s="208">
        <v>1</v>
      </c>
      <c r="AU26" s="214" t="e">
        <f>Tabla3[[#This Row],[Reinscripción]]</f>
        <v>#N/A</v>
      </c>
      <c r="AV26" s="206" t="e">
        <f>Tabla3[[#This Row],[Cantidad Beca Comunidad Colegiatura 17-18]]*25%</f>
        <v>#N/A</v>
      </c>
      <c r="AW26" s="206"/>
      <c r="AX26" s="215"/>
      <c r="AY26" s="206" t="e">
        <f>Tabla3[[#This Row],[Monto Colegiatura ]]*Tabla3[[#This Row],[% Beca UNAM 17-18]]</f>
        <v>#N/A</v>
      </c>
      <c r="AZ26" s="206"/>
      <c r="BA26" s="216">
        <f>3200*Tabla3[[#This Row],[% Beca Reinscripciones UNAM 17-18]]</f>
        <v>0</v>
      </c>
      <c r="BB26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26" s="231">
        <v>0.4</v>
      </c>
      <c r="BD26" s="218" t="e">
        <f>Tabla3[[#This Row],[Monto Colegiatura ]]*Tabla3[[#This Row],[% Beca Comunidad 17-18]]</f>
        <v>#N/A</v>
      </c>
      <c r="BE26" s="218" t="e">
        <f>Tabla3[[#This Row],[Cantidad Beca Comunidad Colegiatura 17-18]]*75%</f>
        <v>#N/A</v>
      </c>
      <c r="BF26" s="219"/>
      <c r="BG26" s="218" t="e">
        <f>Tabla3[[#This Row],[Reinscripción]]*Tabla3[[#This Row],[% Beca Reinscripciones Comunidad 18-19]]</f>
        <v>#N/A</v>
      </c>
      <c r="BH26" s="218" t="e">
        <f>Tabla3[[#This Row],[Cantidad Beca Reinscripciones Comunidad 18-19]]*70%</f>
        <v>#N/A</v>
      </c>
      <c r="BI26" s="216" t="e">
        <f>Tabla3[[#This Row],[75% Cantidad Beca Comunidad Colegiatura 17-18]]+Tabla3[[#This Row],[70% Cantidad Beca Reinscripciones 18-19]]</f>
        <v>#N/A</v>
      </c>
      <c r="BJ26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26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26" s="220"/>
      <c r="BM26" s="229"/>
      <c r="BN26" s="221" t="s">
        <v>372</v>
      </c>
      <c r="BO26" s="236" t="s">
        <v>373</v>
      </c>
      <c r="BP26" s="107">
        <f>Tabla3[[#This Row],[% AutorizadoBeca Colegiatura 17-18]]+Tabla3[[#This Row],[% Beca Prestacion 17-18]]+Tabla3[[#This Row],[% Beca UNAM 17-18]]</f>
        <v>0.6</v>
      </c>
      <c r="BQ26" s="108">
        <f t="shared" si="0"/>
        <v>688.19999999999993</v>
      </c>
      <c r="BR26" s="107">
        <f>Tabla3[[#This Row],[% Beca Comunidad 17-18]]</f>
        <v>0.4</v>
      </c>
      <c r="BS26" s="108">
        <f t="shared" si="1"/>
        <v>458.8</v>
      </c>
      <c r="BT26" s="108">
        <f t="shared" si="2"/>
        <v>114.7</v>
      </c>
      <c r="BU26" s="108">
        <f>Tabla3[[#This Row],[Monto3]]*75%</f>
        <v>344.1</v>
      </c>
      <c r="BV26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26" s="107" t="e">
        <f>VLOOKUP(Tabla3[[#This Row],[Nombre del Alumno]],'[3]BECAS COLEGIATURAS'!$I:$N,6,0)</f>
        <v>#N/A</v>
      </c>
      <c r="BX26" s="107" t="e">
        <f>VLOOKUP(Tabla3[[#This Row],[Nombre del Alumno]],[1]!Tabla1[[NOMBRE DEL ALUMNO]:[MATRIZ]],6,0)</f>
        <v>#REF!</v>
      </c>
      <c r="BY26" s="107" t="e">
        <f>VLOOKUP(Tabla3[[#This Row],[Nombre del Alumno]],'[3]BECAS COLEGIATURAS'!$I:$L,4,0)</f>
        <v>#N/A</v>
      </c>
      <c r="BZ26" s="108" t="e">
        <f>VLOOKUP(Tabla3[[#This Row],[Grado 18-19]],[2]Cuotas!$Q:$U,2,0)</f>
        <v>#N/A</v>
      </c>
      <c r="CA26" s="108" t="e">
        <f>VLOOKUP(Tabla3[[#This Row],[Grado 18-19]],[2]Cuotas!$Q:$U,3,0)</f>
        <v>#N/A</v>
      </c>
      <c r="CB26" s="108" t="e">
        <f>VLOOKUP(Tabla3[[#This Row],[Grado 18-19]],[2]Cuotas!$Q:$U,4,0)</f>
        <v>#N/A</v>
      </c>
      <c r="CC26" s="107">
        <v>50</v>
      </c>
      <c r="CD26" s="222">
        <v>0.5</v>
      </c>
      <c r="CE26" s="218" t="e">
        <f>Tabla3[[#This Row],[Monto Colegiatura 2018-2019]]*Tabla3[[#This Row],[% AutorizadoBeca Colegiatura 18-19]]</f>
        <v>#N/A</v>
      </c>
      <c r="CF26" s="223"/>
      <c r="CG26" s="218" t="e">
        <f>Tabla3[[#This Row],[Monto Colegiatura 2018-2019]]*Tabla3[[#This Row],[% Beca Prestacion 18-19]]</f>
        <v>#N/A</v>
      </c>
      <c r="CH26" s="223" t="e">
        <f>VLOOKUP(Tabla3[[#This Row],[Nombre del Alumno]],'[3]BECAS REINSCRIPCIONES'!$B$37:$D$40,3,0)</f>
        <v>#N/A</v>
      </c>
      <c r="CI26" s="218" t="e">
        <f>Tabla3[[#This Row],[Canasta 2018-2019]]*Tabla3[[#This Row],[% Beca Canasta 18-19]]</f>
        <v>#N/A</v>
      </c>
      <c r="CJ26" s="223" t="e">
        <f>VLOOKUP(Tabla3[[#This Row],[Nombre del Alumno]],'[3]BECAS REINSCRIPCIONES'!$B$8:$D$21,3,0)</f>
        <v>#N/A</v>
      </c>
      <c r="CK26" s="218" t="e">
        <f>Tabla3[[#This Row],[Reinscripción 2019-2020]]*Tabla3[[#This Row],[% Beca Reinscripciones 19-20]]</f>
        <v>#N/A</v>
      </c>
      <c r="CL26" s="218" t="e">
        <f>Tabla3[[#This Row],[Cantidad Beca Comunidad Colegiatura 18-19]]*25%</f>
        <v>#N/A</v>
      </c>
      <c r="CM26" s="224" t="e">
        <f>Tabla3[[#This Row],[Cantidad Beca Reinscripciones Comunidad 19-20]]*25%</f>
        <v>#N/A</v>
      </c>
      <c r="CN26" s="222"/>
      <c r="CO26" s="218" t="e">
        <f>Tabla3[[#This Row],[Monto Colegiatura 2018-2019]]*Tabla3[[#This Row],[% Beca UNAM 18-19]]</f>
        <v>#N/A</v>
      </c>
      <c r="CP26" s="225"/>
      <c r="CQ26" s="224">
        <f>3328*Tabla3[[#This Row],[% Beca Reinscripciones UNAM 18-19]]</f>
        <v>0</v>
      </c>
      <c r="CR26" s="226" t="e">
        <f>Tabla3[[#This Row],[Cantidad Beca Colegiatura 18-19]]+Tabla3[[#This Row],[Cantidad Beca Canasta 18-19]]+Tabla3[[#This Row],[Cantidad Beca Reinscripciones 19-20]]</f>
        <v>#N/A</v>
      </c>
      <c r="CS26" s="222">
        <v>0.5</v>
      </c>
      <c r="CT26" s="218" t="e">
        <f>Tabla3[[#This Row],[Monto Colegiatura 2018-2019]]*Tabla3[[#This Row],[% Beca Comunidad 18-19]]</f>
        <v>#N/A</v>
      </c>
      <c r="CU26" s="218" t="e">
        <f>Tabla3[[#This Row],[Cantidad Beca Comunidad Colegiatura 18-19]]*75%</f>
        <v>#N/A</v>
      </c>
      <c r="CV26" s="223"/>
      <c r="CW26" s="218" t="e">
        <f>Tabla3[[#This Row],[Reinscripción 2019-2020]]*Tabla3[[#This Row],[% Beca Reinscripciones Comunidad 19-20]]</f>
        <v>#N/A</v>
      </c>
      <c r="CX26" s="218" t="e">
        <f>Tabla3[[#This Row],[Cantidad Beca Reinscripciones Comunidad 19-20]]*75%</f>
        <v>#N/A</v>
      </c>
      <c r="CY26" s="227" t="e">
        <f>Tabla3[[#This Row],[75% Cantidad Beca Comunidad Colegiatura 18-19]]+Tabla3[[#This Row],[75% Cantidad Beca Reinscripciones 19-20]]</f>
        <v>#N/A</v>
      </c>
      <c r="CZ26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26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26" s="108">
        <f>1440*(Tabla3[[#This Row],[% AutorizadoBeca Colegiatura 18-19]]+Tabla3[[#This Row],[% Beca Prestacion 18-19]]+Tabla3[[#This Row],[% Beca UNAM 18-19]]+Tabla3[[#This Row],[% Beca Comunidad 18-19]])</f>
        <v>1440</v>
      </c>
    </row>
    <row r="27" spans="2:106" ht="15" customHeight="1" x14ac:dyDescent="0.2">
      <c r="B27" s="107" t="s">
        <v>362</v>
      </c>
      <c r="C27" s="107" t="e">
        <f>VLOOKUP(Tabla3[[#This Row],[Nombre del Padre]],[1]!Tabla1[[PADRE]:[PADRE_CELULAR]],2,0)</f>
        <v>#REF!</v>
      </c>
      <c r="D27" s="107" t="e">
        <f>VLOOKUP(Tabla3[[#This Row],[Nombre del Padre]],[1]!Tabla1[[PADRE]:[PADRE_CELULAR]],3,0)</f>
        <v>#REF!</v>
      </c>
      <c r="E27" s="107" t="s">
        <v>363</v>
      </c>
      <c r="F27" s="107" t="e">
        <f>VLOOKUP(Tabla3[[#This Row],[Nombre de la Madre]],[1]!Tabla1[[MADRE]:[MADRE_TELEFONO]],2,0)</f>
        <v>#REF!</v>
      </c>
      <c r="G27" s="202" t="e">
        <f>VLOOKUP(Tabla3[[#This Row],[Nombre de la Madre]],[1]!Tabla1[[MADRE]:[MADRE_TELEFONO]],3,0)</f>
        <v>#REF!</v>
      </c>
      <c r="H27" s="228"/>
      <c r="I27" s="204">
        <v>2235</v>
      </c>
      <c r="J27" s="204" t="s">
        <v>364</v>
      </c>
      <c r="K27" s="204" t="s">
        <v>273</v>
      </c>
      <c r="L27" s="204" t="s">
        <v>374</v>
      </c>
      <c r="M27" s="205" t="s">
        <v>375</v>
      </c>
      <c r="N27" s="204" t="s">
        <v>315</v>
      </c>
      <c r="O27" s="206" t="e">
        <f>VLOOKUP(Tabla3[[#This Row],[Grado]],[2]Cuotas!$A:$E,2,0)</f>
        <v>#N/A</v>
      </c>
      <c r="P27" s="206" t="e">
        <f>VLOOKUP(Tabla3[[#This Row],[Grado]],[2]Cuotas!$A:$E,4,0)</f>
        <v>#N/A</v>
      </c>
      <c r="Q27" s="206" t="e">
        <f>VLOOKUP(Tabla3[[#This Row],[Grado]],[2]Cuotas!$A:$E,3,0)</f>
        <v>#N/A</v>
      </c>
      <c r="R27" s="207">
        <v>0.5</v>
      </c>
      <c r="S27" s="206" t="e">
        <f>Tabla3[[#This Row],[Monto Colegiatura]]*Tabla3[[#This Row],[% Beca Colegio 16-17]]</f>
        <v>#N/A</v>
      </c>
      <c r="T27" s="206"/>
      <c r="U27" s="206" t="e">
        <f>Tabla3[[#This Row],[Monto Colegiatura]]*Tabla3[[#This Row],[% Beca Prestación 16-17]]</f>
        <v>#N/A</v>
      </c>
      <c r="V27" s="208">
        <v>0.5</v>
      </c>
      <c r="W27" s="206" t="e">
        <f>Tabla3[[#This Row],[Monto Colegiatura]]*Tabla3[[#This Row],[% Beca Comunidad 16-17]]</f>
        <v>#N/A</v>
      </c>
      <c r="X27" s="206" t="e">
        <f>Tabla3[[#This Row],[Cantidad Beca Comunidad 16-17]]*25%</f>
        <v>#N/A</v>
      </c>
      <c r="Y27" s="206"/>
      <c r="Z27" s="206" t="e">
        <f>Tabla3[[#This Row],[Monto Colegiatura]]*Tabla3[[#This Row],[% Beca UNAM 16-17]]</f>
        <v>#N/A</v>
      </c>
      <c r="AA27" s="208" t="e">
        <f>VLOOKUP(Tabla3[[#This Row],[Nombre del Alumno]],'[4]BECAS REINSCRIPCIONES'!$B$9:$D$31,3,0)</f>
        <v>#N/A</v>
      </c>
      <c r="AB27" s="206" t="e">
        <f>Tabla3[[#This Row],[Monto Reinscripción]]*Tabla3[[#This Row],[% Beca Reinscripción 16-17]]</f>
        <v>#N/A</v>
      </c>
      <c r="AC27" s="208"/>
      <c r="AD27" s="206" t="e">
        <f>Tabla3[[#This Row],[Monto Canasta]]*Tabla3[[#This Row],[% Beca Canasta 16-17]]</f>
        <v>#N/A</v>
      </c>
      <c r="AE27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27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27" s="209" t="e">
        <f>VLOOKUP(Tabla3[[#This Row],[Nombre del Alumno]],[2]!Tabla1[[Alumno]:[Cuenta Ciclos]],2,0)</f>
        <v>#REF!</v>
      </c>
      <c r="AH27" s="210" t="s">
        <v>376</v>
      </c>
      <c r="AI27" s="211" t="s">
        <v>297</v>
      </c>
      <c r="AJ27" s="206" t="e">
        <f>VLOOKUP(Tabla3[[#This Row],[Grado 17-18]],[2]Cuotas!$H:$L,2,0)</f>
        <v>#N/A</v>
      </c>
      <c r="AK27" s="206" t="e">
        <f>VLOOKUP(Tabla3[[#This Row],[Grado 17-18]],[2]Cuotas!$H:$L,3,0)</f>
        <v>#N/A</v>
      </c>
      <c r="AL27" s="206" t="e">
        <f>VLOOKUP(Tabla3[[#This Row],[Grado 17-18]],[2]Cuotas!$H:$L,4,0)</f>
        <v>#N/A</v>
      </c>
      <c r="AM27" s="229">
        <v>0.5</v>
      </c>
      <c r="AN27" s="213">
        <v>0.6</v>
      </c>
      <c r="AO27" s="206" t="e">
        <f>Tabla3[[#This Row],[Monto Colegiatura ]]*Tabla3[[#This Row],[% AutorizadoBeca Colegiatura 17-18]]</f>
        <v>#N/A</v>
      </c>
      <c r="AP27" s="208"/>
      <c r="AQ27" s="206" t="e">
        <f>Tabla3[[#This Row],[Monto Colegiatura ]]*Tabla3[[#This Row],[% Beca Prestacion 17-18]]</f>
        <v>#N/A</v>
      </c>
      <c r="AR27" s="208">
        <v>1</v>
      </c>
      <c r="AS27" s="206" t="e">
        <f>Tabla3[[#This Row],[Canasta]]*Tabla3[[#This Row],[% Beca Canasta 17-18]]</f>
        <v>#N/A</v>
      </c>
      <c r="AT27" s="208">
        <v>1</v>
      </c>
      <c r="AU27" s="214" t="e">
        <f>Tabla3[[#This Row],[Reinscripción]]</f>
        <v>#N/A</v>
      </c>
      <c r="AV27" s="206" t="e">
        <f>Tabla3[[#This Row],[Cantidad Beca Comunidad Colegiatura 17-18]]*25%</f>
        <v>#N/A</v>
      </c>
      <c r="AW27" s="206"/>
      <c r="AX27" s="215"/>
      <c r="AY27" s="206" t="e">
        <f>Tabla3[[#This Row],[Monto Colegiatura ]]*Tabla3[[#This Row],[% Beca UNAM 17-18]]</f>
        <v>#N/A</v>
      </c>
      <c r="AZ27" s="206"/>
      <c r="BA27" s="216">
        <f>3200*Tabla3[[#This Row],[% Beca Reinscripciones UNAM 17-18]]</f>
        <v>0</v>
      </c>
      <c r="BB27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27" s="231">
        <v>0.4</v>
      </c>
      <c r="BD27" s="218" t="e">
        <f>Tabla3[[#This Row],[Monto Colegiatura ]]*Tabla3[[#This Row],[% Beca Comunidad 17-18]]</f>
        <v>#N/A</v>
      </c>
      <c r="BE27" s="218" t="e">
        <f>Tabla3[[#This Row],[Cantidad Beca Comunidad Colegiatura 17-18]]*75%</f>
        <v>#N/A</v>
      </c>
      <c r="BF27" s="219"/>
      <c r="BG27" s="218" t="e">
        <f>Tabla3[[#This Row],[Reinscripción]]*Tabla3[[#This Row],[% Beca Reinscripciones Comunidad 18-19]]</f>
        <v>#N/A</v>
      </c>
      <c r="BH27" s="218" t="e">
        <f>Tabla3[[#This Row],[Cantidad Beca Reinscripciones Comunidad 18-19]]*70%</f>
        <v>#N/A</v>
      </c>
      <c r="BI27" s="216" t="e">
        <f>Tabla3[[#This Row],[75% Cantidad Beca Comunidad Colegiatura 17-18]]+Tabla3[[#This Row],[70% Cantidad Beca Reinscripciones 18-19]]</f>
        <v>#N/A</v>
      </c>
      <c r="BJ27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27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27" s="220"/>
      <c r="BM27" s="229"/>
      <c r="BN27" s="221"/>
      <c r="BO27" s="107"/>
      <c r="BP27" s="107">
        <f>Tabla3[[#This Row],[% AutorizadoBeca Colegiatura 17-18]]+Tabla3[[#This Row],[% Beca Prestacion 17-18]]+Tabla3[[#This Row],[% Beca UNAM 17-18]]</f>
        <v>0.6</v>
      </c>
      <c r="BQ27" s="108">
        <f t="shared" si="0"/>
        <v>688.19999999999993</v>
      </c>
      <c r="BR27" s="107">
        <f>Tabla3[[#This Row],[% Beca Comunidad 17-18]]</f>
        <v>0.4</v>
      </c>
      <c r="BS27" s="108">
        <f t="shared" si="1"/>
        <v>458.8</v>
      </c>
      <c r="BT27" s="108">
        <f t="shared" si="2"/>
        <v>114.7</v>
      </c>
      <c r="BU27" s="108">
        <f>Tabla3[[#This Row],[Monto3]]*75%</f>
        <v>344.1</v>
      </c>
      <c r="BV27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27" s="107" t="e">
        <f>VLOOKUP(Tabla3[[#This Row],[Nombre del Alumno]],'[3]BECAS COLEGIATURAS'!$I:$N,6,0)</f>
        <v>#N/A</v>
      </c>
      <c r="BX27" s="107" t="e">
        <f>VLOOKUP(Tabla3[[#This Row],[Nombre del Alumno]],[1]!Tabla1[[NOMBRE DEL ALUMNO]:[MATRIZ]],6,0)</f>
        <v>#REF!</v>
      </c>
      <c r="BY27" s="107" t="e">
        <f>VLOOKUP(Tabla3[[#This Row],[Nombre del Alumno]],'[3]BECAS COLEGIATURAS'!$I:$L,4,0)</f>
        <v>#N/A</v>
      </c>
      <c r="BZ27" s="108" t="e">
        <f>VLOOKUP(Tabla3[[#This Row],[Grado 18-19]],[2]Cuotas!$Q:$U,2,0)</f>
        <v>#N/A</v>
      </c>
      <c r="CA27" s="108" t="e">
        <f>VLOOKUP(Tabla3[[#This Row],[Grado 18-19]],[2]Cuotas!$Q:$U,3,0)</f>
        <v>#N/A</v>
      </c>
      <c r="CB27" s="108" t="e">
        <f>VLOOKUP(Tabla3[[#This Row],[Grado 18-19]],[2]Cuotas!$Q:$U,4,0)</f>
        <v>#N/A</v>
      </c>
      <c r="CC27" s="107">
        <v>50</v>
      </c>
      <c r="CD27" s="222">
        <v>0.5</v>
      </c>
      <c r="CE27" s="218" t="e">
        <f>Tabla3[[#This Row],[Monto Colegiatura 2018-2019]]*Tabla3[[#This Row],[% AutorizadoBeca Colegiatura 18-19]]</f>
        <v>#N/A</v>
      </c>
      <c r="CF27" s="223"/>
      <c r="CG27" s="218" t="e">
        <f>Tabla3[[#This Row],[Monto Colegiatura 2018-2019]]*Tabla3[[#This Row],[% Beca Prestacion 18-19]]</f>
        <v>#N/A</v>
      </c>
      <c r="CH27" s="223" t="e">
        <f>VLOOKUP(Tabla3[[#This Row],[Nombre del Alumno]],'[3]BECAS REINSCRIPCIONES'!$B$37:$D$40,3,0)</f>
        <v>#N/A</v>
      </c>
      <c r="CI27" s="218" t="e">
        <f>Tabla3[[#This Row],[Canasta 2018-2019]]*Tabla3[[#This Row],[% Beca Canasta 18-19]]</f>
        <v>#N/A</v>
      </c>
      <c r="CJ27" s="223" t="e">
        <f>VLOOKUP(Tabla3[[#This Row],[Nombre del Alumno]],'[3]BECAS REINSCRIPCIONES'!$B$8:$D$21,3,0)</f>
        <v>#N/A</v>
      </c>
      <c r="CK27" s="218" t="e">
        <f>Tabla3[[#This Row],[Reinscripción 2019-2020]]*Tabla3[[#This Row],[% Beca Reinscripciones 19-20]]</f>
        <v>#N/A</v>
      </c>
      <c r="CL27" s="218" t="e">
        <f>Tabla3[[#This Row],[Cantidad Beca Comunidad Colegiatura 18-19]]*25%</f>
        <v>#N/A</v>
      </c>
      <c r="CM27" s="224" t="e">
        <f>Tabla3[[#This Row],[Cantidad Beca Reinscripciones Comunidad 19-20]]*25%</f>
        <v>#N/A</v>
      </c>
      <c r="CN27" s="222"/>
      <c r="CO27" s="218" t="e">
        <f>Tabla3[[#This Row],[Monto Colegiatura 2018-2019]]*Tabla3[[#This Row],[% Beca UNAM 18-19]]</f>
        <v>#N/A</v>
      </c>
      <c r="CP27" s="225"/>
      <c r="CQ27" s="224">
        <f>3328*Tabla3[[#This Row],[% Beca Reinscripciones UNAM 18-19]]</f>
        <v>0</v>
      </c>
      <c r="CR27" s="226" t="e">
        <f>Tabla3[[#This Row],[Cantidad Beca Colegiatura 18-19]]+Tabla3[[#This Row],[Cantidad Beca Canasta 18-19]]+Tabla3[[#This Row],[Cantidad Beca Reinscripciones 19-20]]</f>
        <v>#N/A</v>
      </c>
      <c r="CS27" s="222">
        <v>0.5</v>
      </c>
      <c r="CT27" s="218" t="e">
        <f>Tabla3[[#This Row],[Monto Colegiatura 2018-2019]]*Tabla3[[#This Row],[% Beca Comunidad 18-19]]</f>
        <v>#N/A</v>
      </c>
      <c r="CU27" s="218" t="e">
        <f>Tabla3[[#This Row],[Cantidad Beca Comunidad Colegiatura 18-19]]*75%</f>
        <v>#N/A</v>
      </c>
      <c r="CV27" s="223"/>
      <c r="CW27" s="218" t="e">
        <f>Tabla3[[#This Row],[Reinscripción 2019-2020]]*Tabla3[[#This Row],[% Beca Reinscripciones Comunidad 19-20]]</f>
        <v>#N/A</v>
      </c>
      <c r="CX27" s="218" t="e">
        <f>Tabla3[[#This Row],[Cantidad Beca Reinscripciones Comunidad 19-20]]*75%</f>
        <v>#N/A</v>
      </c>
      <c r="CY27" s="227" t="e">
        <f>Tabla3[[#This Row],[75% Cantidad Beca Comunidad Colegiatura 18-19]]+Tabla3[[#This Row],[75% Cantidad Beca Reinscripciones 19-20]]</f>
        <v>#N/A</v>
      </c>
      <c r="CZ27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27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27" s="108">
        <f>1440*(Tabla3[[#This Row],[% AutorizadoBeca Colegiatura 18-19]]+Tabla3[[#This Row],[% Beca Prestacion 18-19]]+Tabla3[[#This Row],[% Beca UNAM 18-19]]+Tabla3[[#This Row],[% Beca Comunidad 18-19]])</f>
        <v>1440</v>
      </c>
    </row>
    <row r="28" spans="2:106" ht="15" customHeight="1" x14ac:dyDescent="0.2">
      <c r="B28" s="107" t="s">
        <v>377</v>
      </c>
      <c r="C28" s="107" t="e">
        <f>VLOOKUP(Tabla3[[#This Row],[Nombre del Padre]],[1]!Tabla1[[PADRE]:[PADRE_CELULAR]],2,0)</f>
        <v>#REF!</v>
      </c>
      <c r="D28" s="107" t="e">
        <f>VLOOKUP(Tabla3[[#This Row],[Nombre del Padre]],[1]!Tabla1[[PADRE]:[PADRE_CELULAR]],3,0)</f>
        <v>#REF!</v>
      </c>
      <c r="E28" s="107" t="s">
        <v>378</v>
      </c>
      <c r="F28" s="107" t="e">
        <f>VLOOKUP(Tabla3[[#This Row],[Nombre de la Madre]],[1]!Tabla1[[MADRE]:[MADRE_TELEFONO]],2,0)</f>
        <v>#REF!</v>
      </c>
      <c r="G28" s="202" t="e">
        <f>VLOOKUP(Tabla3[[#This Row],[Nombre de la Madre]],[1]!Tabla1[[MADRE]:[MADRE_TELEFONO]],3,0)</f>
        <v>#REF!</v>
      </c>
      <c r="H28" s="237">
        <v>21</v>
      </c>
      <c r="I28" s="204">
        <v>1812</v>
      </c>
      <c r="J28" s="204" t="s">
        <v>379</v>
      </c>
      <c r="K28" s="204" t="s">
        <v>273</v>
      </c>
      <c r="L28" s="204" t="s">
        <v>380</v>
      </c>
      <c r="M28" s="205"/>
      <c r="N28" s="204"/>
      <c r="O28" s="206" t="e">
        <f>VLOOKUP(Tabla3[[#This Row],[Grado]],[2]Cuotas!$A:$E,2,0)</f>
        <v>#N/A</v>
      </c>
      <c r="P28" s="206" t="e">
        <f>VLOOKUP(Tabla3[[#This Row],[Grado]],[2]Cuotas!$A:$E,4,0)</f>
        <v>#N/A</v>
      </c>
      <c r="Q28" s="206" t="e">
        <f>VLOOKUP(Tabla3[[#This Row],[Grado]],[2]Cuotas!$A:$E,3,0)</f>
        <v>#N/A</v>
      </c>
      <c r="R28" s="207"/>
      <c r="S28" s="206" t="e">
        <f>Tabla3[[#This Row],[Monto Colegiatura]]*Tabla3[[#This Row],[% Beca Colegio 16-17]]</f>
        <v>#N/A</v>
      </c>
      <c r="T28" s="206"/>
      <c r="U28" s="206" t="e">
        <f>Tabla3[[#This Row],[Monto Colegiatura]]*Tabla3[[#This Row],[% Beca Prestación 16-17]]</f>
        <v>#N/A</v>
      </c>
      <c r="V28" s="208"/>
      <c r="W28" s="206" t="e">
        <f>Tabla3[[#This Row],[Monto Colegiatura]]*Tabla3[[#This Row],[% Beca Comunidad 16-17]]</f>
        <v>#N/A</v>
      </c>
      <c r="X28" s="206" t="e">
        <f>Tabla3[[#This Row],[Cantidad Beca Comunidad 16-17]]*25%</f>
        <v>#N/A</v>
      </c>
      <c r="Y28" s="206"/>
      <c r="Z28" s="206" t="e">
        <f>Tabla3[[#This Row],[Monto Colegiatura]]*Tabla3[[#This Row],[% Beca UNAM 16-17]]</f>
        <v>#N/A</v>
      </c>
      <c r="AA28" s="208" t="e">
        <f>VLOOKUP(Tabla3[[#This Row],[Nombre del Alumno]],'[4]BECAS REINSCRIPCIONES'!$B$9:$D$31,3,0)</f>
        <v>#N/A</v>
      </c>
      <c r="AB28" s="206" t="e">
        <f>Tabla3[[#This Row],[Monto Reinscripción]]*Tabla3[[#This Row],[% Beca Reinscripción 16-17]]</f>
        <v>#N/A</v>
      </c>
      <c r="AC28" s="206" t="e">
        <f>VLOOKUP(Tabla3[[#This Row],[Nombre del Alumno]],[4]Hoja3!$H$3:$J$16,3,0)</f>
        <v>#N/A</v>
      </c>
      <c r="AD28" s="206" t="e">
        <f>Tabla3[[#This Row],[Monto Canasta]]*Tabla3[[#This Row],[% Beca Canasta 16-17]]</f>
        <v>#N/A</v>
      </c>
      <c r="AE28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28" s="206" t="e">
        <f>Tabla3[[#This Row],[Monto Colegiatura]]+Tabla3[[#This Row],[Monto Reinscripción]]+Tabla3[[#This Row],[Monto Canasta]]-Tabla3[[#This Row],[Monto Becado 16-17]]</f>
        <v>#N/A</v>
      </c>
      <c r="AG28" s="209" t="s">
        <v>289</v>
      </c>
      <c r="AH28" s="210" t="s">
        <v>381</v>
      </c>
      <c r="AI28" s="211" t="s">
        <v>330</v>
      </c>
      <c r="AJ28" s="206" t="e">
        <f>VLOOKUP(Tabla3[[#This Row],[Grado 17-18]],[2]Cuotas!$H:$L,2,0)</f>
        <v>#N/A</v>
      </c>
      <c r="AK28" s="206" t="e">
        <f>VLOOKUP(Tabla3[[#This Row],[Grado 17-18]],[2]Cuotas!$H:$L,3,0)</f>
        <v>#N/A</v>
      </c>
      <c r="AL28" s="206" t="e">
        <f>VLOOKUP(Tabla3[[#This Row],[Grado 17-18]],[2]Cuotas!$H:$L,4,0)</f>
        <v>#N/A</v>
      </c>
      <c r="AM28" s="212"/>
      <c r="AN28" s="213">
        <v>0.4</v>
      </c>
      <c r="AO28" s="206" t="e">
        <f>Tabla3[[#This Row],[Monto Colegiatura ]]*Tabla3[[#This Row],[% AutorizadoBeca Colegiatura 17-18]]</f>
        <v>#N/A</v>
      </c>
      <c r="AP28" s="208"/>
      <c r="AQ28" s="206" t="e">
        <f>Tabla3[[#This Row],[Monto Colegiatura ]]*Tabla3[[#This Row],[% Beca Prestacion 17-18]]</f>
        <v>#N/A</v>
      </c>
      <c r="AR28" s="208"/>
      <c r="AS28" s="206" t="e">
        <f>Tabla3[[#This Row],[Canasta]]*Tabla3[[#This Row],[% Beca Canasta 17-18]]</f>
        <v>#N/A</v>
      </c>
      <c r="AT28" s="208"/>
      <c r="AU28" s="214"/>
      <c r="AV28" s="206" t="e">
        <f>Tabla3[[#This Row],[Cantidad Beca Comunidad Colegiatura 17-18]]*25%</f>
        <v>#N/A</v>
      </c>
      <c r="AW28" s="206"/>
      <c r="AX28" s="215"/>
      <c r="AY28" s="206" t="e">
        <f>Tabla3[[#This Row],[Monto Colegiatura ]]*Tabla3[[#This Row],[% Beca UNAM 17-18]]</f>
        <v>#N/A</v>
      </c>
      <c r="AZ28" s="206"/>
      <c r="BA28" s="216">
        <f>3200*Tabla3[[#This Row],[% Beca Reinscripciones UNAM 17-18]]</f>
        <v>0</v>
      </c>
      <c r="BB28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28" s="217">
        <v>0.4</v>
      </c>
      <c r="BD28" s="218" t="e">
        <f>Tabla3[[#This Row],[Monto Colegiatura ]]*Tabla3[[#This Row],[% Beca Comunidad 17-18]]</f>
        <v>#N/A</v>
      </c>
      <c r="BE28" s="218" t="e">
        <f>Tabla3[[#This Row],[Cantidad Beca Comunidad Colegiatura 17-18]]*75%</f>
        <v>#N/A</v>
      </c>
      <c r="BF28" s="219"/>
      <c r="BG28" s="218" t="e">
        <f>Tabla3[[#This Row],[Reinscripción]]*Tabla3[[#This Row],[% Beca Reinscripciones Comunidad 18-19]]</f>
        <v>#N/A</v>
      </c>
      <c r="BH28" s="218" t="e">
        <f>Tabla3[[#This Row],[Cantidad Beca Reinscripciones Comunidad 18-19]]*70%</f>
        <v>#N/A</v>
      </c>
      <c r="BI28" s="216" t="e">
        <f>Tabla3[[#This Row],[75% Cantidad Beca Comunidad Colegiatura 17-18]]+Tabla3[[#This Row],[70% Cantidad Beca Reinscripciones 18-19]]</f>
        <v>#N/A</v>
      </c>
      <c r="BJ28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28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28" s="220"/>
      <c r="BM28" s="204" t="s">
        <v>382</v>
      </c>
      <c r="BN28" s="221"/>
      <c r="BO28" s="107"/>
      <c r="BP28" s="107">
        <f>Tabla3[[#This Row],[% AutorizadoBeca Colegiatura 17-18]]+Tabla3[[#This Row],[% Beca Prestacion 17-18]]+Tabla3[[#This Row],[% Beca UNAM 17-18]]</f>
        <v>0.4</v>
      </c>
      <c r="BQ28" s="108">
        <f t="shared" si="0"/>
        <v>458.8</v>
      </c>
      <c r="BR28" s="107">
        <f>Tabla3[[#This Row],[% Beca Comunidad 17-18]]</f>
        <v>0.4</v>
      </c>
      <c r="BS28" s="108">
        <f t="shared" si="1"/>
        <v>458.8</v>
      </c>
      <c r="BT28" s="108">
        <f t="shared" si="2"/>
        <v>114.7</v>
      </c>
      <c r="BU28" s="108">
        <f>Tabla3[[#This Row],[Monto3]]*75%</f>
        <v>344.1</v>
      </c>
      <c r="BV28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28" s="107" t="e">
        <f>VLOOKUP(Tabla3[[#This Row],[Nombre del Alumno]],'[3]BECAS COLEGIATURAS'!$I:$N,6,0)</f>
        <v>#N/A</v>
      </c>
      <c r="BX28" s="107" t="e">
        <f>VLOOKUP(Tabla3[[#This Row],[Nombre del Alumno]],[1]!Tabla1[[NOMBRE DEL ALUMNO]:[MATRIZ]],6,0)</f>
        <v>#REF!</v>
      </c>
      <c r="BY28" s="107" t="e">
        <f>VLOOKUP(Tabla3[[#This Row],[Nombre del Alumno]],'[3]BECAS COLEGIATURAS'!$I:$L,4,0)</f>
        <v>#N/A</v>
      </c>
      <c r="BZ28" s="108" t="e">
        <f>VLOOKUP(Tabla3[[#This Row],[Grado 18-19]],[2]Cuotas!$Q:$U,2,0)</f>
        <v>#N/A</v>
      </c>
      <c r="CA28" s="108" t="e">
        <f>VLOOKUP(Tabla3[[#This Row],[Grado 18-19]],[2]Cuotas!$Q:$U,3,0)</f>
        <v>#N/A</v>
      </c>
      <c r="CB28" s="108" t="e">
        <f>VLOOKUP(Tabla3[[#This Row],[Grado 18-19]],[2]Cuotas!$Q:$U,4,0)</f>
        <v>#N/A</v>
      </c>
      <c r="CC28" s="107">
        <v>80</v>
      </c>
      <c r="CD28" s="222">
        <v>0.4</v>
      </c>
      <c r="CE28" s="218" t="e">
        <f>Tabla3[[#This Row],[Monto Colegiatura 2018-2019]]*Tabla3[[#This Row],[% AutorizadoBeca Colegiatura 18-19]]</f>
        <v>#N/A</v>
      </c>
      <c r="CF28" s="223"/>
      <c r="CG28" s="218" t="e">
        <f>Tabla3[[#This Row],[Monto Colegiatura 2018-2019]]*Tabla3[[#This Row],[% Beca Prestacion 18-19]]</f>
        <v>#N/A</v>
      </c>
      <c r="CH28" s="223"/>
      <c r="CI28" s="218" t="e">
        <f>Tabla3[[#This Row],[Canasta 2018-2019]]*Tabla3[[#This Row],[% Beca Canasta 18-19]]</f>
        <v>#N/A</v>
      </c>
      <c r="CJ28" s="223"/>
      <c r="CK28" s="218" t="e">
        <f>Tabla3[[#This Row],[Reinscripción 2019-2020]]*Tabla3[[#This Row],[% Beca Reinscripciones 19-20]]</f>
        <v>#N/A</v>
      </c>
      <c r="CL28" s="218" t="e">
        <f>Tabla3[[#This Row],[Cantidad Beca Comunidad Colegiatura 18-19]]*25%</f>
        <v>#N/A</v>
      </c>
      <c r="CM28" s="224" t="e">
        <f>Tabla3[[#This Row],[Cantidad Beca Reinscripciones Comunidad 19-20]]*25%</f>
        <v>#N/A</v>
      </c>
      <c r="CN28" s="222"/>
      <c r="CO28" s="218" t="e">
        <f>Tabla3[[#This Row],[Monto Colegiatura 2018-2019]]*Tabla3[[#This Row],[% Beca UNAM 18-19]]</f>
        <v>#N/A</v>
      </c>
      <c r="CP28" s="225"/>
      <c r="CQ28" s="224">
        <f>3328*Tabla3[[#This Row],[% Beca Reinscripciones UNAM 18-19]]</f>
        <v>0</v>
      </c>
      <c r="CR28" s="226" t="e">
        <f>Tabla3[[#This Row],[Cantidad Beca Colegiatura 18-19]]+Tabla3[[#This Row],[Cantidad Beca Canasta 18-19]]+Tabla3[[#This Row],[Cantidad Beca Reinscripciones 19-20]]</f>
        <v>#N/A</v>
      </c>
      <c r="CS28" s="222">
        <v>0.4</v>
      </c>
      <c r="CT28" s="218" t="e">
        <f>Tabla3[[#This Row],[Monto Colegiatura 2018-2019]]*Tabla3[[#This Row],[% Beca Comunidad 18-19]]</f>
        <v>#N/A</v>
      </c>
      <c r="CU28" s="218" t="e">
        <f>Tabla3[[#This Row],[Cantidad Beca Comunidad Colegiatura 18-19]]*75%</f>
        <v>#N/A</v>
      </c>
      <c r="CV28" s="223"/>
      <c r="CW28" s="218" t="e">
        <f>Tabla3[[#This Row],[Reinscripción 2019-2020]]*Tabla3[[#This Row],[% Beca Reinscripciones Comunidad 19-20]]</f>
        <v>#N/A</v>
      </c>
      <c r="CX28" s="218" t="e">
        <f>Tabla3[[#This Row],[Cantidad Beca Reinscripciones Comunidad 19-20]]*75%</f>
        <v>#N/A</v>
      </c>
      <c r="CY28" s="227" t="e">
        <f>Tabla3[[#This Row],[75% Cantidad Beca Comunidad Colegiatura 18-19]]+Tabla3[[#This Row],[75% Cantidad Beca Reinscripciones 19-20]]</f>
        <v>#N/A</v>
      </c>
      <c r="CZ28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28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28" s="108">
        <f>1440*(Tabla3[[#This Row],[% AutorizadoBeca Colegiatura 18-19]]+Tabla3[[#This Row],[% Beca Prestacion 18-19]]+Tabla3[[#This Row],[% Beca UNAM 18-19]]+Tabla3[[#This Row],[% Beca Comunidad 18-19]])</f>
        <v>1152</v>
      </c>
    </row>
    <row r="29" spans="2:106" ht="15" customHeight="1" x14ac:dyDescent="0.2">
      <c r="B29" s="107" t="s">
        <v>377</v>
      </c>
      <c r="C29" s="107" t="e">
        <f>VLOOKUP(Tabla3[[#This Row],[Nombre del Padre]],[1]!Tabla1[[PADRE]:[PADRE_CELULAR]],2,0)</f>
        <v>#REF!</v>
      </c>
      <c r="D29" s="107" t="e">
        <f>VLOOKUP(Tabla3[[#This Row],[Nombre del Padre]],[1]!Tabla1[[PADRE]:[PADRE_CELULAR]],3,0)</f>
        <v>#REF!</v>
      </c>
      <c r="E29" s="107" t="s">
        <v>378</v>
      </c>
      <c r="F29" s="107" t="e">
        <f>VLOOKUP(Tabla3[[#This Row],[Nombre de la Madre]],[1]!Tabla1[[MADRE]:[MADRE_TELEFONO]],2,0)</f>
        <v>#REF!</v>
      </c>
      <c r="G29" s="202" t="e">
        <f>VLOOKUP(Tabla3[[#This Row],[Nombre de la Madre]],[1]!Tabla1[[MADRE]:[MADRE_TELEFONO]],3,0)</f>
        <v>#REF!</v>
      </c>
      <c r="H29" s="238"/>
      <c r="I29" s="204">
        <v>1812</v>
      </c>
      <c r="J29" s="204" t="s">
        <v>379</v>
      </c>
      <c r="K29" s="204" t="s">
        <v>273</v>
      </c>
      <c r="L29" s="204" t="s">
        <v>383</v>
      </c>
      <c r="M29" s="205"/>
      <c r="N29" s="204"/>
      <c r="O29" s="206" t="e">
        <f>VLOOKUP(Tabla3[[#This Row],[Grado]],[2]Cuotas!$A:$E,2,0)</f>
        <v>#N/A</v>
      </c>
      <c r="P29" s="206" t="e">
        <f>VLOOKUP(Tabla3[[#This Row],[Grado]],[2]Cuotas!$A:$E,4,0)</f>
        <v>#N/A</v>
      </c>
      <c r="Q29" s="206" t="e">
        <f>VLOOKUP(Tabla3[[#This Row],[Grado]],[2]Cuotas!$A:$E,3,0)</f>
        <v>#N/A</v>
      </c>
      <c r="R29" s="207"/>
      <c r="S29" s="206" t="e">
        <f>Tabla3[[#This Row],[Monto Colegiatura]]*Tabla3[[#This Row],[% Beca Colegio 16-17]]</f>
        <v>#N/A</v>
      </c>
      <c r="T29" s="206"/>
      <c r="U29" s="206" t="e">
        <f>Tabla3[[#This Row],[Monto Colegiatura]]*Tabla3[[#This Row],[% Beca Prestación 16-17]]</f>
        <v>#N/A</v>
      </c>
      <c r="V29" s="208"/>
      <c r="W29" s="206" t="e">
        <f>Tabla3[[#This Row],[Monto Colegiatura]]*Tabla3[[#This Row],[% Beca Comunidad 16-17]]</f>
        <v>#N/A</v>
      </c>
      <c r="X29" s="206" t="e">
        <f>Tabla3[[#This Row],[Cantidad Beca Comunidad 16-17]]*25%</f>
        <v>#N/A</v>
      </c>
      <c r="Y29" s="206"/>
      <c r="Z29" s="206" t="e">
        <f>Tabla3[[#This Row],[Monto Colegiatura]]*Tabla3[[#This Row],[% Beca UNAM 16-17]]</f>
        <v>#N/A</v>
      </c>
      <c r="AA29" s="208" t="e">
        <f>VLOOKUP(Tabla3[[#This Row],[Nombre del Alumno]],'[4]BECAS REINSCRIPCIONES'!$B$9:$D$31,3,0)</f>
        <v>#N/A</v>
      </c>
      <c r="AB29" s="206" t="e">
        <f>Tabla3[[#This Row],[Monto Reinscripción]]*Tabla3[[#This Row],[% Beca Reinscripción 16-17]]</f>
        <v>#N/A</v>
      </c>
      <c r="AC29" s="206" t="e">
        <f>VLOOKUP(Tabla3[[#This Row],[Nombre del Alumno]],[4]Hoja3!$H$3:$J$16,3,0)</f>
        <v>#N/A</v>
      </c>
      <c r="AD29" s="206" t="e">
        <f>Tabla3[[#This Row],[Monto Canasta]]*Tabla3[[#This Row],[% Beca Canasta 16-17]]</f>
        <v>#N/A</v>
      </c>
      <c r="AE29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29" s="206" t="e">
        <f>Tabla3[[#This Row],[Monto Colegiatura]]+Tabla3[[#This Row],[Monto Reinscripción]]+Tabla3[[#This Row],[Monto Canasta]]-Tabla3[[#This Row],[Monto Becado 16-17]]</f>
        <v>#N/A</v>
      </c>
      <c r="AG29" s="209" t="s">
        <v>289</v>
      </c>
      <c r="AH29" s="210" t="s">
        <v>384</v>
      </c>
      <c r="AI29" s="211" t="s">
        <v>278</v>
      </c>
      <c r="AJ29" s="206" t="e">
        <f>VLOOKUP(Tabla3[[#This Row],[Grado 17-18]],[2]Cuotas!$H:$L,2,0)</f>
        <v>#N/A</v>
      </c>
      <c r="AK29" s="206" t="e">
        <f>VLOOKUP(Tabla3[[#This Row],[Grado 17-18]],[2]Cuotas!$H:$L,3,0)</f>
        <v>#N/A</v>
      </c>
      <c r="AL29" s="206" t="e">
        <f>VLOOKUP(Tabla3[[#This Row],[Grado 17-18]],[2]Cuotas!$H:$L,4,0)</f>
        <v>#N/A</v>
      </c>
      <c r="AM29" s="212"/>
      <c r="AN29" s="213">
        <v>0.4</v>
      </c>
      <c r="AO29" s="206" t="e">
        <f>Tabla3[[#This Row],[Monto Colegiatura ]]*Tabla3[[#This Row],[% AutorizadoBeca Colegiatura 17-18]]</f>
        <v>#N/A</v>
      </c>
      <c r="AP29" s="208"/>
      <c r="AQ29" s="206" t="e">
        <f>Tabla3[[#This Row],[Monto Colegiatura ]]*Tabla3[[#This Row],[% Beca Prestacion 17-18]]</f>
        <v>#N/A</v>
      </c>
      <c r="AR29" s="208"/>
      <c r="AS29" s="206" t="e">
        <f>Tabla3[[#This Row],[Canasta]]*Tabla3[[#This Row],[% Beca Canasta 17-18]]</f>
        <v>#N/A</v>
      </c>
      <c r="AT29" s="208"/>
      <c r="AU29" s="214"/>
      <c r="AV29" s="206" t="e">
        <f>Tabla3[[#This Row],[Cantidad Beca Comunidad Colegiatura 17-18]]*25%</f>
        <v>#N/A</v>
      </c>
      <c r="AW29" s="206"/>
      <c r="AX29" s="215"/>
      <c r="AY29" s="206" t="e">
        <f>Tabla3[[#This Row],[Monto Colegiatura ]]*Tabla3[[#This Row],[% Beca UNAM 17-18]]</f>
        <v>#N/A</v>
      </c>
      <c r="AZ29" s="206"/>
      <c r="BA29" s="216">
        <f>3200*Tabla3[[#This Row],[% Beca Reinscripciones UNAM 17-18]]</f>
        <v>0</v>
      </c>
      <c r="BB29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29" s="217">
        <v>0.4</v>
      </c>
      <c r="BD29" s="218" t="e">
        <f>Tabla3[[#This Row],[Monto Colegiatura ]]*Tabla3[[#This Row],[% Beca Comunidad 17-18]]</f>
        <v>#N/A</v>
      </c>
      <c r="BE29" s="218" t="e">
        <f>Tabla3[[#This Row],[Cantidad Beca Comunidad Colegiatura 17-18]]*75%</f>
        <v>#N/A</v>
      </c>
      <c r="BF29" s="219"/>
      <c r="BG29" s="218" t="e">
        <f>Tabla3[[#This Row],[Reinscripción]]*Tabla3[[#This Row],[% Beca Reinscripciones Comunidad 18-19]]</f>
        <v>#N/A</v>
      </c>
      <c r="BH29" s="218" t="e">
        <f>Tabla3[[#This Row],[Cantidad Beca Reinscripciones Comunidad 18-19]]*70%</f>
        <v>#N/A</v>
      </c>
      <c r="BI29" s="216" t="e">
        <f>Tabla3[[#This Row],[75% Cantidad Beca Comunidad Colegiatura 17-18]]+Tabla3[[#This Row],[70% Cantidad Beca Reinscripciones 18-19]]</f>
        <v>#N/A</v>
      </c>
      <c r="BJ29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29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29" s="220"/>
      <c r="BM29" s="204" t="s">
        <v>382</v>
      </c>
      <c r="BN29" s="221"/>
      <c r="BO29" s="107"/>
      <c r="BP29" s="107">
        <f>Tabla3[[#This Row],[% AutorizadoBeca Colegiatura 17-18]]+Tabla3[[#This Row],[% Beca Prestacion 17-18]]+Tabla3[[#This Row],[% Beca UNAM 17-18]]</f>
        <v>0.4</v>
      </c>
      <c r="BQ29" s="108">
        <f t="shared" si="0"/>
        <v>458.8</v>
      </c>
      <c r="BR29" s="107">
        <f>Tabla3[[#This Row],[% Beca Comunidad 17-18]]</f>
        <v>0.4</v>
      </c>
      <c r="BS29" s="108">
        <f t="shared" si="1"/>
        <v>458.8</v>
      </c>
      <c r="BT29" s="108">
        <f t="shared" si="2"/>
        <v>114.7</v>
      </c>
      <c r="BU29" s="108">
        <f>Tabla3[[#This Row],[Monto3]]*75%</f>
        <v>344.1</v>
      </c>
      <c r="BV29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29" s="107" t="e">
        <f>VLOOKUP(Tabla3[[#This Row],[Nombre del Alumno]],'[3]BECAS COLEGIATURAS'!$I:$N,6,0)</f>
        <v>#N/A</v>
      </c>
      <c r="BX29" s="107" t="e">
        <f>VLOOKUP(Tabla3[[#This Row],[Nombre del Alumno]],[1]!Tabla1[[NOMBRE DEL ALUMNO]:[MATRIZ]],6,0)</f>
        <v>#REF!</v>
      </c>
      <c r="BY29" s="107" t="e">
        <f>VLOOKUP(Tabla3[[#This Row],[Nombre del Alumno]],'[3]BECAS COLEGIATURAS'!$I:$L,4,0)</f>
        <v>#N/A</v>
      </c>
      <c r="BZ29" s="108" t="e">
        <f>VLOOKUP(Tabla3[[#This Row],[Grado 18-19]],[2]Cuotas!$Q:$U,2,0)</f>
        <v>#N/A</v>
      </c>
      <c r="CA29" s="108" t="e">
        <f>VLOOKUP(Tabla3[[#This Row],[Grado 18-19]],[2]Cuotas!$Q:$U,3,0)</f>
        <v>#N/A</v>
      </c>
      <c r="CB29" s="108" t="e">
        <f>VLOOKUP(Tabla3[[#This Row],[Grado 18-19]],[2]Cuotas!$Q:$U,4,0)</f>
        <v>#N/A</v>
      </c>
      <c r="CC29" s="107">
        <v>80</v>
      </c>
      <c r="CD29" s="222">
        <v>0.4</v>
      </c>
      <c r="CE29" s="218" t="e">
        <f>Tabla3[[#This Row],[Monto Colegiatura 2018-2019]]*Tabla3[[#This Row],[% AutorizadoBeca Colegiatura 18-19]]</f>
        <v>#N/A</v>
      </c>
      <c r="CF29" s="223"/>
      <c r="CG29" s="218" t="e">
        <f>Tabla3[[#This Row],[Monto Colegiatura 2018-2019]]*Tabla3[[#This Row],[% Beca Prestacion 18-19]]</f>
        <v>#N/A</v>
      </c>
      <c r="CH29" s="223"/>
      <c r="CI29" s="218" t="e">
        <f>Tabla3[[#This Row],[Canasta 2018-2019]]*Tabla3[[#This Row],[% Beca Canasta 18-19]]</f>
        <v>#N/A</v>
      </c>
      <c r="CJ29" s="223"/>
      <c r="CK29" s="218" t="e">
        <f>Tabla3[[#This Row],[Reinscripción 2019-2020]]*Tabla3[[#This Row],[% Beca Reinscripciones 19-20]]</f>
        <v>#N/A</v>
      </c>
      <c r="CL29" s="218" t="e">
        <f>Tabla3[[#This Row],[Cantidad Beca Comunidad Colegiatura 18-19]]*25%</f>
        <v>#N/A</v>
      </c>
      <c r="CM29" s="224" t="e">
        <f>Tabla3[[#This Row],[Cantidad Beca Reinscripciones Comunidad 19-20]]*25%</f>
        <v>#N/A</v>
      </c>
      <c r="CN29" s="222"/>
      <c r="CO29" s="218" t="e">
        <f>Tabla3[[#This Row],[Monto Colegiatura 2018-2019]]*Tabla3[[#This Row],[% Beca UNAM 18-19]]</f>
        <v>#N/A</v>
      </c>
      <c r="CP29" s="225"/>
      <c r="CQ29" s="224">
        <f>3328*Tabla3[[#This Row],[% Beca Reinscripciones UNAM 18-19]]</f>
        <v>0</v>
      </c>
      <c r="CR29" s="226" t="e">
        <f>Tabla3[[#This Row],[Cantidad Beca Colegiatura 18-19]]+Tabla3[[#This Row],[Cantidad Beca Canasta 18-19]]+Tabla3[[#This Row],[Cantidad Beca Reinscripciones 19-20]]</f>
        <v>#N/A</v>
      </c>
      <c r="CS29" s="222">
        <v>0.4</v>
      </c>
      <c r="CT29" s="218" t="e">
        <f>Tabla3[[#This Row],[Monto Colegiatura 2018-2019]]*Tabla3[[#This Row],[% Beca Comunidad 18-19]]</f>
        <v>#N/A</v>
      </c>
      <c r="CU29" s="218" t="e">
        <f>Tabla3[[#This Row],[Cantidad Beca Comunidad Colegiatura 18-19]]*75%</f>
        <v>#N/A</v>
      </c>
      <c r="CV29" s="223"/>
      <c r="CW29" s="218" t="e">
        <f>Tabla3[[#This Row],[Reinscripción 2019-2020]]*Tabla3[[#This Row],[% Beca Reinscripciones Comunidad 19-20]]</f>
        <v>#N/A</v>
      </c>
      <c r="CX29" s="218" t="e">
        <f>Tabla3[[#This Row],[Cantidad Beca Reinscripciones Comunidad 19-20]]*75%</f>
        <v>#N/A</v>
      </c>
      <c r="CY29" s="227" t="e">
        <f>Tabla3[[#This Row],[75% Cantidad Beca Comunidad Colegiatura 18-19]]+Tabla3[[#This Row],[75% Cantidad Beca Reinscripciones 19-20]]</f>
        <v>#N/A</v>
      </c>
      <c r="CZ29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29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29" s="108">
        <f>1440*(Tabla3[[#This Row],[% AutorizadoBeca Colegiatura 18-19]]+Tabla3[[#This Row],[% Beca Prestacion 18-19]]+Tabla3[[#This Row],[% Beca UNAM 18-19]]+Tabla3[[#This Row],[% Beca Comunidad 18-19]])</f>
        <v>1152</v>
      </c>
    </row>
    <row r="30" spans="2:106" ht="15" customHeight="1" x14ac:dyDescent="0.2">
      <c r="B30" s="107" t="s">
        <v>385</v>
      </c>
      <c r="C30" s="107" t="e">
        <f>VLOOKUP(Tabla3[[#This Row],[Nombre del Padre]],[1]!Tabla1[[PADRE]:[PADRE_CELULAR]],2,0)</f>
        <v>#REF!</v>
      </c>
      <c r="D30" s="107" t="e">
        <f>VLOOKUP(Tabla3[[#This Row],[Nombre del Padre]],[1]!Tabla1[[PADRE]:[PADRE_CELULAR]],3,0)</f>
        <v>#REF!</v>
      </c>
      <c r="E30" s="107" t="s">
        <v>386</v>
      </c>
      <c r="F30" s="107" t="e">
        <f>VLOOKUP(Tabla3[[#This Row],[Nombre de la Madre]],[1]!Tabla1[[MADRE]:[MADRE_TELEFONO]],2,0)</f>
        <v>#REF!</v>
      </c>
      <c r="G30" s="202" t="e">
        <f>VLOOKUP(Tabla3[[#This Row],[Nombre de la Madre]],[1]!Tabla1[[MADRE]:[MADRE_TELEFONO]],3,0)</f>
        <v>#REF!</v>
      </c>
      <c r="H30" s="237">
        <v>22</v>
      </c>
      <c r="I30" s="204">
        <v>2943</v>
      </c>
      <c r="J30" s="204" t="s">
        <v>387</v>
      </c>
      <c r="K30" s="204" t="s">
        <v>273</v>
      </c>
      <c r="L30" s="204" t="s">
        <v>388</v>
      </c>
      <c r="M30" s="205"/>
      <c r="N30" s="204"/>
      <c r="O30" s="206"/>
      <c r="P30" s="206"/>
      <c r="Q30" s="206"/>
      <c r="R30" s="207"/>
      <c r="S30" s="206">
        <f>Tabla3[[#This Row],[Monto Colegiatura]]*Tabla3[[#This Row],[% Beca Colegio 16-17]]</f>
        <v>0</v>
      </c>
      <c r="T30" s="206"/>
      <c r="U30" s="206">
        <f>Tabla3[[#This Row],[Monto Colegiatura]]*Tabla3[[#This Row],[% Beca Prestación 16-17]]</f>
        <v>0</v>
      </c>
      <c r="V30" s="208"/>
      <c r="W30" s="206">
        <f>Tabla3[[#This Row],[Monto Colegiatura]]*Tabla3[[#This Row],[% Beca Comunidad 16-17]]</f>
        <v>0</v>
      </c>
      <c r="X30" s="206">
        <f>Tabla3[[#This Row],[Cantidad Beca Comunidad 16-17]]*25%</f>
        <v>0</v>
      </c>
      <c r="Y30" s="206"/>
      <c r="Z30" s="206">
        <f>Tabla3[[#This Row],[Monto Colegiatura]]*Tabla3[[#This Row],[% Beca UNAM 16-17]]</f>
        <v>0</v>
      </c>
      <c r="AA30" s="208"/>
      <c r="AB30" s="206"/>
      <c r="AC30" s="206"/>
      <c r="AD30" s="206"/>
      <c r="AE30" s="206"/>
      <c r="AF30" s="206"/>
      <c r="AG30" s="209" t="s">
        <v>289</v>
      </c>
      <c r="AH30" s="210" t="s">
        <v>389</v>
      </c>
      <c r="AI30" s="211" t="s">
        <v>336</v>
      </c>
      <c r="AJ30" s="206" t="e">
        <f>VLOOKUP(Tabla3[[#This Row],[Grado 17-18]],[2]Cuotas!$H:$L,2,0)</f>
        <v>#N/A</v>
      </c>
      <c r="AK30" s="206" t="e">
        <f>VLOOKUP(Tabla3[[#This Row],[Grado 17-18]],[2]Cuotas!$H:$L,3,0)</f>
        <v>#N/A</v>
      </c>
      <c r="AL30" s="206" t="e">
        <f>VLOOKUP(Tabla3[[#This Row],[Grado 17-18]],[2]Cuotas!$H:$L,4,0)</f>
        <v>#N/A</v>
      </c>
      <c r="AM30" s="212"/>
      <c r="AN30" s="213">
        <v>0.3</v>
      </c>
      <c r="AO30" s="206" t="e">
        <f>Tabla3[[#This Row],[Monto Colegiatura ]]*Tabla3[[#This Row],[% AutorizadoBeca Colegiatura 17-18]]</f>
        <v>#N/A</v>
      </c>
      <c r="AP30" s="208"/>
      <c r="AQ30" s="206" t="e">
        <f>Tabla3[[#This Row],[Monto Colegiatura ]]*Tabla3[[#This Row],[% Beca Prestacion 17-18]]</f>
        <v>#N/A</v>
      </c>
      <c r="AR30" s="208"/>
      <c r="AS30" s="206" t="e">
        <f>Tabla3[[#This Row],[Canasta]]*Tabla3[[#This Row],[% Beca Canasta 17-18]]</f>
        <v>#N/A</v>
      </c>
      <c r="AT30" s="208"/>
      <c r="AU30" s="214"/>
      <c r="AV30" s="206" t="e">
        <f>Tabla3[[#This Row],[Cantidad Beca Comunidad Colegiatura 17-18]]*25%</f>
        <v>#N/A</v>
      </c>
      <c r="AW30" s="206" t="e">
        <f>Tabla3[[#This Row],[Cantidad Beca Reinscripciones Comunidad 18-19]]*30%</f>
        <v>#N/A</v>
      </c>
      <c r="AX30" s="215"/>
      <c r="AY30" s="206" t="e">
        <f>Tabla3[[#This Row],[Monto Colegiatura ]]*Tabla3[[#This Row],[% Beca UNAM 17-18]]</f>
        <v>#N/A</v>
      </c>
      <c r="AZ30" s="206"/>
      <c r="BA30" s="216">
        <f>3200*Tabla3[[#This Row],[% Beca Reinscripciones UNAM 17-18]]</f>
        <v>0</v>
      </c>
      <c r="BB30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30" s="217">
        <v>0.7</v>
      </c>
      <c r="BD30" s="218" t="e">
        <f>Tabla3[[#This Row],[Monto Colegiatura ]]*Tabla3[[#This Row],[% Beca Comunidad 17-18]]</f>
        <v>#N/A</v>
      </c>
      <c r="BE30" s="218" t="e">
        <f>Tabla3[[#This Row],[Cantidad Beca Comunidad Colegiatura 17-18]]*75%</f>
        <v>#N/A</v>
      </c>
      <c r="BF30" s="219">
        <v>1</v>
      </c>
      <c r="BG30" s="218" t="e">
        <f>Tabla3[[#This Row],[Reinscripción]]*Tabla3[[#This Row],[% Beca Reinscripciones Comunidad 18-19]]</f>
        <v>#N/A</v>
      </c>
      <c r="BH30" s="218" t="e">
        <f>Tabla3[[#This Row],[Cantidad Beca Reinscripciones Comunidad 18-19]]*70%</f>
        <v>#N/A</v>
      </c>
      <c r="BI30" s="216" t="e">
        <f>Tabla3[[#This Row],[75% Cantidad Beca Comunidad Colegiatura 17-18]]+Tabla3[[#This Row],[70% Cantidad Beca Reinscripciones 18-19]]</f>
        <v>#N/A</v>
      </c>
      <c r="BJ30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30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17-18]]-Tabla3[[#This Row],[Cantidad Beca Reinscripciones Comunidad 18-19]]</f>
        <v>#N/A</v>
      </c>
      <c r="BL30" s="220"/>
      <c r="BM30" s="204"/>
      <c r="BN30" s="221"/>
      <c r="BO30" s="107"/>
      <c r="BP30" s="107">
        <f>Tabla3[[#This Row],[% AutorizadoBeca Colegiatura 17-18]]+Tabla3[[#This Row],[% Beca Prestacion 17-18]]+Tabla3[[#This Row],[% Beca UNAM 17-18]]</f>
        <v>0.3</v>
      </c>
      <c r="BQ30" s="108">
        <f t="shared" si="0"/>
        <v>344.09999999999997</v>
      </c>
      <c r="BR30" s="107">
        <f>Tabla3[[#This Row],[% Beca Comunidad 17-18]]</f>
        <v>0.7</v>
      </c>
      <c r="BS30" s="108">
        <f t="shared" si="1"/>
        <v>802.9</v>
      </c>
      <c r="BT30" s="108">
        <f t="shared" si="2"/>
        <v>200.72499999999999</v>
      </c>
      <c r="BU30" s="108">
        <f>Tabla3[[#This Row],[Monto3]]*75%</f>
        <v>602.17499999999995</v>
      </c>
      <c r="BV30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30" s="107" t="e">
        <f>VLOOKUP(Tabla3[[#This Row],[Nombre del Alumno]],'[3]BECAS COLEGIATURAS'!$I:$N,6,0)</f>
        <v>#N/A</v>
      </c>
      <c r="BX30" s="107" t="e">
        <f>VLOOKUP(Tabla3[[#This Row],[Nombre del Alumno]],[1]!Tabla1[[NOMBRE DEL ALUMNO]:[MATRIZ]],6,0)</f>
        <v>#REF!</v>
      </c>
      <c r="BY30" s="107" t="e">
        <f>VLOOKUP(Tabla3[[#This Row],[Nombre del Alumno]],'[3]BECAS COLEGIATURAS'!$I:$L,4,0)</f>
        <v>#N/A</v>
      </c>
      <c r="BZ30" s="108" t="e">
        <f>VLOOKUP(Tabla3[[#This Row],[Grado 18-19]],[2]Cuotas!$Q:$U,2,0)</f>
        <v>#N/A</v>
      </c>
      <c r="CA30" s="108" t="e">
        <f>VLOOKUP(Tabla3[[#This Row],[Grado 18-19]],[2]Cuotas!$Q:$U,3,0)</f>
        <v>#N/A</v>
      </c>
      <c r="CB30" s="108" t="e">
        <f>VLOOKUP(Tabla3[[#This Row],[Grado 18-19]],[2]Cuotas!$Q:$U,4,0)</f>
        <v>#N/A</v>
      </c>
      <c r="CC30" s="107">
        <v>0</v>
      </c>
      <c r="CD30" s="222">
        <v>0.3</v>
      </c>
      <c r="CE30" s="218" t="e">
        <f>Tabla3[[#This Row],[Monto Colegiatura 2018-2019]]*Tabla3[[#This Row],[% AutorizadoBeca Colegiatura 18-19]]</f>
        <v>#N/A</v>
      </c>
      <c r="CF30" s="223"/>
      <c r="CG30" s="218" t="e">
        <f>Tabla3[[#This Row],[Monto Colegiatura 2018-2019]]*Tabla3[[#This Row],[% Beca Prestacion 18-19]]</f>
        <v>#N/A</v>
      </c>
      <c r="CH30" s="223"/>
      <c r="CI30" s="218" t="e">
        <f>Tabla3[[#This Row],[Canasta 2018-2019]]*Tabla3[[#This Row],[% Beca Canasta 18-19]]</f>
        <v>#N/A</v>
      </c>
      <c r="CJ30" s="223">
        <v>1</v>
      </c>
      <c r="CK30" s="218" t="e">
        <f>Tabla3[[#This Row],[Reinscripción 2019-2020]]*Tabla3[[#This Row],[% Beca Reinscripciones 19-20]]</f>
        <v>#N/A</v>
      </c>
      <c r="CL30" s="218" t="e">
        <f>Tabla3[[#This Row],[Cantidad Beca Comunidad Colegiatura 18-19]]*25%</f>
        <v>#N/A</v>
      </c>
      <c r="CM30" s="224" t="e">
        <f>Tabla3[[#This Row],[Cantidad Beca Reinscripciones Comunidad 19-20]]*25%</f>
        <v>#N/A</v>
      </c>
      <c r="CN30" s="222"/>
      <c r="CO30" s="218" t="e">
        <f>Tabla3[[#This Row],[Monto Colegiatura 2018-2019]]*Tabla3[[#This Row],[% Beca UNAM 18-19]]</f>
        <v>#N/A</v>
      </c>
      <c r="CP30" s="225"/>
      <c r="CQ30" s="224">
        <f>3328*Tabla3[[#This Row],[% Beca Reinscripciones UNAM 18-19]]</f>
        <v>0</v>
      </c>
      <c r="CR30" s="226" t="e">
        <f>Tabla3[[#This Row],[Cantidad Beca Colegiatura 18-19]]+Tabla3[[#This Row],[Cantidad Beca Canasta 18-19]]+Tabla3[[#This Row],[Cantidad Beca Reinscripciones 19-20]]</f>
        <v>#N/A</v>
      </c>
      <c r="CS30" s="222">
        <v>0.7</v>
      </c>
      <c r="CT30" s="218" t="e">
        <f>Tabla3[[#This Row],[Monto Colegiatura 2018-2019]]*Tabla3[[#This Row],[% Beca Comunidad 18-19]]</f>
        <v>#N/A</v>
      </c>
      <c r="CU30" s="218" t="e">
        <f>Tabla3[[#This Row],[Cantidad Beca Comunidad Colegiatura 18-19]]*75%</f>
        <v>#N/A</v>
      </c>
      <c r="CV30" s="223"/>
      <c r="CW30" s="218" t="e">
        <f>Tabla3[[#This Row],[Reinscripción 2019-2020]]*Tabla3[[#This Row],[% Beca Reinscripciones Comunidad 19-20]]</f>
        <v>#N/A</v>
      </c>
      <c r="CX30" s="218" t="e">
        <f>Tabla3[[#This Row],[Cantidad Beca Reinscripciones Comunidad 19-20]]*75%</f>
        <v>#N/A</v>
      </c>
      <c r="CY30" s="227" t="e">
        <f>Tabla3[[#This Row],[75% Cantidad Beca Comunidad Colegiatura 18-19]]+Tabla3[[#This Row],[75% Cantidad Beca Reinscripciones 19-20]]</f>
        <v>#N/A</v>
      </c>
      <c r="CZ30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30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30" s="108">
        <f>1440*(Tabla3[[#This Row],[% AutorizadoBeca Colegiatura 18-19]]+Tabla3[[#This Row],[% Beca Prestacion 18-19]]+Tabla3[[#This Row],[% Beca UNAM 18-19]]+Tabla3[[#This Row],[% Beca Comunidad 18-19]])</f>
        <v>1440</v>
      </c>
    </row>
    <row r="31" spans="2:106" ht="15" customHeight="1" x14ac:dyDescent="0.2">
      <c r="B31" s="107"/>
      <c r="C31" s="107" t="e">
        <f>VLOOKUP(Tabla3[[#This Row],[Nombre del Padre]],[1]!Tabla1[[PADRE]:[PADRE_CELULAR]],2,0)</f>
        <v>#REF!</v>
      </c>
      <c r="D31" s="107" t="e">
        <f>VLOOKUP(Tabla3[[#This Row],[Nombre del Padre]],[1]!Tabla1[[PADRE]:[PADRE_CELULAR]],3,0)</f>
        <v>#REF!</v>
      </c>
      <c r="E31" s="107"/>
      <c r="F31" s="107" t="e">
        <f>VLOOKUP(Tabla3[[#This Row],[Nombre de la Madre]],[1]!Tabla1[[MADRE]:[MADRE_TELEFONO]],2,0)</f>
        <v>#REF!</v>
      </c>
      <c r="G31" s="202"/>
      <c r="H31" s="228"/>
      <c r="I31" s="204">
        <v>2421</v>
      </c>
      <c r="J31" s="204" t="s">
        <v>390</v>
      </c>
      <c r="K31" s="204" t="s">
        <v>273</v>
      </c>
      <c r="L31" s="204" t="s">
        <v>391</v>
      </c>
      <c r="M31" s="205"/>
      <c r="N31" s="204"/>
      <c r="O31" s="206" t="e">
        <f>VLOOKUP(Tabla3[[#This Row],[Grado]],[2]Cuotas!$A:$E,2,0)</f>
        <v>#N/A</v>
      </c>
      <c r="P31" s="206" t="e">
        <f>VLOOKUP(Tabla3[[#This Row],[Grado]],[2]Cuotas!$A:$E,4,0)</f>
        <v>#N/A</v>
      </c>
      <c r="Q31" s="206" t="e">
        <f>VLOOKUP(Tabla3[[#This Row],[Grado]],[2]Cuotas!$A:$E,3,0)</f>
        <v>#N/A</v>
      </c>
      <c r="R31" s="207"/>
      <c r="S31" s="206" t="e">
        <f>Tabla3[[#This Row],[Monto Colegiatura]]*Tabla3[[#This Row],[% Beca Colegio 16-17]]</f>
        <v>#N/A</v>
      </c>
      <c r="T31" s="206"/>
      <c r="U31" s="206" t="e">
        <f>Tabla3[[#This Row],[Monto Colegiatura]]*Tabla3[[#This Row],[% Beca Prestación 16-17]]</f>
        <v>#N/A</v>
      </c>
      <c r="V31" s="208"/>
      <c r="W31" s="206" t="e">
        <f>Tabla3[[#This Row],[Monto Colegiatura]]*Tabla3[[#This Row],[% Beca Comunidad 16-17]]</f>
        <v>#N/A</v>
      </c>
      <c r="X31" s="206" t="e">
        <f>Tabla3[[#This Row],[Cantidad Beca Comunidad 16-17]]*25%</f>
        <v>#N/A</v>
      </c>
      <c r="Y31" s="206"/>
      <c r="Z31" s="206" t="e">
        <f>Tabla3[[#This Row],[Monto Colegiatura]]*Tabla3[[#This Row],[% Beca UNAM 16-17]]</f>
        <v>#N/A</v>
      </c>
      <c r="AA31" s="208" t="e">
        <f>VLOOKUP(Tabla3[[#This Row],[Nombre del Alumno]],'[4]BECAS REINSCRIPCIONES'!$B$9:$D$31,3,0)</f>
        <v>#N/A</v>
      </c>
      <c r="AB31" s="206" t="e">
        <f>Tabla3[[#This Row],[Monto Reinscripción]]*Tabla3[[#This Row],[% Beca Reinscripción 16-17]]</f>
        <v>#N/A</v>
      </c>
      <c r="AC31" s="206" t="e">
        <f>VLOOKUP(Tabla3[[#This Row],[Nombre del Alumno]],[4]Hoja3!$H$3:$J$16,3,0)</f>
        <v>#N/A</v>
      </c>
      <c r="AD31" s="206" t="e">
        <f>Tabla3[[#This Row],[Monto Canasta]]*Tabla3[[#This Row],[% Beca Canasta 16-17]]</f>
        <v>#N/A</v>
      </c>
      <c r="AE31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31" s="206" t="e">
        <f>Tabla3[[#This Row],[Monto Colegiatura]]+Tabla3[[#This Row],[Monto Reinscripción]]+Tabla3[[#This Row],[Monto Canasta]]-Tabla3[[#This Row],[Monto Becado 16-17]]</f>
        <v>#N/A</v>
      </c>
      <c r="AG31" s="209"/>
      <c r="AH31" s="210"/>
      <c r="AI31" s="211"/>
      <c r="AJ31" s="206" t="e">
        <f>VLOOKUP(Tabla3[[#This Row],[Grado 17-18]],[2]Cuotas!$H:$L,2,0)</f>
        <v>#N/A</v>
      </c>
      <c r="AK31" s="206" t="e">
        <f>VLOOKUP(Tabla3[[#This Row],[Grado 17-18]],[2]Cuotas!$H:$L,3,0)</f>
        <v>#N/A</v>
      </c>
      <c r="AL31" s="206" t="e">
        <f>VLOOKUP(Tabla3[[#This Row],[Grado 17-18]],[2]Cuotas!$H:$L,4,0)</f>
        <v>#N/A</v>
      </c>
      <c r="AM31" s="229"/>
      <c r="AN31" s="213"/>
      <c r="AO31" s="206" t="e">
        <f>Tabla3[[#This Row],[Monto Colegiatura ]]*Tabla3[[#This Row],[% AutorizadoBeca Colegiatura 17-18]]</f>
        <v>#N/A</v>
      </c>
      <c r="AP31" s="208"/>
      <c r="AQ31" s="206" t="e">
        <f>Tabla3[[#This Row],[Monto Colegiatura ]]*Tabla3[[#This Row],[% Beca Prestacion 17-18]]</f>
        <v>#N/A</v>
      </c>
      <c r="AR31" s="208"/>
      <c r="AS31" s="206" t="e">
        <f>Tabla3[[#This Row],[Canasta]]*Tabla3[[#This Row],[% Beca Canasta 17-18]]</f>
        <v>#N/A</v>
      </c>
      <c r="AT31" s="208"/>
      <c r="AU31" s="214"/>
      <c r="AV31" s="206" t="e">
        <f>Tabla3[[#This Row],[Cantidad Beca Comunidad Colegiatura 17-18]]*25%</f>
        <v>#N/A</v>
      </c>
      <c r="AW31" s="206"/>
      <c r="AX31" s="215"/>
      <c r="AY31" s="206" t="e">
        <f>Tabla3[[#This Row],[Monto Colegiatura ]]*Tabla3[[#This Row],[% Beca UNAM 17-18]]</f>
        <v>#N/A</v>
      </c>
      <c r="AZ31" s="206"/>
      <c r="BA31" s="216">
        <f>3200*Tabla3[[#This Row],[% Beca Reinscripciones UNAM 17-18]]</f>
        <v>0</v>
      </c>
      <c r="BB31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31" s="217"/>
      <c r="BD31" s="218" t="e">
        <f>Tabla3[[#This Row],[Monto Colegiatura ]]*Tabla3[[#This Row],[% Beca Comunidad 17-18]]</f>
        <v>#N/A</v>
      </c>
      <c r="BE31" s="218" t="e">
        <f>Tabla3[[#This Row],[Cantidad Beca Comunidad Colegiatura 17-18]]*75%</f>
        <v>#N/A</v>
      </c>
      <c r="BF31" s="219" t="e">
        <f>VLOOKUP(Tabla3[[#This Row],[Nombre del Alumno]],[5]Hoja2!$B:$O,14,0)</f>
        <v>#N/A</v>
      </c>
      <c r="BG31" s="218" t="e">
        <f>Tabla3[[#This Row],[Reinscripción]]*Tabla3[[#This Row],[% Beca Reinscripciones Comunidad 18-19]]</f>
        <v>#N/A</v>
      </c>
      <c r="BH31" s="218" t="e">
        <f>Tabla3[[#This Row],[Cantidad Beca Reinscripciones Comunidad 18-19]]*70%</f>
        <v>#N/A</v>
      </c>
      <c r="BI31" s="216" t="e">
        <f>Tabla3[[#This Row],[75% Cantidad Beca Comunidad Colegiatura 17-18]]+Tabla3[[#This Row],[70% Cantidad Beca Reinscripciones 18-19]]</f>
        <v>#N/A</v>
      </c>
      <c r="BJ31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31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31" s="206"/>
      <c r="BM31" s="204"/>
      <c r="BN31" s="221"/>
      <c r="BO31" s="107"/>
      <c r="BP31" s="107">
        <f>Tabla3[[#This Row],[% AutorizadoBeca Colegiatura 17-18]]+Tabla3[[#This Row],[% Beca Prestacion 17-18]]+Tabla3[[#This Row],[% Beca UNAM 17-18]]</f>
        <v>0</v>
      </c>
      <c r="BQ31" s="108">
        <f t="shared" si="0"/>
        <v>0</v>
      </c>
      <c r="BR31" s="107">
        <f>Tabla3[[#This Row],[% Beca Comunidad 17-18]]</f>
        <v>0</v>
      </c>
      <c r="BS31" s="108">
        <f t="shared" si="1"/>
        <v>0</v>
      </c>
      <c r="BT31" s="108">
        <f t="shared" si="2"/>
        <v>0</v>
      </c>
      <c r="BU31" s="108">
        <f>Tabla3[[#This Row],[Monto3]]*75%</f>
        <v>0</v>
      </c>
      <c r="BV31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31" s="107" t="e">
        <f>VLOOKUP(Tabla3[[#This Row],[Nombre del Alumno]],'[3]BECAS COLEGIATURAS'!$I:$N,6,0)</f>
        <v>#N/A</v>
      </c>
      <c r="BX31" s="107" t="e">
        <f>VLOOKUP(Tabla3[[#This Row],[Nombre del Alumno]],[1]!Tabla1[[NOMBRE DEL ALUMNO]:[MATRIZ]],6,0)</f>
        <v>#REF!</v>
      </c>
      <c r="BY31" s="107" t="s">
        <v>299</v>
      </c>
      <c r="BZ31" s="108" t="e">
        <f>VLOOKUP(Tabla3[[#This Row],[Grado 18-19]],[2]Cuotas!$Q:$U,2,0)</f>
        <v>#N/A</v>
      </c>
      <c r="CA31" s="108" t="e">
        <f>VLOOKUP(Tabla3[[#This Row],[Grado 18-19]],[2]Cuotas!$Q:$U,3,0)</f>
        <v>#N/A</v>
      </c>
      <c r="CB31" s="108" t="e">
        <f>VLOOKUP(Tabla3[[#This Row],[Grado 18-19]],[2]Cuotas!$Q:$U,4,0)</f>
        <v>#N/A</v>
      </c>
      <c r="CC31" s="107">
        <v>0</v>
      </c>
      <c r="CD31" s="222"/>
      <c r="CE31" s="218" t="e">
        <f>Tabla3[[#This Row],[Monto Colegiatura 2018-2019]]*Tabla3[[#This Row],[% AutorizadoBeca Colegiatura 18-19]]</f>
        <v>#N/A</v>
      </c>
      <c r="CF31" s="223"/>
      <c r="CG31" s="218" t="e">
        <f>Tabla3[[#This Row],[Monto Colegiatura 2018-2019]]*Tabla3[[#This Row],[% Beca Prestacion 18-19]]</f>
        <v>#N/A</v>
      </c>
      <c r="CH31" s="223"/>
      <c r="CI31" s="218" t="e">
        <f>Tabla3[[#This Row],[Canasta 2018-2019]]*Tabla3[[#This Row],[% Beca Canasta 18-19]]</f>
        <v>#N/A</v>
      </c>
      <c r="CJ31" s="223"/>
      <c r="CK31" s="218" t="e">
        <f>Tabla3[[#This Row],[Reinscripción 2019-2020]]*Tabla3[[#This Row],[% Beca Reinscripciones 19-20]]</f>
        <v>#N/A</v>
      </c>
      <c r="CL31" s="218" t="e">
        <f>Tabla3[[#This Row],[Cantidad Beca Comunidad Colegiatura 18-19]]*25%</f>
        <v>#N/A</v>
      </c>
      <c r="CM31" s="224" t="e">
        <f>Tabla3[[#This Row],[Cantidad Beca Reinscripciones Comunidad 19-20]]*25%</f>
        <v>#N/A</v>
      </c>
      <c r="CN31" s="222"/>
      <c r="CO31" s="218" t="e">
        <f>Tabla3[[#This Row],[Monto Colegiatura 2018-2019]]*Tabla3[[#This Row],[% Beca UNAM 18-19]]</f>
        <v>#N/A</v>
      </c>
      <c r="CP31" s="225"/>
      <c r="CQ31" s="224">
        <f>3328*Tabla3[[#This Row],[% Beca Reinscripciones UNAM 18-19]]</f>
        <v>0</v>
      </c>
      <c r="CR31" s="226" t="e">
        <f>Tabla3[[#This Row],[Cantidad Beca Colegiatura 18-19]]+Tabla3[[#This Row],[Cantidad Beca Canasta 18-19]]+Tabla3[[#This Row],[Cantidad Beca Reinscripciones 19-20]]</f>
        <v>#N/A</v>
      </c>
      <c r="CS31" s="222">
        <v>1</v>
      </c>
      <c r="CT31" s="218" t="e">
        <f>Tabla3[[#This Row],[Monto Colegiatura 2018-2019]]*Tabla3[[#This Row],[% Beca Comunidad 18-19]]</f>
        <v>#N/A</v>
      </c>
      <c r="CU31" s="218" t="e">
        <f>Tabla3[[#This Row],[Cantidad Beca Comunidad Colegiatura 18-19]]*75%</f>
        <v>#N/A</v>
      </c>
      <c r="CV31" s="223"/>
      <c r="CW31" s="218" t="e">
        <f>Tabla3[[#This Row],[Reinscripción 2019-2020]]*Tabla3[[#This Row],[% Beca Reinscripciones Comunidad 19-20]]</f>
        <v>#N/A</v>
      </c>
      <c r="CX31" s="218" t="e">
        <f>Tabla3[[#This Row],[Cantidad Beca Reinscripciones Comunidad 19-20]]*75%</f>
        <v>#N/A</v>
      </c>
      <c r="CY31" s="227" t="e">
        <f>Tabla3[[#This Row],[75% Cantidad Beca Comunidad Colegiatura 18-19]]+Tabla3[[#This Row],[75% Cantidad Beca Reinscripciones 19-20]]</f>
        <v>#N/A</v>
      </c>
      <c r="CZ31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31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31" s="108">
        <f>1440*(Tabla3[[#This Row],[% AutorizadoBeca Colegiatura 18-19]]+Tabla3[[#This Row],[% Beca Prestacion 18-19]]+Tabla3[[#This Row],[% Beca UNAM 18-19]]+Tabla3[[#This Row],[% Beca Comunidad 18-19]])</f>
        <v>1440</v>
      </c>
    </row>
    <row r="32" spans="2:106" ht="15" customHeight="1" x14ac:dyDescent="0.2">
      <c r="B32" s="107"/>
      <c r="C32" s="107" t="e">
        <f>VLOOKUP(Tabla3[[#This Row],[Nombre del Padre]],[1]!Tabla1[[PADRE]:[PADRE_CELULAR]],2,0)</f>
        <v>#REF!</v>
      </c>
      <c r="D32" s="107" t="e">
        <f>VLOOKUP(Tabla3[[#This Row],[Nombre del Padre]],[1]!Tabla1[[PADRE]:[PADRE_CELULAR]],3,0)</f>
        <v>#REF!</v>
      </c>
      <c r="E32" s="107"/>
      <c r="F32" s="107" t="e">
        <f>VLOOKUP(Tabla3[[#This Row],[Nombre de la Madre]],[1]!Tabla1[[MADRE]:[MADRE_TELEFONO]],2,0)</f>
        <v>#REF!</v>
      </c>
      <c r="G32" s="202"/>
      <c r="H32" s="228"/>
      <c r="I32" s="204">
        <v>2421</v>
      </c>
      <c r="J32" s="204" t="s">
        <v>390</v>
      </c>
      <c r="K32" s="204" t="s">
        <v>273</v>
      </c>
      <c r="L32" s="204" t="s">
        <v>392</v>
      </c>
      <c r="M32" s="205"/>
      <c r="N32" s="204"/>
      <c r="O32" s="206" t="e">
        <f>VLOOKUP(Tabla3[[#This Row],[Grado]],[2]Cuotas!$A:$E,2,0)</f>
        <v>#N/A</v>
      </c>
      <c r="P32" s="206" t="e">
        <f>VLOOKUP(Tabla3[[#This Row],[Grado]],[2]Cuotas!$A:$E,4,0)</f>
        <v>#N/A</v>
      </c>
      <c r="Q32" s="206" t="e">
        <f>VLOOKUP(Tabla3[[#This Row],[Grado]],[2]Cuotas!$A:$E,3,0)</f>
        <v>#N/A</v>
      </c>
      <c r="R32" s="207"/>
      <c r="S32" s="206" t="e">
        <f>Tabla3[[#This Row],[Monto Colegiatura]]*Tabla3[[#This Row],[% Beca Colegio 16-17]]</f>
        <v>#N/A</v>
      </c>
      <c r="T32" s="206"/>
      <c r="U32" s="206" t="e">
        <f>Tabla3[[#This Row],[Monto Colegiatura]]*Tabla3[[#This Row],[% Beca Prestación 16-17]]</f>
        <v>#N/A</v>
      </c>
      <c r="V32" s="208"/>
      <c r="W32" s="206" t="e">
        <f>Tabla3[[#This Row],[Monto Colegiatura]]*Tabla3[[#This Row],[% Beca Comunidad 16-17]]</f>
        <v>#N/A</v>
      </c>
      <c r="X32" s="206" t="e">
        <f>Tabla3[[#This Row],[Cantidad Beca Comunidad 16-17]]*25%</f>
        <v>#N/A</v>
      </c>
      <c r="Y32" s="206"/>
      <c r="Z32" s="206" t="e">
        <f>Tabla3[[#This Row],[Monto Colegiatura]]*Tabla3[[#This Row],[% Beca UNAM 16-17]]</f>
        <v>#N/A</v>
      </c>
      <c r="AA32" s="208" t="e">
        <f>VLOOKUP(Tabla3[[#This Row],[Nombre del Alumno]],'[4]BECAS REINSCRIPCIONES'!$B$9:$D$31,3,0)</f>
        <v>#N/A</v>
      </c>
      <c r="AB32" s="206" t="e">
        <f>Tabla3[[#This Row],[Monto Reinscripción]]*Tabla3[[#This Row],[% Beca Reinscripción 16-17]]</f>
        <v>#N/A</v>
      </c>
      <c r="AC32" s="206" t="e">
        <f>VLOOKUP(Tabla3[[#This Row],[Nombre del Alumno]],[4]Hoja3!$H$3:$J$16,3,0)</f>
        <v>#N/A</v>
      </c>
      <c r="AD32" s="206" t="e">
        <f>Tabla3[[#This Row],[Monto Canasta]]*Tabla3[[#This Row],[% Beca Canasta 16-17]]</f>
        <v>#N/A</v>
      </c>
      <c r="AE32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32" s="206" t="e">
        <f>Tabla3[[#This Row],[Monto Colegiatura]]+Tabla3[[#This Row],[Monto Reinscripción]]+Tabla3[[#This Row],[Monto Canasta]]-Tabla3[[#This Row],[Monto Becado 16-17]]</f>
        <v>#N/A</v>
      </c>
      <c r="AG32" s="209"/>
      <c r="AH32" s="210"/>
      <c r="AI32" s="211"/>
      <c r="AJ32" s="206" t="e">
        <f>VLOOKUP(Tabla3[[#This Row],[Grado 17-18]],[2]Cuotas!$H:$L,2,0)</f>
        <v>#N/A</v>
      </c>
      <c r="AK32" s="206" t="e">
        <f>VLOOKUP(Tabla3[[#This Row],[Grado 17-18]],[2]Cuotas!$H:$L,3,0)</f>
        <v>#N/A</v>
      </c>
      <c r="AL32" s="206" t="e">
        <f>VLOOKUP(Tabla3[[#This Row],[Grado 17-18]],[2]Cuotas!$H:$L,4,0)</f>
        <v>#N/A</v>
      </c>
      <c r="AM32" s="229"/>
      <c r="AN32" s="213"/>
      <c r="AO32" s="206" t="e">
        <f>Tabla3[[#This Row],[Monto Colegiatura ]]*Tabla3[[#This Row],[% AutorizadoBeca Colegiatura 17-18]]</f>
        <v>#N/A</v>
      </c>
      <c r="AP32" s="208"/>
      <c r="AQ32" s="206" t="e">
        <f>Tabla3[[#This Row],[Monto Colegiatura ]]*Tabla3[[#This Row],[% Beca Prestacion 17-18]]</f>
        <v>#N/A</v>
      </c>
      <c r="AR32" s="208"/>
      <c r="AS32" s="206" t="e">
        <f>Tabla3[[#This Row],[Canasta]]*Tabla3[[#This Row],[% Beca Canasta 17-18]]</f>
        <v>#N/A</v>
      </c>
      <c r="AT32" s="208"/>
      <c r="AU32" s="214"/>
      <c r="AV32" s="206" t="e">
        <f>Tabla3[[#This Row],[Cantidad Beca Comunidad Colegiatura 17-18]]*25%</f>
        <v>#N/A</v>
      </c>
      <c r="AW32" s="206"/>
      <c r="AX32" s="215"/>
      <c r="AY32" s="206" t="e">
        <f>Tabla3[[#This Row],[Monto Colegiatura ]]*Tabla3[[#This Row],[% Beca UNAM 17-18]]</f>
        <v>#N/A</v>
      </c>
      <c r="AZ32" s="206"/>
      <c r="BA32" s="216">
        <f>3200*Tabla3[[#This Row],[% Beca Reinscripciones UNAM 17-18]]</f>
        <v>0</v>
      </c>
      <c r="BB32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32" s="217"/>
      <c r="BD32" s="218" t="e">
        <f>Tabla3[[#This Row],[Monto Colegiatura ]]*Tabla3[[#This Row],[% Beca Comunidad 17-18]]</f>
        <v>#N/A</v>
      </c>
      <c r="BE32" s="218" t="e">
        <f>Tabla3[[#This Row],[Cantidad Beca Comunidad Colegiatura 17-18]]*75%</f>
        <v>#N/A</v>
      </c>
      <c r="BF32" s="219" t="e">
        <f>VLOOKUP(Tabla3[[#This Row],[Nombre del Alumno]],[5]Hoja2!$B:$O,14,0)</f>
        <v>#N/A</v>
      </c>
      <c r="BG32" s="218" t="e">
        <f>Tabla3[[#This Row],[Reinscripción]]*Tabla3[[#This Row],[% Beca Reinscripciones Comunidad 18-19]]</f>
        <v>#N/A</v>
      </c>
      <c r="BH32" s="218" t="e">
        <f>Tabla3[[#This Row],[Cantidad Beca Reinscripciones Comunidad 18-19]]*70%</f>
        <v>#N/A</v>
      </c>
      <c r="BI32" s="216" t="e">
        <f>Tabla3[[#This Row],[75% Cantidad Beca Comunidad Colegiatura 17-18]]+Tabla3[[#This Row],[70% Cantidad Beca Reinscripciones 18-19]]</f>
        <v>#N/A</v>
      </c>
      <c r="BJ32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32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32" s="206"/>
      <c r="BM32" s="204"/>
      <c r="BN32" s="221"/>
      <c r="BO32" s="107"/>
      <c r="BP32" s="107">
        <f>Tabla3[[#This Row],[% AutorizadoBeca Colegiatura 17-18]]+Tabla3[[#This Row],[% Beca Prestacion 17-18]]+Tabla3[[#This Row],[% Beca UNAM 17-18]]</f>
        <v>0</v>
      </c>
      <c r="BQ32" s="108">
        <f t="shared" si="0"/>
        <v>0</v>
      </c>
      <c r="BR32" s="107">
        <f>Tabla3[[#This Row],[% Beca Comunidad 17-18]]</f>
        <v>0</v>
      </c>
      <c r="BS32" s="108">
        <f t="shared" si="1"/>
        <v>0</v>
      </c>
      <c r="BT32" s="108">
        <f t="shared" si="2"/>
        <v>0</v>
      </c>
      <c r="BU32" s="108">
        <f>Tabla3[[#This Row],[Monto3]]*75%</f>
        <v>0</v>
      </c>
      <c r="BV32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32" s="107" t="e">
        <f>VLOOKUP(Tabla3[[#This Row],[Nombre del Alumno]],'[3]BECAS COLEGIATURAS'!$I:$N,6,0)</f>
        <v>#N/A</v>
      </c>
      <c r="BX32" s="107" t="e">
        <f>VLOOKUP(Tabla3[[#This Row],[Nombre del Alumno]],[1]!Tabla1[[NOMBRE DEL ALUMNO]:[MATRIZ]],6,0)</f>
        <v>#REF!</v>
      </c>
      <c r="BY32" s="107" t="s">
        <v>284</v>
      </c>
      <c r="BZ32" s="108" t="e">
        <f>VLOOKUP(Tabla3[[#This Row],[Grado 18-19]],[2]Cuotas!$Q:$U,2,0)</f>
        <v>#N/A</v>
      </c>
      <c r="CA32" s="108" t="e">
        <f>VLOOKUP(Tabla3[[#This Row],[Grado 18-19]],[2]Cuotas!$Q:$U,3,0)</f>
        <v>#N/A</v>
      </c>
      <c r="CB32" s="108" t="e">
        <f>VLOOKUP(Tabla3[[#This Row],[Grado 18-19]],[2]Cuotas!$Q:$U,4,0)</f>
        <v>#N/A</v>
      </c>
      <c r="CC32" s="107">
        <v>0</v>
      </c>
      <c r="CD32" s="222"/>
      <c r="CE32" s="218" t="e">
        <f>Tabla3[[#This Row],[Monto Colegiatura 2018-2019]]*Tabla3[[#This Row],[% AutorizadoBeca Colegiatura 18-19]]</f>
        <v>#N/A</v>
      </c>
      <c r="CF32" s="223"/>
      <c r="CG32" s="218" t="e">
        <f>Tabla3[[#This Row],[Monto Colegiatura 2018-2019]]*Tabla3[[#This Row],[% Beca Prestacion 18-19]]</f>
        <v>#N/A</v>
      </c>
      <c r="CH32" s="223"/>
      <c r="CI32" s="218" t="e">
        <f>Tabla3[[#This Row],[Canasta 2018-2019]]*Tabla3[[#This Row],[% Beca Canasta 18-19]]</f>
        <v>#N/A</v>
      </c>
      <c r="CJ32" s="223"/>
      <c r="CK32" s="218" t="e">
        <f>Tabla3[[#This Row],[Reinscripción 2019-2020]]*Tabla3[[#This Row],[% Beca Reinscripciones 19-20]]</f>
        <v>#N/A</v>
      </c>
      <c r="CL32" s="218" t="e">
        <f>Tabla3[[#This Row],[Cantidad Beca Comunidad Colegiatura 18-19]]*25%</f>
        <v>#N/A</v>
      </c>
      <c r="CM32" s="224" t="e">
        <f>Tabla3[[#This Row],[Cantidad Beca Reinscripciones Comunidad 19-20]]*25%</f>
        <v>#N/A</v>
      </c>
      <c r="CN32" s="222"/>
      <c r="CO32" s="218" t="e">
        <f>Tabla3[[#This Row],[Monto Colegiatura 2018-2019]]*Tabla3[[#This Row],[% Beca UNAM 18-19]]</f>
        <v>#N/A</v>
      </c>
      <c r="CP32" s="225"/>
      <c r="CQ32" s="224">
        <f>3328*Tabla3[[#This Row],[% Beca Reinscripciones UNAM 18-19]]</f>
        <v>0</v>
      </c>
      <c r="CR32" s="226" t="e">
        <f>Tabla3[[#This Row],[Cantidad Beca Colegiatura 18-19]]+Tabla3[[#This Row],[Cantidad Beca Canasta 18-19]]+Tabla3[[#This Row],[Cantidad Beca Reinscripciones 19-20]]</f>
        <v>#N/A</v>
      </c>
      <c r="CS32" s="222">
        <v>1</v>
      </c>
      <c r="CT32" s="218" t="e">
        <f>Tabla3[[#This Row],[Monto Colegiatura 2018-2019]]*Tabla3[[#This Row],[% Beca Comunidad 18-19]]</f>
        <v>#N/A</v>
      </c>
      <c r="CU32" s="218" t="e">
        <f>Tabla3[[#This Row],[Cantidad Beca Comunidad Colegiatura 18-19]]*75%</f>
        <v>#N/A</v>
      </c>
      <c r="CV32" s="223"/>
      <c r="CW32" s="218" t="e">
        <f>Tabla3[[#This Row],[Reinscripción 2019-2020]]*Tabla3[[#This Row],[% Beca Reinscripciones Comunidad 19-20]]</f>
        <v>#N/A</v>
      </c>
      <c r="CX32" s="218" t="e">
        <f>Tabla3[[#This Row],[Cantidad Beca Reinscripciones Comunidad 19-20]]*75%</f>
        <v>#N/A</v>
      </c>
      <c r="CY32" s="227" t="e">
        <f>Tabla3[[#This Row],[75% Cantidad Beca Comunidad Colegiatura 18-19]]+Tabla3[[#This Row],[75% Cantidad Beca Reinscripciones 19-20]]</f>
        <v>#N/A</v>
      </c>
      <c r="CZ32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32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32" s="108">
        <f>1440*(Tabla3[[#This Row],[% AutorizadoBeca Colegiatura 18-19]]+Tabla3[[#This Row],[% Beca Prestacion 18-19]]+Tabla3[[#This Row],[% Beca UNAM 18-19]]+Tabla3[[#This Row],[% Beca Comunidad 18-19]])</f>
        <v>1440</v>
      </c>
    </row>
    <row r="33" spans="2:106" ht="15" customHeight="1" x14ac:dyDescent="0.2">
      <c r="B33" s="107" t="s">
        <v>393</v>
      </c>
      <c r="C33" s="107" t="e">
        <f>VLOOKUP(Tabla3[[#This Row],[Nombre del Padre]],[1]!Tabla1[[PADRE]:[PADRE_CELULAR]],2,0)</f>
        <v>#REF!</v>
      </c>
      <c r="D33" s="107" t="e">
        <f>VLOOKUP(Tabla3[[#This Row],[Nombre del Padre]],[1]!Tabla1[[PADRE]:[PADRE_CELULAR]],3,0)</f>
        <v>#REF!</v>
      </c>
      <c r="E33" s="107" t="s">
        <v>394</v>
      </c>
      <c r="F33" s="107" t="e">
        <f>VLOOKUP(Tabla3[[#This Row],[Nombre de la Madre]],[1]!Tabla1[[MADRE]:[MADRE_TELEFONO]],2,0)</f>
        <v>#REF!</v>
      </c>
      <c r="G33" s="202" t="e">
        <f>VLOOKUP(Tabla3[[#This Row],[Nombre de la Madre]],[1]!Tabla1[[MADRE]:[MADRE_TELEFONO]],3,0)</f>
        <v>#REF!</v>
      </c>
      <c r="H33" s="237"/>
      <c r="I33" s="204">
        <v>2327</v>
      </c>
      <c r="J33" s="204" t="s">
        <v>395</v>
      </c>
      <c r="K33" s="204" t="s">
        <v>273</v>
      </c>
      <c r="L33" s="204" t="s">
        <v>396</v>
      </c>
      <c r="M33" s="205" t="s">
        <v>397</v>
      </c>
      <c r="N33" s="204" t="s">
        <v>284</v>
      </c>
      <c r="O33" s="206" t="e">
        <f>VLOOKUP(Tabla3[[#This Row],[Grado]],[2]Cuotas!$A:$E,2,0)</f>
        <v>#N/A</v>
      </c>
      <c r="P33" s="206" t="e">
        <f>VLOOKUP(Tabla3[[#This Row],[Grado]],[2]Cuotas!$A:$E,4,0)</f>
        <v>#N/A</v>
      </c>
      <c r="Q33" s="206" t="e">
        <f>VLOOKUP(Tabla3[[#This Row],[Grado]],[2]Cuotas!$A:$E,3,0)</f>
        <v>#N/A</v>
      </c>
      <c r="R33" s="207"/>
      <c r="S33" s="206" t="e">
        <f>Tabla3[[#This Row],[Monto Colegiatura]]*Tabla3[[#This Row],[% Beca Colegio 16-17]]</f>
        <v>#N/A</v>
      </c>
      <c r="T33" s="206"/>
      <c r="U33" s="206" t="e">
        <f>Tabla3[[#This Row],[Monto Colegiatura]]*Tabla3[[#This Row],[% Beca Prestación 16-17]]</f>
        <v>#N/A</v>
      </c>
      <c r="V33" s="208">
        <v>0.5</v>
      </c>
      <c r="W33" s="206" t="e">
        <f>Tabla3[[#This Row],[Monto Colegiatura]]*Tabla3[[#This Row],[% Beca Comunidad 16-17]]</f>
        <v>#N/A</v>
      </c>
      <c r="X33" s="206" t="e">
        <f>Tabla3[[#This Row],[Cantidad Beca Comunidad 16-17]]*25%</f>
        <v>#N/A</v>
      </c>
      <c r="Y33" s="206"/>
      <c r="Z33" s="206" t="e">
        <f>Tabla3[[#This Row],[Monto Colegiatura]]*Tabla3[[#This Row],[% Beca UNAM 16-17]]</f>
        <v>#N/A</v>
      </c>
      <c r="AA33" s="208"/>
      <c r="AB33" s="206" t="e">
        <f>Tabla3[[#This Row],[Monto Reinscripción]]*Tabla3[[#This Row],[% Beca Reinscripción 16-17]]</f>
        <v>#N/A</v>
      </c>
      <c r="AC33" s="206"/>
      <c r="AD33" s="206" t="e">
        <f>Tabla3[[#This Row],[Monto Canasta]]*Tabla3[[#This Row],[% Beca Canasta 16-17]]</f>
        <v>#N/A</v>
      </c>
      <c r="AE33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33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33" s="209" t="e">
        <f>VLOOKUP(Tabla3[[#This Row],[Nombre del Alumno]],[2]!Tabla1[[Alumno]:[Cuenta Ciclos]],2,0)</f>
        <v>#REF!</v>
      </c>
      <c r="AH33" s="210" t="s">
        <v>398</v>
      </c>
      <c r="AI33" s="211" t="s">
        <v>330</v>
      </c>
      <c r="AJ33" s="206" t="e">
        <f>VLOOKUP(Tabla3[[#This Row],[Grado 17-18]],[2]Cuotas!$H:$L,2,0)</f>
        <v>#N/A</v>
      </c>
      <c r="AK33" s="206" t="e">
        <f>VLOOKUP(Tabla3[[#This Row],[Grado 17-18]],[2]Cuotas!$H:$L,3,0)</f>
        <v>#N/A</v>
      </c>
      <c r="AL33" s="206" t="e">
        <f>VLOOKUP(Tabla3[[#This Row],[Grado 17-18]],[2]Cuotas!$H:$L,4,0)</f>
        <v>#N/A</v>
      </c>
      <c r="AM33" s="212"/>
      <c r="AN33" s="213"/>
      <c r="AO33" s="206" t="e">
        <f>Tabla3[[#This Row],[Monto Colegiatura ]]*Tabla3[[#This Row],[% AutorizadoBeca Colegiatura 17-18]]</f>
        <v>#N/A</v>
      </c>
      <c r="AP33" s="208"/>
      <c r="AQ33" s="206" t="e">
        <f>Tabla3[[#This Row],[Monto Colegiatura ]]*Tabla3[[#This Row],[% Beca Prestacion 17-18]]</f>
        <v>#N/A</v>
      </c>
      <c r="AR33" s="208"/>
      <c r="AS33" s="206" t="e">
        <f>Tabla3[[#This Row],[Canasta]]*Tabla3[[#This Row],[% Beca Canasta 17-18]]</f>
        <v>#N/A</v>
      </c>
      <c r="AT33" s="208"/>
      <c r="AU33" s="214">
        <v>0</v>
      </c>
      <c r="AV33" s="206" t="e">
        <f>Tabla3[[#This Row],[Cantidad Beca Comunidad Colegiatura 17-18]]*25%</f>
        <v>#N/A</v>
      </c>
      <c r="AW33" s="206"/>
      <c r="AX33" s="215"/>
      <c r="AY33" s="206" t="e">
        <f>Tabla3[[#This Row],[Monto Colegiatura ]]*Tabla3[[#This Row],[% Beca UNAM 17-18]]</f>
        <v>#N/A</v>
      </c>
      <c r="AZ33" s="206"/>
      <c r="BA33" s="216">
        <f>3200*Tabla3[[#This Row],[% Beca Reinscripciones UNAM 17-18]]</f>
        <v>0</v>
      </c>
      <c r="BB33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33" s="217">
        <v>0.5</v>
      </c>
      <c r="BD33" s="218" t="e">
        <f>Tabla3[[#This Row],[Monto Colegiatura ]]*Tabla3[[#This Row],[% Beca Comunidad 17-18]]</f>
        <v>#N/A</v>
      </c>
      <c r="BE33" s="218" t="e">
        <f>Tabla3[[#This Row],[Cantidad Beca Comunidad Colegiatura 17-18]]*75%</f>
        <v>#N/A</v>
      </c>
      <c r="BF33" s="219"/>
      <c r="BG33" s="218" t="e">
        <f>Tabla3[[#This Row],[Reinscripción]]*Tabla3[[#This Row],[% Beca Reinscripciones Comunidad 18-19]]</f>
        <v>#N/A</v>
      </c>
      <c r="BH33" s="218" t="e">
        <f>Tabla3[[#This Row],[Cantidad Beca Reinscripciones Comunidad 18-19]]*70%</f>
        <v>#N/A</v>
      </c>
      <c r="BI33" s="216" t="e">
        <f>Tabla3[[#This Row],[75% Cantidad Beca Comunidad Colegiatura 17-18]]+Tabla3[[#This Row],[70% Cantidad Beca Reinscripciones 18-19]]</f>
        <v>#N/A</v>
      </c>
      <c r="BJ33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33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33" s="220"/>
      <c r="BM33" s="204"/>
      <c r="BN33" s="221"/>
      <c r="BO33" s="107"/>
      <c r="BP33" s="107">
        <f>Tabla3[[#This Row],[% AutorizadoBeca Colegiatura 17-18]]+Tabla3[[#This Row],[% Beca Prestacion 17-18]]+Tabla3[[#This Row],[% Beca UNAM 17-18]]</f>
        <v>0</v>
      </c>
      <c r="BQ33" s="108">
        <f t="shared" si="0"/>
        <v>0</v>
      </c>
      <c r="BR33" s="107">
        <f>Tabla3[[#This Row],[% Beca Comunidad 17-18]]</f>
        <v>0.5</v>
      </c>
      <c r="BS33" s="108">
        <f t="shared" si="1"/>
        <v>573.5</v>
      </c>
      <c r="BT33" s="108">
        <f t="shared" si="2"/>
        <v>143.375</v>
      </c>
      <c r="BU33" s="108">
        <f>Tabla3[[#This Row],[Monto3]]*75%</f>
        <v>430.125</v>
      </c>
      <c r="BV33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33" s="107" t="e">
        <f>VLOOKUP(Tabla3[[#This Row],[Nombre del Alumno]],'[3]BECAS COLEGIATURAS'!$I:$N,6,0)</f>
        <v>#N/A</v>
      </c>
      <c r="BX33" s="107" t="e">
        <f>VLOOKUP(Tabla3[[#This Row],[Nombre del Alumno]],[1]!Tabla1[[NOMBRE DEL ALUMNO]:[MATRIZ]],6,0)</f>
        <v>#REF!</v>
      </c>
      <c r="BY33" s="107" t="e">
        <f>VLOOKUP(Tabla3[[#This Row],[Nombre del Alumno]],'[3]BECAS COLEGIATURAS'!$I:$L,4,0)</f>
        <v>#N/A</v>
      </c>
      <c r="BZ33" s="108" t="e">
        <f>VLOOKUP(Tabla3[[#This Row],[Grado 18-19]],[2]Cuotas!$Q:$U,2,0)</f>
        <v>#N/A</v>
      </c>
      <c r="CA33" s="108" t="e">
        <f>VLOOKUP(Tabla3[[#This Row],[Grado 18-19]],[2]Cuotas!$Q:$U,3,0)</f>
        <v>#N/A</v>
      </c>
      <c r="CB33" s="108" t="e">
        <f>VLOOKUP(Tabla3[[#This Row],[Grado 18-19]],[2]Cuotas!$Q:$U,4,0)</f>
        <v>#N/A</v>
      </c>
      <c r="CC33" s="107">
        <v>0</v>
      </c>
      <c r="CD33" s="222"/>
      <c r="CE33" s="218" t="e">
        <f>Tabla3[[#This Row],[Monto Colegiatura 2018-2019]]*Tabla3[[#This Row],[% AutorizadoBeca Colegiatura 18-19]]</f>
        <v>#N/A</v>
      </c>
      <c r="CF33" s="223"/>
      <c r="CG33" s="218" t="e">
        <f>Tabla3[[#This Row],[Monto Colegiatura 2018-2019]]*Tabla3[[#This Row],[% Beca Prestacion 18-19]]</f>
        <v>#N/A</v>
      </c>
      <c r="CH33" s="223"/>
      <c r="CI33" s="218" t="e">
        <f>Tabla3[[#This Row],[Canasta 2018-2019]]*Tabla3[[#This Row],[% Beca Canasta 18-19]]</f>
        <v>#N/A</v>
      </c>
      <c r="CJ33" s="223"/>
      <c r="CK33" s="218" t="e">
        <f>Tabla3[[#This Row],[Reinscripción 2019-2020]]*Tabla3[[#This Row],[% Beca Reinscripciones 19-20]]</f>
        <v>#N/A</v>
      </c>
      <c r="CL33" s="218" t="e">
        <f>Tabla3[[#This Row],[Cantidad Beca Comunidad Colegiatura 18-19]]*25%</f>
        <v>#N/A</v>
      </c>
      <c r="CM33" s="224" t="e">
        <f>Tabla3[[#This Row],[Cantidad Beca Reinscripciones Comunidad 19-20]]*25%</f>
        <v>#N/A</v>
      </c>
      <c r="CN33" s="222"/>
      <c r="CO33" s="218" t="e">
        <f>Tabla3[[#This Row],[Monto Colegiatura 2018-2019]]*Tabla3[[#This Row],[% Beca UNAM 18-19]]</f>
        <v>#N/A</v>
      </c>
      <c r="CP33" s="225"/>
      <c r="CQ33" s="224">
        <f>3328*Tabla3[[#This Row],[% Beca Reinscripciones UNAM 18-19]]</f>
        <v>0</v>
      </c>
      <c r="CR33" s="226" t="e">
        <f>Tabla3[[#This Row],[Cantidad Beca Colegiatura 18-19]]+Tabla3[[#This Row],[Cantidad Beca Canasta 18-19]]+Tabla3[[#This Row],[Cantidad Beca Reinscripciones 19-20]]</f>
        <v>#N/A</v>
      </c>
      <c r="CS33" s="222">
        <v>0.5</v>
      </c>
      <c r="CT33" s="218" t="e">
        <f>Tabla3[[#This Row],[Monto Colegiatura 2018-2019]]*Tabla3[[#This Row],[% Beca Comunidad 18-19]]</f>
        <v>#N/A</v>
      </c>
      <c r="CU33" s="218" t="e">
        <f>Tabla3[[#This Row],[Cantidad Beca Comunidad Colegiatura 18-19]]*75%</f>
        <v>#N/A</v>
      </c>
      <c r="CV33" s="223"/>
      <c r="CW33" s="218" t="e">
        <f>Tabla3[[#This Row],[Reinscripción 2019-2020]]*Tabla3[[#This Row],[% Beca Reinscripciones Comunidad 19-20]]</f>
        <v>#N/A</v>
      </c>
      <c r="CX33" s="218" t="e">
        <f>Tabla3[[#This Row],[Cantidad Beca Reinscripciones Comunidad 19-20]]*75%</f>
        <v>#N/A</v>
      </c>
      <c r="CY33" s="227" t="e">
        <f>Tabla3[[#This Row],[75% Cantidad Beca Comunidad Colegiatura 18-19]]+Tabla3[[#This Row],[75% Cantidad Beca Reinscripciones 19-20]]</f>
        <v>#N/A</v>
      </c>
      <c r="CZ33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33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33" s="108">
        <f>1440*(Tabla3[[#This Row],[% AutorizadoBeca Colegiatura 18-19]]+Tabla3[[#This Row],[% Beca Prestacion 18-19]]+Tabla3[[#This Row],[% Beca UNAM 18-19]]+Tabla3[[#This Row],[% Beca Comunidad 18-19]])</f>
        <v>720</v>
      </c>
    </row>
    <row r="34" spans="2:106" ht="15" customHeight="1" x14ac:dyDescent="0.2">
      <c r="B34" s="107" t="s">
        <v>399</v>
      </c>
      <c r="C34" s="107" t="e">
        <f>VLOOKUP(Tabla3[[#This Row],[Nombre del Padre]],[1]!Tabla1[[PADRE]:[PADRE_CELULAR]],2,0)</f>
        <v>#REF!</v>
      </c>
      <c r="D34" s="107" t="e">
        <f>VLOOKUP(Tabla3[[#This Row],[Nombre del Padre]],[1]!Tabla1[[PADRE]:[PADRE_CELULAR]],3,0)</f>
        <v>#REF!</v>
      </c>
      <c r="E34" s="107" t="s">
        <v>400</v>
      </c>
      <c r="F34" s="107" t="e">
        <f>VLOOKUP(Tabla3[[#This Row],[Nombre de la Madre]],[1]!Tabla1[[MADRE]:[MADRE_TELEFONO]],2,0)</f>
        <v>#REF!</v>
      </c>
      <c r="G34" s="202" t="e">
        <f>VLOOKUP(Tabla3[[#This Row],[Nombre de la Madre]],[1]!Tabla1[[MADRE]:[MADRE_TELEFONO]],3,0)</f>
        <v>#REF!</v>
      </c>
      <c r="H34" s="228">
        <v>23</v>
      </c>
      <c r="I34" s="204">
        <v>1492</v>
      </c>
      <c r="J34" s="204" t="s">
        <v>401</v>
      </c>
      <c r="K34" s="204" t="s">
        <v>273</v>
      </c>
      <c r="L34" s="204" t="s">
        <v>402</v>
      </c>
      <c r="M34" s="205" t="s">
        <v>403</v>
      </c>
      <c r="N34" s="204" t="s">
        <v>330</v>
      </c>
      <c r="O34" s="206" t="e">
        <f>VLOOKUP(Tabla3[[#This Row],[Grado]],[2]Cuotas!$A:$E,2,0)</f>
        <v>#N/A</v>
      </c>
      <c r="P34" s="206" t="e">
        <f>VLOOKUP(Tabla3[[#This Row],[Grado]],[2]Cuotas!$A:$E,4,0)</f>
        <v>#N/A</v>
      </c>
      <c r="Q34" s="206" t="e">
        <f>VLOOKUP(Tabla3[[#This Row],[Grado]],[2]Cuotas!$A:$E,3,0)</f>
        <v>#N/A</v>
      </c>
      <c r="R34" s="207"/>
      <c r="S34" s="206" t="e">
        <f>Tabla3[[#This Row],[Monto Colegiatura]]*Tabla3[[#This Row],[% Beca Colegio 16-17]]</f>
        <v>#N/A</v>
      </c>
      <c r="T34" s="208">
        <v>0.4</v>
      </c>
      <c r="U34" s="206" t="e">
        <f>Tabla3[[#This Row],[Monto Colegiatura]]*Tabla3[[#This Row],[% Beca Prestación 16-17]]</f>
        <v>#N/A</v>
      </c>
      <c r="V34" s="208">
        <v>0.5</v>
      </c>
      <c r="W34" s="206" t="e">
        <f>Tabla3[[#This Row],[Monto Colegiatura]]*Tabla3[[#This Row],[% Beca Comunidad 16-17]]</f>
        <v>#N/A</v>
      </c>
      <c r="X34" s="206" t="e">
        <f>Tabla3[[#This Row],[Cantidad Beca Comunidad 16-17]]*25%</f>
        <v>#N/A</v>
      </c>
      <c r="Y34" s="206"/>
      <c r="Z34" s="206" t="e">
        <f>Tabla3[[#This Row],[Monto Colegiatura]]*Tabla3[[#This Row],[% Beca UNAM 16-17]]</f>
        <v>#N/A</v>
      </c>
      <c r="AA34" s="208" t="e">
        <f>VLOOKUP(Tabla3[[#This Row],[Nombre del Alumno]],'[4]BECAS REINSCRIPCIONES'!$B$9:$D$31,3,0)</f>
        <v>#N/A</v>
      </c>
      <c r="AB34" s="206" t="e">
        <f>Tabla3[[#This Row],[Monto Reinscripción]]*Tabla3[[#This Row],[% Beca Reinscripción 16-17]]</f>
        <v>#N/A</v>
      </c>
      <c r="AC34" s="206"/>
      <c r="AD34" s="206" t="e">
        <f>Tabla3[[#This Row],[Monto Canasta]]*Tabla3[[#This Row],[% Beca Canasta 16-17]]</f>
        <v>#N/A</v>
      </c>
      <c r="AE34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34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34" s="209" t="e">
        <f>VLOOKUP(Tabla3[[#This Row],[Nombre del Alumno]],[2]!Tabla1[[Alumno]:[Cuenta Ciclos]],2,0)</f>
        <v>#REF!</v>
      </c>
      <c r="AH34" s="210" t="s">
        <v>404</v>
      </c>
      <c r="AI34" s="211" t="s">
        <v>332</v>
      </c>
      <c r="AJ34" s="206" t="e">
        <f>VLOOKUP(Tabla3[[#This Row],[Grado 17-18]],[2]Cuotas!$H:$L,2,0)</f>
        <v>#N/A</v>
      </c>
      <c r="AK34" s="206" t="e">
        <f>VLOOKUP(Tabla3[[#This Row],[Grado 17-18]],[2]Cuotas!$H:$L,3,0)</f>
        <v>#N/A</v>
      </c>
      <c r="AL34" s="206" t="e">
        <f>VLOOKUP(Tabla3[[#This Row],[Grado 17-18]],[2]Cuotas!$H:$L,4,0)</f>
        <v>#N/A</v>
      </c>
      <c r="AM34" s="229">
        <v>0.4</v>
      </c>
      <c r="AN34" s="213">
        <v>0.4</v>
      </c>
      <c r="AO34" s="206" t="e">
        <f>Tabla3[[#This Row],[Monto Colegiatura ]]*Tabla3[[#This Row],[% AutorizadoBeca Colegiatura 17-18]]</f>
        <v>#N/A</v>
      </c>
      <c r="AP34" s="208"/>
      <c r="AQ34" s="206" t="e">
        <f>Tabla3[[#This Row],[Monto Colegiatura ]]*Tabla3[[#This Row],[% Beca Prestacion 17-18]]</f>
        <v>#N/A</v>
      </c>
      <c r="AR34" s="208"/>
      <c r="AS34" s="206" t="e">
        <f>Tabla3[[#This Row],[Canasta]]*Tabla3[[#This Row],[% Beca Canasta 17-18]]</f>
        <v>#N/A</v>
      </c>
      <c r="AT34" s="208"/>
      <c r="AU34" s="214">
        <v>0</v>
      </c>
      <c r="AV34" s="206" t="e">
        <f>Tabla3[[#This Row],[Cantidad Beca Comunidad Colegiatura 17-18]]*25%</f>
        <v>#N/A</v>
      </c>
      <c r="AW34" s="206"/>
      <c r="AX34" s="215"/>
      <c r="AY34" s="206" t="e">
        <f>Tabla3[[#This Row],[Monto Colegiatura ]]*Tabla3[[#This Row],[% Beca UNAM 17-18]]</f>
        <v>#N/A</v>
      </c>
      <c r="AZ34" s="206"/>
      <c r="BA34" s="216">
        <f>3200*Tabla3[[#This Row],[% Beca Reinscripciones UNAM 17-18]]</f>
        <v>0</v>
      </c>
      <c r="BB34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34" s="231">
        <v>0.5</v>
      </c>
      <c r="BD34" s="218" t="e">
        <f>Tabla3[[#This Row],[Monto Colegiatura ]]*Tabla3[[#This Row],[% Beca Comunidad 17-18]]</f>
        <v>#N/A</v>
      </c>
      <c r="BE34" s="218" t="e">
        <f>Tabla3[[#This Row],[Cantidad Beca Comunidad Colegiatura 17-18]]*75%</f>
        <v>#N/A</v>
      </c>
      <c r="BF34" s="219"/>
      <c r="BG34" s="218" t="e">
        <f>Tabla3[[#This Row],[Reinscripción]]*Tabla3[[#This Row],[% Beca Reinscripciones Comunidad 18-19]]</f>
        <v>#N/A</v>
      </c>
      <c r="BH34" s="218" t="e">
        <f>Tabla3[[#This Row],[Cantidad Beca Reinscripciones Comunidad 18-19]]*70%</f>
        <v>#N/A</v>
      </c>
      <c r="BI34" s="216" t="e">
        <f>Tabla3[[#This Row],[75% Cantidad Beca Comunidad Colegiatura 17-18]]+Tabla3[[#This Row],[70% Cantidad Beca Reinscripciones 18-19]]</f>
        <v>#N/A</v>
      </c>
      <c r="BJ34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34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34" s="220"/>
      <c r="BM34" s="229"/>
      <c r="BN34" s="221" t="s">
        <v>405</v>
      </c>
      <c r="BO34" s="107"/>
      <c r="BP34" s="107">
        <f>Tabla3[[#This Row],[% AutorizadoBeca Colegiatura 17-18]]+Tabla3[[#This Row],[% Beca Prestacion 17-18]]+Tabla3[[#This Row],[% Beca UNAM 17-18]]</f>
        <v>0.4</v>
      </c>
      <c r="BQ34" s="108">
        <f t="shared" si="0"/>
        <v>458.8</v>
      </c>
      <c r="BR34" s="107">
        <f>Tabla3[[#This Row],[% Beca Comunidad 17-18]]</f>
        <v>0.5</v>
      </c>
      <c r="BS34" s="108">
        <f t="shared" si="1"/>
        <v>573.5</v>
      </c>
      <c r="BT34" s="108">
        <f t="shared" si="2"/>
        <v>143.375</v>
      </c>
      <c r="BU34" s="108">
        <f>Tabla3[[#This Row],[Monto3]]*75%</f>
        <v>430.125</v>
      </c>
      <c r="BV34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34" s="107" t="e">
        <f>VLOOKUP(Tabla3[[#This Row],[Nombre del Alumno]],'[3]BECAS COLEGIATURAS'!$I:$N,6,0)</f>
        <v>#N/A</v>
      </c>
      <c r="BX34" s="107" t="e">
        <f>VLOOKUP(Tabla3[[#This Row],[Nombre del Alumno]],[1]!Tabla1[[NOMBRE DEL ALUMNO]:[MATRIZ]],6,0)</f>
        <v>#REF!</v>
      </c>
      <c r="BY34" s="107" t="e">
        <f>VLOOKUP(Tabla3[[#This Row],[Nombre del Alumno]],'[3]BECAS COLEGIATURAS'!$I:$L,4,0)</f>
        <v>#N/A</v>
      </c>
      <c r="BZ34" s="108" t="e">
        <f>VLOOKUP(Tabla3[[#This Row],[Grado 18-19]],[2]Cuotas!$Q:$U,2,0)</f>
        <v>#N/A</v>
      </c>
      <c r="CA34" s="108" t="e">
        <f>VLOOKUP(Tabla3[[#This Row],[Grado 18-19]],[2]Cuotas!$Q:$U,3,0)</f>
        <v>#N/A</v>
      </c>
      <c r="CB34" s="108" t="e">
        <f>VLOOKUP(Tabla3[[#This Row],[Grado 18-19]],[2]Cuotas!$Q:$U,4,0)</f>
        <v>#N/A</v>
      </c>
      <c r="CC34" s="107">
        <v>40</v>
      </c>
      <c r="CD34" s="222"/>
      <c r="CE34" s="218" t="e">
        <f>Tabla3[[#This Row],[Monto Colegiatura 2018-2019]]*Tabla3[[#This Row],[% AutorizadoBeca Colegiatura 18-19]]</f>
        <v>#N/A</v>
      </c>
      <c r="CF34" s="223">
        <v>0.4</v>
      </c>
      <c r="CG34" s="218" t="e">
        <f>Tabla3[[#This Row],[Monto Colegiatura 2018-2019]]*Tabla3[[#This Row],[% Beca Prestacion 18-19]]</f>
        <v>#N/A</v>
      </c>
      <c r="CH34" s="223"/>
      <c r="CI34" s="218" t="e">
        <f>Tabla3[[#This Row],[Canasta 2018-2019]]*Tabla3[[#This Row],[% Beca Canasta 18-19]]</f>
        <v>#N/A</v>
      </c>
      <c r="CJ34" s="223" t="e">
        <f>VLOOKUP(Tabla3[[#This Row],[Nombre del Alumno]],'[3]BECAS REINSCRIPCIONES'!$B$8:$D$21,3,0)</f>
        <v>#N/A</v>
      </c>
      <c r="CK34" s="218" t="e">
        <f>Tabla3[[#This Row],[Reinscripción 2019-2020]]*Tabla3[[#This Row],[% Beca Reinscripciones 19-20]]</f>
        <v>#N/A</v>
      </c>
      <c r="CL34" s="218" t="e">
        <f>Tabla3[[#This Row],[Cantidad Beca Comunidad Colegiatura 18-19]]*25%</f>
        <v>#N/A</v>
      </c>
      <c r="CM34" s="224" t="e">
        <f>Tabla3[[#This Row],[Cantidad Beca Reinscripciones Comunidad 19-20]]*25%</f>
        <v>#N/A</v>
      </c>
      <c r="CN34" s="222"/>
      <c r="CO34" s="218" t="e">
        <f>Tabla3[[#This Row],[Monto Colegiatura 2018-2019]]*Tabla3[[#This Row],[% Beca UNAM 18-19]]</f>
        <v>#N/A</v>
      </c>
      <c r="CP34" s="225"/>
      <c r="CQ34" s="224">
        <f>3328*Tabla3[[#This Row],[% Beca Reinscripciones UNAM 18-19]]</f>
        <v>0</v>
      </c>
      <c r="CR34" s="226" t="e">
        <f>Tabla3[[#This Row],[Cantidad Beca Colegiatura 18-19]]+Tabla3[[#This Row],[Cantidad Beca Canasta 18-19]]+Tabla3[[#This Row],[Cantidad Beca Reinscripciones 19-20]]</f>
        <v>#N/A</v>
      </c>
      <c r="CS34" s="222">
        <v>0.5</v>
      </c>
      <c r="CT34" s="218" t="e">
        <f>Tabla3[[#This Row],[Monto Colegiatura 2018-2019]]*Tabla3[[#This Row],[% Beca Comunidad 18-19]]</f>
        <v>#N/A</v>
      </c>
      <c r="CU34" s="218" t="e">
        <f>Tabla3[[#This Row],[Cantidad Beca Comunidad Colegiatura 18-19]]*75%</f>
        <v>#N/A</v>
      </c>
      <c r="CV34" s="223"/>
      <c r="CW34" s="218" t="e">
        <f>Tabla3[[#This Row],[Reinscripción 2019-2020]]*Tabla3[[#This Row],[% Beca Reinscripciones Comunidad 19-20]]</f>
        <v>#N/A</v>
      </c>
      <c r="CX34" s="218" t="e">
        <f>Tabla3[[#This Row],[Cantidad Beca Reinscripciones Comunidad 19-20]]*75%</f>
        <v>#N/A</v>
      </c>
      <c r="CY34" s="227" t="e">
        <f>Tabla3[[#This Row],[75% Cantidad Beca Comunidad Colegiatura 18-19]]+Tabla3[[#This Row],[75% Cantidad Beca Reinscripciones 19-20]]</f>
        <v>#N/A</v>
      </c>
      <c r="CZ34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34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34" s="108">
        <f>1440*(Tabla3[[#This Row],[% AutorizadoBeca Colegiatura 18-19]]+Tabla3[[#This Row],[% Beca Prestacion 18-19]]+Tabla3[[#This Row],[% Beca UNAM 18-19]]+Tabla3[[#This Row],[% Beca Comunidad 18-19]])</f>
        <v>1296</v>
      </c>
    </row>
    <row r="35" spans="2:106" ht="15" customHeight="1" x14ac:dyDescent="0.2">
      <c r="B35" s="107" t="s">
        <v>399</v>
      </c>
      <c r="C35" s="107" t="e">
        <f>VLOOKUP(Tabla3[[#This Row],[Nombre del Padre]],[1]!Tabla1[[PADRE]:[PADRE_CELULAR]],2,0)</f>
        <v>#REF!</v>
      </c>
      <c r="D35" s="107" t="e">
        <f>VLOOKUP(Tabla3[[#This Row],[Nombre del Padre]],[1]!Tabla1[[PADRE]:[PADRE_CELULAR]],3,0)</f>
        <v>#REF!</v>
      </c>
      <c r="E35" s="107" t="s">
        <v>400</v>
      </c>
      <c r="F35" s="107" t="e">
        <f>VLOOKUP(Tabla3[[#This Row],[Nombre de la Madre]],[1]!Tabla1[[MADRE]:[MADRE_TELEFONO]],2,0)</f>
        <v>#REF!</v>
      </c>
      <c r="G35" s="202" t="e">
        <f>VLOOKUP(Tabla3[[#This Row],[Nombre de la Madre]],[1]!Tabla1[[MADRE]:[MADRE_TELEFONO]],3,0)</f>
        <v>#REF!</v>
      </c>
      <c r="H35" s="228"/>
      <c r="I35" s="204">
        <v>1492</v>
      </c>
      <c r="J35" s="204" t="s">
        <v>401</v>
      </c>
      <c r="K35" s="204" t="s">
        <v>273</v>
      </c>
      <c r="L35" s="204" t="s">
        <v>406</v>
      </c>
      <c r="M35" s="205" t="s">
        <v>407</v>
      </c>
      <c r="N35" s="204" t="s">
        <v>291</v>
      </c>
      <c r="O35" s="206" t="e">
        <f>VLOOKUP(Tabla3[[#This Row],[Grado]],[2]Cuotas!$A:$E,2,0)</f>
        <v>#N/A</v>
      </c>
      <c r="P35" s="206" t="e">
        <f>VLOOKUP(Tabla3[[#This Row],[Grado]],[2]Cuotas!$A:$E,4,0)</f>
        <v>#N/A</v>
      </c>
      <c r="Q35" s="206" t="e">
        <f>VLOOKUP(Tabla3[[#This Row],[Grado]],[2]Cuotas!$A:$E,3,0)</f>
        <v>#N/A</v>
      </c>
      <c r="R35" s="207"/>
      <c r="S35" s="206" t="e">
        <f>Tabla3[[#This Row],[Monto Colegiatura]]*Tabla3[[#This Row],[% Beca Colegio 16-17]]</f>
        <v>#N/A</v>
      </c>
      <c r="T35" s="208">
        <v>0.4</v>
      </c>
      <c r="U35" s="206" t="e">
        <f>Tabla3[[#This Row],[Monto Colegiatura]]*Tabla3[[#This Row],[% Beca Prestación 16-17]]</f>
        <v>#N/A</v>
      </c>
      <c r="V35" s="208">
        <v>0.5</v>
      </c>
      <c r="W35" s="206" t="e">
        <f>Tabla3[[#This Row],[Monto Colegiatura]]*Tabla3[[#This Row],[% Beca Comunidad 16-17]]</f>
        <v>#N/A</v>
      </c>
      <c r="X35" s="206" t="e">
        <f>Tabla3[[#This Row],[Cantidad Beca Comunidad 16-17]]*25%</f>
        <v>#N/A</v>
      </c>
      <c r="Y35" s="206"/>
      <c r="Z35" s="206" t="e">
        <f>Tabla3[[#This Row],[Monto Colegiatura]]*Tabla3[[#This Row],[% Beca UNAM 16-17]]</f>
        <v>#N/A</v>
      </c>
      <c r="AA35" s="208" t="e">
        <f>VLOOKUP(Tabla3[[#This Row],[Nombre del Alumno]],'[4]BECAS REINSCRIPCIONES'!$B$9:$D$31,3,0)</f>
        <v>#N/A</v>
      </c>
      <c r="AB35" s="206" t="e">
        <f>Tabla3[[#This Row],[Monto Reinscripción]]*Tabla3[[#This Row],[% Beca Reinscripción 16-17]]</f>
        <v>#N/A</v>
      </c>
      <c r="AC35" s="206"/>
      <c r="AD35" s="206" t="e">
        <f>Tabla3[[#This Row],[Monto Canasta]]*Tabla3[[#This Row],[% Beca Canasta 16-17]]</f>
        <v>#N/A</v>
      </c>
      <c r="AE35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35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35" s="209" t="e">
        <f>VLOOKUP(Tabla3[[#This Row],[Nombre del Alumno]],[2]!Tabla1[[Alumno]:[Cuenta Ciclos]],2,0)</f>
        <v>#REF!</v>
      </c>
      <c r="AH35" s="210" t="s">
        <v>408</v>
      </c>
      <c r="AI35" s="211" t="s">
        <v>409</v>
      </c>
      <c r="AJ35" s="206" t="e">
        <f>VLOOKUP(Tabla3[[#This Row],[Grado 17-18]],[2]Cuotas!$H:$L,2,0)</f>
        <v>#N/A</v>
      </c>
      <c r="AK35" s="206" t="e">
        <f>VLOOKUP(Tabla3[[#This Row],[Grado 17-18]],[2]Cuotas!$H:$L,3,0)</f>
        <v>#N/A</v>
      </c>
      <c r="AL35" s="206" t="e">
        <f>VLOOKUP(Tabla3[[#This Row],[Grado 17-18]],[2]Cuotas!$H:$L,4,0)</f>
        <v>#N/A</v>
      </c>
      <c r="AM35" s="229">
        <v>0.4</v>
      </c>
      <c r="AN35" s="213">
        <v>0.4</v>
      </c>
      <c r="AO35" s="206" t="e">
        <f>Tabla3[[#This Row],[Monto Colegiatura ]]*Tabla3[[#This Row],[% AutorizadoBeca Colegiatura 17-18]]</f>
        <v>#N/A</v>
      </c>
      <c r="AP35" s="208"/>
      <c r="AQ35" s="206" t="e">
        <f>Tabla3[[#This Row],[Monto Colegiatura ]]*Tabla3[[#This Row],[% Beca Prestacion 17-18]]</f>
        <v>#N/A</v>
      </c>
      <c r="AR35" s="208"/>
      <c r="AS35" s="206" t="e">
        <f>Tabla3[[#This Row],[Canasta]]*Tabla3[[#This Row],[% Beca Canasta 17-18]]</f>
        <v>#N/A</v>
      </c>
      <c r="AT35" s="208"/>
      <c r="AU35" s="214">
        <v>0</v>
      </c>
      <c r="AV35" s="206" t="e">
        <f>Tabla3[[#This Row],[Cantidad Beca Comunidad Colegiatura 17-18]]*25%</f>
        <v>#N/A</v>
      </c>
      <c r="AW35" s="206"/>
      <c r="AX35" s="215"/>
      <c r="AY35" s="206" t="e">
        <f>Tabla3[[#This Row],[Monto Colegiatura ]]*Tabla3[[#This Row],[% Beca UNAM 17-18]]</f>
        <v>#N/A</v>
      </c>
      <c r="AZ35" s="206"/>
      <c r="BA35" s="216">
        <f>3200*Tabla3[[#This Row],[% Beca Reinscripciones UNAM 17-18]]</f>
        <v>0</v>
      </c>
      <c r="BB35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35" s="231">
        <v>0.5</v>
      </c>
      <c r="BD35" s="218" t="e">
        <f>Tabla3[[#This Row],[Monto Colegiatura ]]*Tabla3[[#This Row],[% Beca Comunidad 17-18]]</f>
        <v>#N/A</v>
      </c>
      <c r="BE35" s="218" t="e">
        <f>Tabla3[[#This Row],[Cantidad Beca Comunidad Colegiatura 17-18]]*75%</f>
        <v>#N/A</v>
      </c>
      <c r="BF35" s="219"/>
      <c r="BG35" s="218" t="e">
        <f>Tabla3[[#This Row],[Reinscripción]]*Tabla3[[#This Row],[% Beca Reinscripciones Comunidad 18-19]]</f>
        <v>#N/A</v>
      </c>
      <c r="BH35" s="218" t="e">
        <f>Tabla3[[#This Row],[Cantidad Beca Reinscripciones Comunidad 18-19]]*70%</f>
        <v>#N/A</v>
      </c>
      <c r="BI35" s="216" t="e">
        <f>Tabla3[[#This Row],[75% Cantidad Beca Comunidad Colegiatura 17-18]]+Tabla3[[#This Row],[70% Cantidad Beca Reinscripciones 18-19]]</f>
        <v>#N/A</v>
      </c>
      <c r="BJ35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35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35" s="220"/>
      <c r="BM35" s="229"/>
      <c r="BN35" s="221"/>
      <c r="BO35" s="107"/>
      <c r="BP35" s="107">
        <f>Tabla3[[#This Row],[% AutorizadoBeca Colegiatura 17-18]]+Tabla3[[#This Row],[% Beca Prestacion 17-18]]+Tabla3[[#This Row],[% Beca UNAM 17-18]]</f>
        <v>0.4</v>
      </c>
      <c r="BQ35" s="108">
        <f t="shared" si="0"/>
        <v>458.8</v>
      </c>
      <c r="BR35" s="107">
        <f>Tabla3[[#This Row],[% Beca Comunidad 17-18]]</f>
        <v>0.5</v>
      </c>
      <c r="BS35" s="108">
        <f t="shared" si="1"/>
        <v>573.5</v>
      </c>
      <c r="BT35" s="108">
        <f t="shared" si="2"/>
        <v>143.375</v>
      </c>
      <c r="BU35" s="108">
        <f>Tabla3[[#This Row],[Monto3]]*75%</f>
        <v>430.125</v>
      </c>
      <c r="BV35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35" s="107" t="e">
        <f>VLOOKUP(Tabla3[[#This Row],[Nombre del Alumno]],'[3]BECAS COLEGIATURAS'!$I:$N,6,0)</f>
        <v>#N/A</v>
      </c>
      <c r="BX35" s="107" t="e">
        <f>VLOOKUP(Tabla3[[#This Row],[Nombre del Alumno]],[1]!Tabla1[[NOMBRE DEL ALUMNO]:[MATRIZ]],6,0)</f>
        <v>#REF!</v>
      </c>
      <c r="BY35" s="107" t="e">
        <f>VLOOKUP(Tabla3[[#This Row],[Nombre del Alumno]],'[3]BECAS COLEGIATURAS'!$I:$L,4,0)</f>
        <v>#N/A</v>
      </c>
      <c r="BZ35" s="108" t="e">
        <f>VLOOKUP(Tabla3[[#This Row],[Grado 18-19]],[2]Cuotas!$Q:$U,2,0)</f>
        <v>#N/A</v>
      </c>
      <c r="CA35" s="108" t="e">
        <f>VLOOKUP(Tabla3[[#This Row],[Grado 18-19]],[2]Cuotas!$Q:$U,3,0)</f>
        <v>#N/A</v>
      </c>
      <c r="CB35" s="108" t="e">
        <f>VLOOKUP(Tabla3[[#This Row],[Grado 18-19]],[2]Cuotas!$Q:$U,4,0)</f>
        <v>#N/A</v>
      </c>
      <c r="CC35" s="107">
        <v>40</v>
      </c>
      <c r="CD35" s="222"/>
      <c r="CE35" s="218" t="e">
        <f>Tabla3[[#This Row],[Monto Colegiatura 2018-2019]]*Tabla3[[#This Row],[% AutorizadoBeca Colegiatura 18-19]]</f>
        <v>#N/A</v>
      </c>
      <c r="CF35" s="223">
        <v>0.4</v>
      </c>
      <c r="CG35" s="218" t="e">
        <f>Tabla3[[#This Row],[Monto Colegiatura 2018-2019]]*Tabla3[[#This Row],[% Beca Prestacion 18-19]]</f>
        <v>#N/A</v>
      </c>
      <c r="CH35" s="223"/>
      <c r="CI35" s="218" t="e">
        <f>Tabla3[[#This Row],[Canasta 2018-2019]]*Tabla3[[#This Row],[% Beca Canasta 18-19]]</f>
        <v>#N/A</v>
      </c>
      <c r="CJ35" s="223"/>
      <c r="CK35" s="218" t="e">
        <f>Tabla3[[#This Row],[Reinscripción 2019-2020]]*Tabla3[[#This Row],[% Beca Reinscripciones 19-20]]</f>
        <v>#N/A</v>
      </c>
      <c r="CL35" s="218" t="e">
        <f>Tabla3[[#This Row],[Cantidad Beca Comunidad Colegiatura 18-19]]*25%</f>
        <v>#N/A</v>
      </c>
      <c r="CM35" s="224" t="e">
        <f>Tabla3[[#This Row],[Cantidad Beca Reinscripciones Comunidad 19-20]]*25%</f>
        <v>#N/A</v>
      </c>
      <c r="CN35" s="222"/>
      <c r="CO35" s="218" t="e">
        <f>Tabla3[[#This Row],[Monto Colegiatura 2018-2019]]*Tabla3[[#This Row],[% Beca UNAM 18-19]]</f>
        <v>#N/A</v>
      </c>
      <c r="CP35" s="225"/>
      <c r="CQ35" s="224">
        <f>3328*Tabla3[[#This Row],[% Beca Reinscripciones UNAM 18-19]]</f>
        <v>0</v>
      </c>
      <c r="CR35" s="226" t="e">
        <f>Tabla3[[#This Row],[Cantidad Beca Colegiatura 18-19]]+Tabla3[[#This Row],[Cantidad Beca Canasta 18-19]]+Tabla3[[#This Row],[Cantidad Beca Reinscripciones 19-20]]</f>
        <v>#N/A</v>
      </c>
      <c r="CS35" s="222">
        <v>0.5</v>
      </c>
      <c r="CT35" s="218" t="e">
        <f>Tabla3[[#This Row],[Monto Colegiatura 2018-2019]]*Tabla3[[#This Row],[% Beca Comunidad 18-19]]</f>
        <v>#N/A</v>
      </c>
      <c r="CU35" s="218" t="e">
        <f>Tabla3[[#This Row],[Cantidad Beca Comunidad Colegiatura 18-19]]*75%</f>
        <v>#N/A</v>
      </c>
      <c r="CV35" s="223"/>
      <c r="CW35" s="218" t="e">
        <f>Tabla3[[#This Row],[Reinscripción 2019-2020]]*Tabla3[[#This Row],[% Beca Reinscripciones Comunidad 19-20]]</f>
        <v>#N/A</v>
      </c>
      <c r="CX35" s="218" t="e">
        <f>Tabla3[[#This Row],[Cantidad Beca Reinscripciones Comunidad 19-20]]*75%</f>
        <v>#N/A</v>
      </c>
      <c r="CY35" s="227" t="e">
        <f>Tabla3[[#This Row],[75% Cantidad Beca Comunidad Colegiatura 18-19]]+Tabla3[[#This Row],[75% Cantidad Beca Reinscripciones 19-20]]</f>
        <v>#N/A</v>
      </c>
      <c r="CZ35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35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35" s="108">
        <f>1440*(Tabla3[[#This Row],[% AutorizadoBeca Colegiatura 18-19]]+Tabla3[[#This Row],[% Beca Prestacion 18-19]]+Tabla3[[#This Row],[% Beca UNAM 18-19]]+Tabla3[[#This Row],[% Beca Comunidad 18-19]])</f>
        <v>1296</v>
      </c>
    </row>
    <row r="36" spans="2:106" ht="15" customHeight="1" x14ac:dyDescent="0.2">
      <c r="B36" s="107" t="s">
        <v>410</v>
      </c>
      <c r="C36" s="107" t="e">
        <f>VLOOKUP(Tabla3[[#This Row],[Nombre del Padre]],[1]!Tabla1[[PADRE]:[PADRE_CELULAR]],2,0)</f>
        <v>#REF!</v>
      </c>
      <c r="D36" s="107" t="e">
        <f>VLOOKUP(Tabla3[[#This Row],[Nombre del Padre]],[1]!Tabla1[[PADRE]:[PADRE_CELULAR]],3,0)</f>
        <v>#REF!</v>
      </c>
      <c r="E36" s="107" t="s">
        <v>411</v>
      </c>
      <c r="F36" s="107" t="e">
        <f>VLOOKUP(Tabla3[[#This Row],[Nombre de la Madre]],[1]!Tabla1[[MADRE]:[MADRE_TELEFONO]],2,0)</f>
        <v>#REF!</v>
      </c>
      <c r="G36" s="202" t="e">
        <f>VLOOKUP(Tabla3[[#This Row],[Nombre de la Madre]],[1]!Tabla1[[MADRE]:[MADRE_TELEFONO]],3,0)</f>
        <v>#REF!</v>
      </c>
      <c r="H36" s="228">
        <v>24</v>
      </c>
      <c r="I36" s="204">
        <v>1020</v>
      </c>
      <c r="J36" s="204" t="s">
        <v>412</v>
      </c>
      <c r="K36" s="204" t="s">
        <v>273</v>
      </c>
      <c r="L36" s="204" t="s">
        <v>413</v>
      </c>
      <c r="M36" s="205" t="s">
        <v>414</v>
      </c>
      <c r="N36" s="204" t="s">
        <v>332</v>
      </c>
      <c r="O36" s="206" t="e">
        <f>VLOOKUP(Tabla3[[#This Row],[Grado]],[2]Cuotas!$A:$E,2,0)</f>
        <v>#N/A</v>
      </c>
      <c r="P36" s="206" t="e">
        <f>VLOOKUP(Tabla3[[#This Row],[Grado]],[2]Cuotas!$A:$E,4,0)</f>
        <v>#N/A</v>
      </c>
      <c r="Q36" s="206" t="e">
        <f>VLOOKUP(Tabla3[[#This Row],[Grado]],[2]Cuotas!$A:$E,3,0)</f>
        <v>#N/A</v>
      </c>
      <c r="R36" s="207">
        <v>0.3</v>
      </c>
      <c r="S36" s="206" t="e">
        <f>Tabla3[[#This Row],[Monto Colegiatura]]*Tabla3[[#This Row],[% Beca Colegio 16-17]]</f>
        <v>#N/A</v>
      </c>
      <c r="T36" s="206"/>
      <c r="U36" s="206" t="e">
        <f>Tabla3[[#This Row],[Monto Colegiatura]]*Tabla3[[#This Row],[% Beca Prestación 16-17]]</f>
        <v>#N/A</v>
      </c>
      <c r="V36" s="208">
        <v>0.7</v>
      </c>
      <c r="W36" s="206" t="e">
        <f>Tabla3[[#This Row],[Monto Colegiatura]]*Tabla3[[#This Row],[% Beca Comunidad 16-17]]</f>
        <v>#N/A</v>
      </c>
      <c r="X36" s="206" t="e">
        <f>Tabla3[[#This Row],[Cantidad Beca Comunidad 16-17]]*25%</f>
        <v>#N/A</v>
      </c>
      <c r="Y36" s="206"/>
      <c r="Z36" s="206" t="e">
        <f>Tabla3[[#This Row],[Monto Colegiatura]]*Tabla3[[#This Row],[% Beca UNAM 16-17]]</f>
        <v>#N/A</v>
      </c>
      <c r="AA36" s="208"/>
      <c r="AB36" s="206" t="e">
        <f>Tabla3[[#This Row],[Monto Reinscripción]]*Tabla3[[#This Row],[% Beca Reinscripción 16-17]]</f>
        <v>#N/A</v>
      </c>
      <c r="AC36" s="206"/>
      <c r="AD36" s="206" t="e">
        <f>Tabla3[[#This Row],[Monto Canasta]]*Tabla3[[#This Row],[% Beca Canasta 16-17]]</f>
        <v>#N/A</v>
      </c>
      <c r="AE36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36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36" s="209" t="e">
        <f>VLOOKUP(Tabla3[[#This Row],[Nombre del Alumno]],[2]!Tabla1[[Alumno]:[Cuenta Ciclos]],2,0)</f>
        <v>#REF!</v>
      </c>
      <c r="AH36" s="210" t="s">
        <v>415</v>
      </c>
      <c r="AI36" s="211" t="s">
        <v>336</v>
      </c>
      <c r="AJ36" s="206" t="e">
        <f>VLOOKUP(Tabla3[[#This Row],[Grado 17-18]],[2]Cuotas!$H:$L,2,0)</f>
        <v>#N/A</v>
      </c>
      <c r="AK36" s="206" t="e">
        <f>VLOOKUP(Tabla3[[#This Row],[Grado 17-18]],[2]Cuotas!$H:$L,3,0)</f>
        <v>#N/A</v>
      </c>
      <c r="AL36" s="206" t="e">
        <f>VLOOKUP(Tabla3[[#This Row],[Grado 17-18]],[2]Cuotas!$H:$L,4,0)</f>
        <v>#N/A</v>
      </c>
      <c r="AM36" s="229">
        <v>0.3</v>
      </c>
      <c r="AN36" s="213">
        <v>0.3</v>
      </c>
      <c r="AO36" s="206" t="e">
        <f>Tabla3[[#This Row],[Monto Colegiatura ]]*Tabla3[[#This Row],[% AutorizadoBeca Colegiatura 17-18]]</f>
        <v>#N/A</v>
      </c>
      <c r="AP36" s="208"/>
      <c r="AQ36" s="206" t="e">
        <f>Tabla3[[#This Row],[Monto Colegiatura ]]*Tabla3[[#This Row],[% Beca Prestacion 17-18]]</f>
        <v>#N/A</v>
      </c>
      <c r="AR36" s="208"/>
      <c r="AS36" s="206" t="e">
        <f>Tabla3[[#This Row],[Canasta]]*Tabla3[[#This Row],[% Beca Canasta 17-18]]</f>
        <v>#N/A</v>
      </c>
      <c r="AT36" s="208"/>
      <c r="AU36" s="214">
        <v>0</v>
      </c>
      <c r="AV36" s="206" t="e">
        <f>Tabla3[[#This Row],[Cantidad Beca Comunidad Colegiatura 17-18]]*25%</f>
        <v>#N/A</v>
      </c>
      <c r="AW36" s="206"/>
      <c r="AX36" s="215"/>
      <c r="AY36" s="206" t="e">
        <f>Tabla3[[#This Row],[Monto Colegiatura ]]*Tabla3[[#This Row],[% Beca UNAM 17-18]]</f>
        <v>#N/A</v>
      </c>
      <c r="AZ36" s="206"/>
      <c r="BA36" s="216">
        <f>3200*Tabla3[[#This Row],[% Beca Reinscripciones UNAM 17-18]]</f>
        <v>0</v>
      </c>
      <c r="BB36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36" s="231">
        <v>0.7</v>
      </c>
      <c r="BD36" s="218" t="e">
        <f>Tabla3[[#This Row],[Monto Colegiatura ]]*Tabla3[[#This Row],[% Beca Comunidad 17-18]]</f>
        <v>#N/A</v>
      </c>
      <c r="BE36" s="218" t="e">
        <f>Tabla3[[#This Row],[Cantidad Beca Comunidad Colegiatura 17-18]]*75%</f>
        <v>#N/A</v>
      </c>
      <c r="BF36" s="219"/>
      <c r="BG36" s="218" t="e">
        <f>Tabla3[[#This Row],[Reinscripción]]*Tabla3[[#This Row],[% Beca Reinscripciones Comunidad 18-19]]</f>
        <v>#N/A</v>
      </c>
      <c r="BH36" s="218" t="e">
        <f>Tabla3[[#This Row],[Cantidad Beca Reinscripciones Comunidad 18-19]]*70%</f>
        <v>#N/A</v>
      </c>
      <c r="BI36" s="216" t="e">
        <f>Tabla3[[#This Row],[75% Cantidad Beca Comunidad Colegiatura 17-18]]+Tabla3[[#This Row],[70% Cantidad Beca Reinscripciones 18-19]]</f>
        <v>#N/A</v>
      </c>
      <c r="BJ36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36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36" s="220"/>
      <c r="BM36" s="229"/>
      <c r="BN36" s="221" t="s">
        <v>416</v>
      </c>
      <c r="BO36" s="107"/>
      <c r="BP36" s="107">
        <f>Tabla3[[#This Row],[% AutorizadoBeca Colegiatura 17-18]]+Tabla3[[#This Row],[% Beca Prestacion 17-18]]+Tabla3[[#This Row],[% Beca UNAM 17-18]]</f>
        <v>0.3</v>
      </c>
      <c r="BQ36" s="108">
        <f t="shared" si="0"/>
        <v>344.09999999999997</v>
      </c>
      <c r="BR36" s="107">
        <f>Tabla3[[#This Row],[% Beca Comunidad 17-18]]</f>
        <v>0.7</v>
      </c>
      <c r="BS36" s="108">
        <f t="shared" si="1"/>
        <v>802.9</v>
      </c>
      <c r="BT36" s="108">
        <f t="shared" si="2"/>
        <v>200.72499999999999</v>
      </c>
      <c r="BU36" s="108">
        <f>Tabla3[[#This Row],[Monto3]]*75%</f>
        <v>602.17499999999995</v>
      </c>
      <c r="BV36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36" s="107" t="e">
        <f>VLOOKUP(Tabla3[[#This Row],[Nombre del Alumno]],'[3]BECAS COLEGIATURAS'!$I:$N,6,0)</f>
        <v>#N/A</v>
      </c>
      <c r="BX36" s="107" t="e">
        <f>VLOOKUP(Tabla3[[#This Row],[Nombre del Alumno]],[1]!Tabla1[[NOMBRE DEL ALUMNO]:[MATRIZ]],6,0)</f>
        <v>#REF!</v>
      </c>
      <c r="BY36" s="107" t="e">
        <f>VLOOKUP(Tabla3[[#This Row],[Nombre del Alumno]],'[3]BECAS COLEGIATURAS'!$I:$L,4,0)</f>
        <v>#N/A</v>
      </c>
      <c r="BZ36" s="108" t="e">
        <f>VLOOKUP(Tabla3[[#This Row],[Grado 18-19]],[2]Cuotas!$Q:$U,2,0)</f>
        <v>#N/A</v>
      </c>
      <c r="CA36" s="108" t="e">
        <f>VLOOKUP(Tabla3[[#This Row],[Grado 18-19]],[2]Cuotas!$Q:$U,3,0)</f>
        <v>#N/A</v>
      </c>
      <c r="CB36" s="108" t="e">
        <f>VLOOKUP(Tabla3[[#This Row],[Grado 18-19]],[2]Cuotas!$Q:$U,4,0)</f>
        <v>#N/A</v>
      </c>
      <c r="CC36" s="107">
        <v>30</v>
      </c>
      <c r="CD36" s="222">
        <v>0.3</v>
      </c>
      <c r="CE36" s="218" t="e">
        <f>Tabla3[[#This Row],[Monto Colegiatura 2018-2019]]*Tabla3[[#This Row],[% AutorizadoBeca Colegiatura 18-19]]</f>
        <v>#N/A</v>
      </c>
      <c r="CF36" s="223"/>
      <c r="CG36" s="218" t="e">
        <f>Tabla3[[#This Row],[Monto Colegiatura 2018-2019]]*Tabla3[[#This Row],[% Beca Prestacion 18-19]]</f>
        <v>#N/A</v>
      </c>
      <c r="CH36" s="223"/>
      <c r="CI36" s="218" t="e">
        <f>Tabla3[[#This Row],[Canasta 2018-2019]]*Tabla3[[#This Row],[% Beca Canasta 18-19]]</f>
        <v>#N/A</v>
      </c>
      <c r="CJ36" s="223"/>
      <c r="CK36" s="218" t="e">
        <f>Tabla3[[#This Row],[Reinscripción 2019-2020]]*Tabla3[[#This Row],[% Beca Reinscripciones 19-20]]</f>
        <v>#N/A</v>
      </c>
      <c r="CL36" s="218" t="e">
        <f>Tabla3[[#This Row],[Cantidad Beca Comunidad Colegiatura 18-19]]*25%</f>
        <v>#N/A</v>
      </c>
      <c r="CM36" s="224" t="e">
        <f>Tabla3[[#This Row],[Cantidad Beca Reinscripciones Comunidad 19-20]]*25%</f>
        <v>#N/A</v>
      </c>
      <c r="CN36" s="222"/>
      <c r="CO36" s="218" t="e">
        <f>Tabla3[[#This Row],[Monto Colegiatura 2018-2019]]*Tabla3[[#This Row],[% Beca UNAM 18-19]]</f>
        <v>#N/A</v>
      </c>
      <c r="CP36" s="225"/>
      <c r="CQ36" s="224">
        <f>3328*Tabla3[[#This Row],[% Beca Reinscripciones UNAM 18-19]]</f>
        <v>0</v>
      </c>
      <c r="CR36" s="226" t="e">
        <f>Tabla3[[#This Row],[Cantidad Beca Colegiatura 18-19]]+Tabla3[[#This Row],[Cantidad Beca Canasta 18-19]]+Tabla3[[#This Row],[Cantidad Beca Reinscripciones 19-20]]</f>
        <v>#N/A</v>
      </c>
      <c r="CS36" s="222">
        <v>0.7</v>
      </c>
      <c r="CT36" s="218" t="e">
        <f>Tabla3[[#This Row],[Monto Colegiatura 2018-2019]]*Tabla3[[#This Row],[% Beca Comunidad 18-19]]</f>
        <v>#N/A</v>
      </c>
      <c r="CU36" s="218" t="e">
        <f>Tabla3[[#This Row],[Cantidad Beca Comunidad Colegiatura 18-19]]*75%</f>
        <v>#N/A</v>
      </c>
      <c r="CV36" s="223"/>
      <c r="CW36" s="218" t="e">
        <f>Tabla3[[#This Row],[Reinscripción 2019-2020]]*Tabla3[[#This Row],[% Beca Reinscripciones Comunidad 19-20]]</f>
        <v>#N/A</v>
      </c>
      <c r="CX36" s="218" t="e">
        <f>Tabla3[[#This Row],[Cantidad Beca Reinscripciones Comunidad 19-20]]*75%</f>
        <v>#N/A</v>
      </c>
      <c r="CY36" s="227" t="e">
        <f>Tabla3[[#This Row],[75% Cantidad Beca Comunidad Colegiatura 18-19]]+Tabla3[[#This Row],[75% Cantidad Beca Reinscripciones 19-20]]</f>
        <v>#N/A</v>
      </c>
      <c r="CZ36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36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36" s="108">
        <f>1440*(Tabla3[[#This Row],[% AutorizadoBeca Colegiatura 18-19]]+Tabla3[[#This Row],[% Beca Prestacion 18-19]]+Tabla3[[#This Row],[% Beca UNAM 18-19]]+Tabla3[[#This Row],[% Beca Comunidad 18-19]])</f>
        <v>1440</v>
      </c>
    </row>
    <row r="37" spans="2:106" ht="15" customHeight="1" x14ac:dyDescent="0.2">
      <c r="B37" s="107" t="s">
        <v>417</v>
      </c>
      <c r="C37" s="107" t="e">
        <f>VLOOKUP(Tabla3[[#This Row],[Nombre del Padre]],[1]!Tabla1[[PADRE]:[PADRE_CELULAR]],2,0)</f>
        <v>#REF!</v>
      </c>
      <c r="D37" s="107" t="e">
        <f>VLOOKUP(Tabla3[[#This Row],[Nombre del Padre]],[1]!Tabla1[[PADRE]:[PADRE_CELULAR]],3,0)</f>
        <v>#REF!</v>
      </c>
      <c r="E37" s="107" t="s">
        <v>418</v>
      </c>
      <c r="F37" s="107" t="e">
        <f>VLOOKUP(Tabla3[[#This Row],[Nombre de la Madre]],[1]!Tabla1[[MADRE]:[MADRE_TELEFONO]],2,0)</f>
        <v>#REF!</v>
      </c>
      <c r="G37" s="202" t="e">
        <f>VLOOKUP(Tabla3[[#This Row],[Nombre de la Madre]],[1]!Tabla1[[MADRE]:[MADRE_TELEFONO]],3,0)</f>
        <v>#REF!</v>
      </c>
      <c r="H37" s="228">
        <v>25</v>
      </c>
      <c r="I37" s="204">
        <v>1913</v>
      </c>
      <c r="J37" s="204" t="s">
        <v>419</v>
      </c>
      <c r="K37" s="204" t="s">
        <v>420</v>
      </c>
      <c r="L37" s="204" t="s">
        <v>49</v>
      </c>
      <c r="M37" s="205"/>
      <c r="N37" s="204"/>
      <c r="O37" s="206"/>
      <c r="P37" s="206"/>
      <c r="Q37" s="206"/>
      <c r="R37" s="207"/>
      <c r="S37" s="206"/>
      <c r="T37" s="206"/>
      <c r="U37" s="206"/>
      <c r="V37" s="208"/>
      <c r="W37" s="206"/>
      <c r="X37" s="206"/>
      <c r="Y37" s="206"/>
      <c r="Z37" s="206"/>
      <c r="AA37" s="208"/>
      <c r="AB37" s="206"/>
      <c r="AC37" s="206"/>
      <c r="AD37" s="206"/>
      <c r="AE37" s="206"/>
      <c r="AF37" s="206"/>
      <c r="AG37" s="232" t="s">
        <v>289</v>
      </c>
      <c r="AH37" s="210" t="s">
        <v>421</v>
      </c>
      <c r="AI37" s="211" t="s">
        <v>276</v>
      </c>
      <c r="AJ37" s="206" t="e">
        <f>VLOOKUP(Tabla3[[#This Row],[Grado 17-18]],[2]Cuotas!$H:$L,2,0)</f>
        <v>#N/A</v>
      </c>
      <c r="AK37" s="206" t="e">
        <f>VLOOKUP(Tabla3[[#This Row],[Grado 17-18]],[2]Cuotas!$H:$L,3,0)</f>
        <v>#N/A</v>
      </c>
      <c r="AL37" s="206" t="e">
        <f>VLOOKUP(Tabla3[[#This Row],[Grado 17-18]],[2]Cuotas!$H:$L,4,0)</f>
        <v>#N/A</v>
      </c>
      <c r="AM37" s="229">
        <v>1</v>
      </c>
      <c r="AN37" s="213">
        <v>1</v>
      </c>
      <c r="AO37" s="206" t="e">
        <f>Tabla3[[#This Row],[Monto Colegiatura ]]*Tabla3[[#This Row],[% AutorizadoBeca Colegiatura 17-18]]</f>
        <v>#N/A</v>
      </c>
      <c r="AP37" s="208"/>
      <c r="AQ37" s="206" t="e">
        <f>Tabla3[[#This Row],[Monto Colegiatura ]]*Tabla3[[#This Row],[% Beca Prestacion 17-18]]</f>
        <v>#N/A</v>
      </c>
      <c r="AR37" s="208"/>
      <c r="AS37" s="206" t="e">
        <f>Tabla3[[#This Row],[Canasta]]*Tabla3[[#This Row],[% Beca Canasta 17-18]]</f>
        <v>#N/A</v>
      </c>
      <c r="AT37" s="208">
        <v>1</v>
      </c>
      <c r="AU37" s="214" t="e">
        <f>Tabla3[[#This Row],[Reinscripción]]*Tabla3[[#This Row],[% Beca Reinscripciones 18-19]]</f>
        <v>#N/A</v>
      </c>
      <c r="AV37" s="206" t="e">
        <f>Tabla3[[#This Row],[Cantidad Beca Comunidad Colegiatura 17-18]]*25%</f>
        <v>#N/A</v>
      </c>
      <c r="AW37" s="206"/>
      <c r="AX37" s="215"/>
      <c r="AY37" s="206" t="e">
        <f>Tabla3[[#This Row],[Monto Colegiatura ]]*Tabla3[[#This Row],[% Beca UNAM 17-18]]</f>
        <v>#N/A</v>
      </c>
      <c r="AZ37" s="206"/>
      <c r="BA37" s="216">
        <f>3200*Tabla3[[#This Row],[% Beca Reinscripciones UNAM 17-18]]</f>
        <v>0</v>
      </c>
      <c r="BB37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37" s="217"/>
      <c r="BD37" s="218" t="e">
        <f>Tabla3[[#This Row],[Monto Colegiatura ]]*Tabla3[[#This Row],[% Beca Comunidad 17-18]]</f>
        <v>#N/A</v>
      </c>
      <c r="BE37" s="218" t="e">
        <f>Tabla3[[#This Row],[Cantidad Beca Comunidad Colegiatura 17-18]]*75%</f>
        <v>#N/A</v>
      </c>
      <c r="BF37" s="219"/>
      <c r="BG37" s="218" t="e">
        <f>Tabla3[[#This Row],[Reinscripción]]*Tabla3[[#This Row],[% Beca Reinscripciones Comunidad 18-19]]</f>
        <v>#N/A</v>
      </c>
      <c r="BH37" s="218" t="e">
        <f>Tabla3[[#This Row],[Cantidad Beca Reinscripciones Comunidad 18-19]]*70%</f>
        <v>#N/A</v>
      </c>
      <c r="BI37" s="216" t="e">
        <f>Tabla3[[#This Row],[75% Cantidad Beca Comunidad Colegiatura 17-18]]+Tabla3[[#This Row],[70% Cantidad Beca Reinscripciones 18-19]]</f>
        <v>#N/A</v>
      </c>
      <c r="BJ37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37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37" s="206"/>
      <c r="BM37" s="204" t="s">
        <v>422</v>
      </c>
      <c r="BN37" s="221"/>
      <c r="BO37" s="107"/>
      <c r="BP37" s="107">
        <f>Tabla3[[#This Row],[% AutorizadoBeca Colegiatura 17-18]]+Tabla3[[#This Row],[% Beca Prestacion 17-18]]+Tabla3[[#This Row],[% Beca UNAM 17-18]]</f>
        <v>1</v>
      </c>
      <c r="BQ37" s="108">
        <f t="shared" si="0"/>
        <v>1147</v>
      </c>
      <c r="BR37" s="107">
        <f>Tabla3[[#This Row],[% Beca Comunidad 17-18]]</f>
        <v>0</v>
      </c>
      <c r="BS37" s="108">
        <f t="shared" si="1"/>
        <v>0</v>
      </c>
      <c r="BT37" s="108">
        <f t="shared" si="2"/>
        <v>0</v>
      </c>
      <c r="BU37" s="108">
        <f>Tabla3[[#This Row],[Monto3]]*75%</f>
        <v>0</v>
      </c>
      <c r="BV37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37" s="107" t="e">
        <f>VLOOKUP(Tabla3[[#This Row],[Nombre del Alumno]],'[3]BECAS COLEGIATURAS'!$I:$N,6,0)</f>
        <v>#N/A</v>
      </c>
      <c r="BX37" s="107" t="e">
        <f>VLOOKUP(Tabla3[[#This Row],[Nombre del Alumno]],[1]!Tabla1[[NOMBRE DEL ALUMNO]:[MATRIZ]],6,0)</f>
        <v>#REF!</v>
      </c>
      <c r="BY37" s="107" t="e">
        <f>VLOOKUP(Tabla3[[#This Row],[Nombre del Alumno]],'[3]BECAS COLEGIATURAS'!$I:$L,4,0)</f>
        <v>#N/A</v>
      </c>
      <c r="BZ37" s="108" t="e">
        <f>VLOOKUP(Tabla3[[#This Row],[Grado 18-19]],[2]Cuotas!$Q:$U,2,0)</f>
        <v>#N/A</v>
      </c>
      <c r="CA37" s="108" t="e">
        <f>VLOOKUP(Tabla3[[#This Row],[Grado 18-19]],[2]Cuotas!$Q:$U,3,0)</f>
        <v>#N/A</v>
      </c>
      <c r="CB37" s="108" t="e">
        <f>VLOOKUP(Tabla3[[#This Row],[Grado 18-19]],[2]Cuotas!$Q:$U,4,0)</f>
        <v>#N/A</v>
      </c>
      <c r="CC37" s="107">
        <v>100</v>
      </c>
      <c r="CD37" s="222">
        <v>1</v>
      </c>
      <c r="CE37" s="218" t="e">
        <f>Tabla3[[#This Row],[Monto Colegiatura 2018-2019]]*Tabla3[[#This Row],[% AutorizadoBeca Colegiatura 18-19]]</f>
        <v>#N/A</v>
      </c>
      <c r="CF37" s="223"/>
      <c r="CG37" s="218" t="e">
        <f>Tabla3[[#This Row],[Monto Colegiatura 2018-2019]]*Tabla3[[#This Row],[% Beca Prestacion 18-19]]</f>
        <v>#N/A</v>
      </c>
      <c r="CH37" s="223"/>
      <c r="CI37" s="218" t="e">
        <f>Tabla3[[#This Row],[Canasta 2018-2019]]*Tabla3[[#This Row],[% Beca Canasta 18-19]]</f>
        <v>#N/A</v>
      </c>
      <c r="CJ37" s="223" t="e">
        <f>VLOOKUP(Tabla3[[#This Row],[Nombre del Alumno]],'[3]BECAS REINSCRIPCIONES'!$B$8:$D$21,3,0)</f>
        <v>#N/A</v>
      </c>
      <c r="CK37" s="218" t="e">
        <f>Tabla3[[#This Row],[Reinscripción 2019-2020]]*Tabla3[[#This Row],[% Beca Reinscripciones 19-20]]</f>
        <v>#N/A</v>
      </c>
      <c r="CL37" s="218" t="e">
        <f>Tabla3[[#This Row],[Cantidad Beca Comunidad Colegiatura 18-19]]*25%</f>
        <v>#N/A</v>
      </c>
      <c r="CM37" s="224" t="e">
        <f>Tabla3[[#This Row],[Cantidad Beca Reinscripciones Comunidad 19-20]]*25%</f>
        <v>#N/A</v>
      </c>
      <c r="CN37" s="222"/>
      <c r="CO37" s="218" t="e">
        <f>Tabla3[[#This Row],[Monto Colegiatura 2018-2019]]*Tabla3[[#This Row],[% Beca UNAM 18-19]]</f>
        <v>#N/A</v>
      </c>
      <c r="CP37" s="225"/>
      <c r="CQ37" s="224">
        <f>3328*Tabla3[[#This Row],[% Beca Reinscripciones UNAM 18-19]]</f>
        <v>0</v>
      </c>
      <c r="CR37" s="226" t="e">
        <f>Tabla3[[#This Row],[Cantidad Beca Colegiatura 18-19]]+Tabla3[[#This Row],[Cantidad Beca Canasta 18-19]]+Tabla3[[#This Row],[Cantidad Beca Reinscripciones 19-20]]</f>
        <v>#N/A</v>
      </c>
      <c r="CS37" s="222"/>
      <c r="CT37" s="218" t="e">
        <f>Tabla3[[#This Row],[Monto Colegiatura 2018-2019]]*Tabla3[[#This Row],[% Beca Comunidad 18-19]]</f>
        <v>#N/A</v>
      </c>
      <c r="CU37" s="218" t="e">
        <f>Tabla3[[#This Row],[Cantidad Beca Comunidad Colegiatura 18-19]]*75%</f>
        <v>#N/A</v>
      </c>
      <c r="CV37" s="223"/>
      <c r="CW37" s="218" t="e">
        <f>Tabla3[[#This Row],[Reinscripción 2019-2020]]*Tabla3[[#This Row],[% Beca Reinscripciones Comunidad 19-20]]</f>
        <v>#N/A</v>
      </c>
      <c r="CX37" s="218" t="e">
        <f>Tabla3[[#This Row],[Cantidad Beca Reinscripciones Comunidad 19-20]]*75%</f>
        <v>#N/A</v>
      </c>
      <c r="CY37" s="227" t="e">
        <f>Tabla3[[#This Row],[75% Cantidad Beca Comunidad Colegiatura 18-19]]+Tabla3[[#This Row],[75% Cantidad Beca Reinscripciones 19-20]]</f>
        <v>#N/A</v>
      </c>
      <c r="CZ37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37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37" s="108">
        <f>1440*(Tabla3[[#This Row],[% AutorizadoBeca Colegiatura 18-19]]+Tabla3[[#This Row],[% Beca Prestacion 18-19]]+Tabla3[[#This Row],[% Beca UNAM 18-19]]+Tabla3[[#This Row],[% Beca Comunidad 18-19]])</f>
        <v>1440</v>
      </c>
    </row>
    <row r="38" spans="2:106" ht="15" customHeight="1" x14ac:dyDescent="0.2">
      <c r="B38" s="239"/>
      <c r="C38" s="239" t="e">
        <f>VLOOKUP(Tabla3[[#This Row],[Nombre del Padre]],[1]!Tabla1[[PADRE]:[PADRE_CELULAR]],2,0)</f>
        <v>#REF!</v>
      </c>
      <c r="D38" s="239" t="e">
        <f>VLOOKUP(Tabla3[[#This Row],[Nombre del Padre]],[1]!Tabla1[[PADRE]:[PADRE_CELULAR]],3,0)</f>
        <v>#REF!</v>
      </c>
      <c r="E38" s="107" t="s">
        <v>423</v>
      </c>
      <c r="F38" s="107" t="e">
        <f>VLOOKUP(Tabla3[[#This Row],[Nombre de la Madre]],[1]!Tabla1[[MADRE]:[MADRE_TELEFONO]],2,0)</f>
        <v>#REF!</v>
      </c>
      <c r="G38" s="202" t="e">
        <f>VLOOKUP(Tabla3[[#This Row],[Nombre de la Madre]],[1]!Tabla1[[MADRE]:[MADRE_TELEFONO]],3,0)</f>
        <v>#REF!</v>
      </c>
      <c r="H38" s="228">
        <v>26</v>
      </c>
      <c r="I38" s="204">
        <v>2741</v>
      </c>
      <c r="J38" s="204" t="s">
        <v>424</v>
      </c>
      <c r="K38" s="204" t="s">
        <v>273</v>
      </c>
      <c r="L38" s="204" t="s">
        <v>425</v>
      </c>
      <c r="M38" s="205" t="s">
        <v>426</v>
      </c>
      <c r="N38" s="204" t="s">
        <v>306</v>
      </c>
      <c r="O38" s="206" t="e">
        <f>VLOOKUP(Tabla3[[#This Row],[Grado]],[2]Cuotas!$A:$E,2,0)</f>
        <v>#N/A</v>
      </c>
      <c r="P38" s="206" t="e">
        <f>VLOOKUP(Tabla3[[#This Row],[Grado]],[2]Cuotas!$A:$E,4,0)</f>
        <v>#N/A</v>
      </c>
      <c r="Q38" s="206" t="e">
        <f>VLOOKUP(Tabla3[[#This Row],[Grado]],[2]Cuotas!$A:$E,3,0)</f>
        <v>#N/A</v>
      </c>
      <c r="R38" s="207"/>
      <c r="S38" s="206" t="e">
        <f>Tabla3[[#This Row],[Monto Colegiatura]]*Tabla3[[#This Row],[% Beca Colegio 16-17]]</f>
        <v>#N/A</v>
      </c>
      <c r="T38" s="206"/>
      <c r="U38" s="206" t="e">
        <f>Tabla3[[#This Row],[Monto Colegiatura]]*Tabla3[[#This Row],[% Beca Prestación 16-17]]</f>
        <v>#N/A</v>
      </c>
      <c r="V38" s="208">
        <v>0.8</v>
      </c>
      <c r="W38" s="206" t="e">
        <f>Tabla3[[#This Row],[Monto Colegiatura]]*Tabla3[[#This Row],[% Beca Comunidad 16-17]]</f>
        <v>#N/A</v>
      </c>
      <c r="X38" s="206" t="e">
        <f>Tabla3[[#This Row],[Cantidad Beca Comunidad 16-17]]*25%</f>
        <v>#N/A</v>
      </c>
      <c r="Y38" s="206"/>
      <c r="Z38" s="206" t="e">
        <f>Tabla3[[#This Row],[Monto Colegiatura]]*Tabla3[[#This Row],[% Beca UNAM 16-17]]</f>
        <v>#N/A</v>
      </c>
      <c r="AA38" s="208"/>
      <c r="AB38" s="206" t="e">
        <f>Tabla3[[#This Row],[Monto Reinscripción]]*Tabla3[[#This Row],[% Beca Reinscripción 16-17]]</f>
        <v>#N/A</v>
      </c>
      <c r="AC38" s="206"/>
      <c r="AD38" s="206" t="e">
        <f>Tabla3[[#This Row],[Monto Canasta]]*Tabla3[[#This Row],[% Beca Canasta 16-17]]</f>
        <v>#N/A</v>
      </c>
      <c r="AE38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38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38" s="209" t="e">
        <f>VLOOKUP(Tabla3[[#This Row],[Nombre del Alumno]],[2]!Tabla1[[Alumno]:[Cuenta Ciclos]],2,0)</f>
        <v>#REF!</v>
      </c>
      <c r="AH38" s="210" t="s">
        <v>427</v>
      </c>
      <c r="AI38" s="211" t="s">
        <v>282</v>
      </c>
      <c r="AJ38" s="206" t="e">
        <f>VLOOKUP(Tabla3[[#This Row],[Grado 17-18]],[2]Cuotas!$H:$L,2,0)</f>
        <v>#N/A</v>
      </c>
      <c r="AK38" s="206" t="e">
        <f>VLOOKUP(Tabla3[[#This Row],[Grado 17-18]],[2]Cuotas!$H:$L,3,0)</f>
        <v>#N/A</v>
      </c>
      <c r="AL38" s="206" t="e">
        <f>VLOOKUP(Tabla3[[#This Row],[Grado 17-18]],[2]Cuotas!$H:$L,4,0)</f>
        <v>#N/A</v>
      </c>
      <c r="AM38" s="212"/>
      <c r="AN38" s="213"/>
      <c r="AO38" s="206" t="e">
        <f>Tabla3[[#This Row],[Monto Colegiatura ]]*Tabla3[[#This Row],[% AutorizadoBeca Colegiatura 17-18]]</f>
        <v>#N/A</v>
      </c>
      <c r="AP38" s="208"/>
      <c r="AQ38" s="206" t="e">
        <f>Tabla3[[#This Row],[Monto Colegiatura ]]*Tabla3[[#This Row],[% Beca Prestacion 17-18]]</f>
        <v>#N/A</v>
      </c>
      <c r="AR38" s="208"/>
      <c r="AS38" s="206" t="e">
        <f>Tabla3[[#This Row],[Canasta]]*Tabla3[[#This Row],[% Beca Canasta 17-18]]</f>
        <v>#N/A</v>
      </c>
      <c r="AT38" s="208"/>
      <c r="AU38" s="214">
        <v>0</v>
      </c>
      <c r="AV38" s="206" t="e">
        <f>Tabla3[[#This Row],[Cantidad Beca Comunidad Colegiatura 17-18]]*25%</f>
        <v>#N/A</v>
      </c>
      <c r="AW38" s="206"/>
      <c r="AX38" s="215"/>
      <c r="AY38" s="206" t="e">
        <f>Tabla3[[#This Row],[Monto Colegiatura ]]*Tabla3[[#This Row],[% Beca UNAM 17-18]]</f>
        <v>#N/A</v>
      </c>
      <c r="AZ38" s="206"/>
      <c r="BA38" s="216">
        <f>3200*Tabla3[[#This Row],[% Beca Reinscripciones UNAM 17-18]]</f>
        <v>0</v>
      </c>
      <c r="BB38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38" s="217">
        <v>0.8</v>
      </c>
      <c r="BD38" s="218" t="e">
        <f>Tabla3[[#This Row],[Monto Colegiatura ]]*Tabla3[[#This Row],[% Beca Comunidad 17-18]]</f>
        <v>#N/A</v>
      </c>
      <c r="BE38" s="218" t="e">
        <f>Tabla3[[#This Row],[Cantidad Beca Comunidad Colegiatura 17-18]]*75%</f>
        <v>#N/A</v>
      </c>
      <c r="BF38" s="219"/>
      <c r="BG38" s="218" t="e">
        <f>Tabla3[[#This Row],[Reinscripción]]*Tabla3[[#This Row],[% Beca Reinscripciones Comunidad 18-19]]</f>
        <v>#N/A</v>
      </c>
      <c r="BH38" s="218" t="e">
        <f>Tabla3[[#This Row],[Cantidad Beca Reinscripciones Comunidad 18-19]]*70%</f>
        <v>#N/A</v>
      </c>
      <c r="BI38" s="216" t="e">
        <f>Tabla3[[#This Row],[75% Cantidad Beca Comunidad Colegiatura 17-18]]+Tabla3[[#This Row],[70% Cantidad Beca Reinscripciones 18-19]]</f>
        <v>#N/A</v>
      </c>
      <c r="BJ38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38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38" s="220"/>
      <c r="BM38" s="204"/>
      <c r="BN38" s="221"/>
      <c r="BO38" s="107"/>
      <c r="BP38" s="107">
        <f>Tabla3[[#This Row],[% AutorizadoBeca Colegiatura 17-18]]+Tabla3[[#This Row],[% Beca Prestacion 17-18]]+Tabla3[[#This Row],[% Beca UNAM 17-18]]</f>
        <v>0</v>
      </c>
      <c r="BQ38" s="108">
        <f t="shared" si="0"/>
        <v>0</v>
      </c>
      <c r="BR38" s="107">
        <f>Tabla3[[#This Row],[% Beca Comunidad 17-18]]</f>
        <v>0.8</v>
      </c>
      <c r="BS38" s="108">
        <f t="shared" si="1"/>
        <v>917.6</v>
      </c>
      <c r="BT38" s="108">
        <f t="shared" si="2"/>
        <v>229.4</v>
      </c>
      <c r="BU38" s="108">
        <f>Tabla3[[#This Row],[Monto3]]*75%</f>
        <v>688.2</v>
      </c>
      <c r="BV38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38" s="107" t="e">
        <f>VLOOKUP(Tabla3[[#This Row],[Nombre del Alumno]],'[3]BECAS COLEGIATURAS'!$I:$N,6,0)</f>
        <v>#N/A</v>
      </c>
      <c r="BX38" s="107" t="e">
        <f>VLOOKUP(Tabla3[[#This Row],[Nombre del Alumno]],[1]!Tabla1[[NOMBRE DEL ALUMNO]:[MATRIZ]],6,0)</f>
        <v>#REF!</v>
      </c>
      <c r="BY38" s="107" t="e">
        <f>VLOOKUP(Tabla3[[#This Row],[Nombre del Alumno]],'[3]BECAS COLEGIATURAS'!$I:$L,4,0)</f>
        <v>#N/A</v>
      </c>
      <c r="BZ38" s="108" t="e">
        <f>VLOOKUP(Tabla3[[#This Row],[Grado 18-19]],[2]Cuotas!$Q:$U,2,0)</f>
        <v>#N/A</v>
      </c>
      <c r="CA38" s="108" t="e">
        <f>VLOOKUP(Tabla3[[#This Row],[Grado 18-19]],[2]Cuotas!$Q:$U,3,0)</f>
        <v>#N/A</v>
      </c>
      <c r="CB38" s="108" t="e">
        <f>VLOOKUP(Tabla3[[#This Row],[Grado 18-19]],[2]Cuotas!$Q:$U,4,0)</f>
        <v>#N/A</v>
      </c>
      <c r="CC38" s="107">
        <v>0</v>
      </c>
      <c r="CD38" s="222"/>
      <c r="CE38" s="218" t="e">
        <f>Tabla3[[#This Row],[Monto Colegiatura 2018-2019]]*Tabla3[[#This Row],[% AutorizadoBeca Colegiatura 18-19]]</f>
        <v>#N/A</v>
      </c>
      <c r="CF38" s="223"/>
      <c r="CG38" s="218" t="e">
        <f>Tabla3[[#This Row],[Monto Colegiatura 2018-2019]]*Tabla3[[#This Row],[% Beca Prestacion 18-19]]</f>
        <v>#N/A</v>
      </c>
      <c r="CH38" s="223"/>
      <c r="CI38" s="218" t="e">
        <f>Tabla3[[#This Row],[Canasta 2018-2019]]*Tabla3[[#This Row],[% Beca Canasta 18-19]]</f>
        <v>#N/A</v>
      </c>
      <c r="CJ38" s="223"/>
      <c r="CK38" s="218" t="e">
        <f>Tabla3[[#This Row],[Reinscripción 2019-2020]]*Tabla3[[#This Row],[% Beca Reinscripciones 19-20]]</f>
        <v>#N/A</v>
      </c>
      <c r="CL38" s="218" t="e">
        <f>Tabla3[[#This Row],[Cantidad Beca Comunidad Colegiatura 18-19]]*25%</f>
        <v>#N/A</v>
      </c>
      <c r="CM38" s="224" t="e">
        <f>Tabla3[[#This Row],[Cantidad Beca Reinscripciones Comunidad 19-20]]*25%</f>
        <v>#N/A</v>
      </c>
      <c r="CN38" s="222"/>
      <c r="CO38" s="218" t="e">
        <f>Tabla3[[#This Row],[Monto Colegiatura 2018-2019]]*Tabla3[[#This Row],[% Beca UNAM 18-19]]</f>
        <v>#N/A</v>
      </c>
      <c r="CP38" s="225"/>
      <c r="CQ38" s="224">
        <f>3328*Tabla3[[#This Row],[% Beca Reinscripciones UNAM 18-19]]</f>
        <v>0</v>
      </c>
      <c r="CR38" s="226" t="e">
        <f>Tabla3[[#This Row],[Cantidad Beca Colegiatura 18-19]]+Tabla3[[#This Row],[Cantidad Beca Canasta 18-19]]+Tabla3[[#This Row],[Cantidad Beca Reinscripciones 19-20]]</f>
        <v>#N/A</v>
      </c>
      <c r="CS38" s="222">
        <v>0.8</v>
      </c>
      <c r="CT38" s="218" t="e">
        <f>Tabla3[[#This Row],[Monto Colegiatura 2018-2019]]*Tabla3[[#This Row],[% Beca Comunidad 18-19]]</f>
        <v>#N/A</v>
      </c>
      <c r="CU38" s="218" t="e">
        <f>Tabla3[[#This Row],[Cantidad Beca Comunidad Colegiatura 18-19]]*75%</f>
        <v>#N/A</v>
      </c>
      <c r="CV38" s="223"/>
      <c r="CW38" s="218" t="e">
        <f>Tabla3[[#This Row],[Reinscripción 2019-2020]]*Tabla3[[#This Row],[% Beca Reinscripciones Comunidad 19-20]]</f>
        <v>#N/A</v>
      </c>
      <c r="CX38" s="218" t="e">
        <f>Tabla3[[#This Row],[Cantidad Beca Reinscripciones Comunidad 19-20]]*75%</f>
        <v>#N/A</v>
      </c>
      <c r="CY38" s="227" t="e">
        <f>Tabla3[[#This Row],[75% Cantidad Beca Comunidad Colegiatura 18-19]]+Tabla3[[#This Row],[75% Cantidad Beca Reinscripciones 19-20]]</f>
        <v>#N/A</v>
      </c>
      <c r="CZ38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38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38" s="108">
        <f>1440*(Tabla3[[#This Row],[% AutorizadoBeca Colegiatura 18-19]]+Tabla3[[#This Row],[% Beca Prestacion 18-19]]+Tabla3[[#This Row],[% Beca UNAM 18-19]]+Tabla3[[#This Row],[% Beca Comunidad 18-19]])</f>
        <v>1152</v>
      </c>
    </row>
    <row r="39" spans="2:106" ht="15" customHeight="1" x14ac:dyDescent="0.2">
      <c r="B39" s="107" t="s">
        <v>428</v>
      </c>
      <c r="C39" s="107" t="e">
        <f>VLOOKUP(Tabla3[[#This Row],[Nombre del Padre]],[1]!Tabla1[[PADRE]:[PADRE_CELULAR]],2,0)</f>
        <v>#REF!</v>
      </c>
      <c r="D39" s="107" t="e">
        <f>VLOOKUP(Tabla3[[#This Row],[Nombre del Padre]],[1]!Tabla1[[PADRE]:[PADRE_CELULAR]],3,0)</f>
        <v>#REF!</v>
      </c>
      <c r="E39" s="107" t="s">
        <v>429</v>
      </c>
      <c r="F39" s="107" t="e">
        <f>VLOOKUP(Tabla3[[#This Row],[Nombre de la Madre]],[1]!Tabla1[[MADRE]:[MADRE_TELEFONO]],2,0)</f>
        <v>#REF!</v>
      </c>
      <c r="G39" s="202" t="e">
        <f>VLOOKUP(Tabla3[[#This Row],[Nombre de la Madre]],[1]!Tabla1[[MADRE]:[MADRE_TELEFONO]],3,0)</f>
        <v>#REF!</v>
      </c>
      <c r="H39" s="228">
        <v>27</v>
      </c>
      <c r="I39" s="204">
        <v>2822</v>
      </c>
      <c r="J39" s="204" t="s">
        <v>430</v>
      </c>
      <c r="K39" s="204" t="s">
        <v>312</v>
      </c>
      <c r="L39" s="204" t="s">
        <v>431</v>
      </c>
      <c r="M39" s="205" t="s">
        <v>432</v>
      </c>
      <c r="N39" s="204" t="s">
        <v>330</v>
      </c>
      <c r="O39" s="206" t="e">
        <f>VLOOKUP(Tabla3[[#This Row],[Grado]],[2]Cuotas!$A:$E,2,0)</f>
        <v>#N/A</v>
      </c>
      <c r="P39" s="206" t="e">
        <f>VLOOKUP(Tabla3[[#This Row],[Grado]],[2]Cuotas!$A:$E,4,0)</f>
        <v>#N/A</v>
      </c>
      <c r="Q39" s="206" t="e">
        <f>VLOOKUP(Tabla3[[#This Row],[Grado]],[2]Cuotas!$A:$E,3,0)</f>
        <v>#N/A</v>
      </c>
      <c r="R39" s="207"/>
      <c r="S39" s="206" t="e">
        <f>Tabla3[[#This Row],[Monto Colegiatura]]*Tabla3[[#This Row],[% Beca Colegio 16-17]]</f>
        <v>#N/A</v>
      </c>
      <c r="T39" s="208">
        <v>0.4</v>
      </c>
      <c r="U39" s="206" t="e">
        <f>Tabla3[[#This Row],[Monto Colegiatura]]*Tabla3[[#This Row],[% Beca Prestación 16-17]]</f>
        <v>#N/A</v>
      </c>
      <c r="V39" s="208"/>
      <c r="W39" s="206" t="e">
        <f>Tabla3[[#This Row],[Monto Colegiatura]]*Tabla3[[#This Row],[% Beca Comunidad 16-17]]</f>
        <v>#N/A</v>
      </c>
      <c r="X39" s="206" t="e">
        <f>Tabla3[[#This Row],[Cantidad Beca Comunidad 16-17]]*25%</f>
        <v>#N/A</v>
      </c>
      <c r="Y39" s="206"/>
      <c r="Z39" s="206" t="e">
        <f>Tabla3[[#This Row],[Monto Colegiatura]]*Tabla3[[#This Row],[% Beca UNAM 16-17]]</f>
        <v>#N/A</v>
      </c>
      <c r="AA39" s="208"/>
      <c r="AB39" s="206" t="e">
        <f>Tabla3[[#This Row],[Monto Reinscripción]]*Tabla3[[#This Row],[% Beca Reinscripción 16-17]]</f>
        <v>#N/A</v>
      </c>
      <c r="AC39" s="206"/>
      <c r="AD39" s="206" t="e">
        <f>Tabla3[[#This Row],[Monto Canasta]]*Tabla3[[#This Row],[% Beca Canasta 16-17]]</f>
        <v>#N/A</v>
      </c>
      <c r="AE39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39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39" s="209" t="e">
        <f>VLOOKUP(Tabla3[[#This Row],[Nombre del Alumno]],[2]!Tabla1[[Alumno]:[Cuenta Ciclos]],2,0)</f>
        <v>#REF!</v>
      </c>
      <c r="AH39" s="210" t="s">
        <v>433</v>
      </c>
      <c r="AI39" s="211" t="s">
        <v>332</v>
      </c>
      <c r="AJ39" s="206" t="e">
        <f>VLOOKUP(Tabla3[[#This Row],[Grado 17-18]],[2]Cuotas!$H:$L,2,0)</f>
        <v>#N/A</v>
      </c>
      <c r="AK39" s="206" t="e">
        <f>VLOOKUP(Tabla3[[#This Row],[Grado 17-18]],[2]Cuotas!$H:$L,3,0)</f>
        <v>#N/A</v>
      </c>
      <c r="AL39" s="206" t="e">
        <f>VLOOKUP(Tabla3[[#This Row],[Grado 17-18]],[2]Cuotas!$H:$L,4,0)</f>
        <v>#N/A</v>
      </c>
      <c r="AM39" s="212"/>
      <c r="AN39" s="213"/>
      <c r="AO39" s="206" t="e">
        <f>Tabla3[[#This Row],[Monto Colegiatura ]]*Tabla3[[#This Row],[% AutorizadoBeca Colegiatura 17-18]]</f>
        <v>#N/A</v>
      </c>
      <c r="AP39" s="208">
        <v>0.4</v>
      </c>
      <c r="AQ39" s="206" t="e">
        <f>Tabla3[[#This Row],[Monto Colegiatura ]]*Tabla3[[#This Row],[% Beca Prestacion 17-18]]</f>
        <v>#N/A</v>
      </c>
      <c r="AR39" s="208"/>
      <c r="AS39" s="206" t="e">
        <f>Tabla3[[#This Row],[Canasta]]*Tabla3[[#This Row],[% Beca Canasta 17-18]]</f>
        <v>#N/A</v>
      </c>
      <c r="AT39" s="208"/>
      <c r="AU39" s="214">
        <v>0</v>
      </c>
      <c r="AV39" s="206" t="e">
        <f>Tabla3[[#This Row],[Cantidad Beca Comunidad Colegiatura 17-18]]*25%</f>
        <v>#N/A</v>
      </c>
      <c r="AW39" s="206"/>
      <c r="AX39" s="215"/>
      <c r="AY39" s="206" t="e">
        <f>Tabla3[[#This Row],[Monto Colegiatura ]]*Tabla3[[#This Row],[% Beca UNAM 17-18]]</f>
        <v>#N/A</v>
      </c>
      <c r="AZ39" s="206"/>
      <c r="BA39" s="216">
        <f>3200*Tabla3[[#This Row],[% Beca Reinscripciones UNAM 17-18]]</f>
        <v>0</v>
      </c>
      <c r="BB39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39" s="217"/>
      <c r="BD39" s="218" t="e">
        <f>Tabla3[[#This Row],[Monto Colegiatura ]]*Tabla3[[#This Row],[% Beca Comunidad 17-18]]</f>
        <v>#N/A</v>
      </c>
      <c r="BE39" s="218" t="e">
        <f>Tabla3[[#This Row],[Cantidad Beca Comunidad Colegiatura 17-18]]*75%</f>
        <v>#N/A</v>
      </c>
      <c r="BF39" s="219"/>
      <c r="BG39" s="218" t="e">
        <f>Tabla3[[#This Row],[Reinscripción]]*Tabla3[[#This Row],[% Beca Reinscripciones Comunidad 18-19]]</f>
        <v>#N/A</v>
      </c>
      <c r="BH39" s="218" t="e">
        <f>Tabla3[[#This Row],[Cantidad Beca Reinscripciones Comunidad 18-19]]*70%</f>
        <v>#N/A</v>
      </c>
      <c r="BI39" s="216" t="e">
        <f>Tabla3[[#This Row],[75% Cantidad Beca Comunidad Colegiatura 17-18]]+Tabla3[[#This Row],[70% Cantidad Beca Reinscripciones 18-19]]</f>
        <v>#N/A</v>
      </c>
      <c r="BJ39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39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39" s="220"/>
      <c r="BM39" s="204"/>
      <c r="BN39" s="221"/>
      <c r="BO39" s="107"/>
      <c r="BP39" s="107">
        <f>Tabla3[[#This Row],[% AutorizadoBeca Colegiatura 17-18]]+Tabla3[[#This Row],[% Beca Prestacion 17-18]]+Tabla3[[#This Row],[% Beca UNAM 17-18]]</f>
        <v>0.4</v>
      </c>
      <c r="BQ39" s="108">
        <f t="shared" si="0"/>
        <v>458.8</v>
      </c>
      <c r="BR39" s="107">
        <f>Tabla3[[#This Row],[% Beca Comunidad 17-18]]</f>
        <v>0</v>
      </c>
      <c r="BS39" s="108">
        <f t="shared" si="1"/>
        <v>0</v>
      </c>
      <c r="BT39" s="108">
        <f t="shared" si="2"/>
        <v>0</v>
      </c>
      <c r="BU39" s="108">
        <f>Tabla3[[#This Row],[Monto3]]*75%</f>
        <v>0</v>
      </c>
      <c r="BV39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39" s="107" t="e">
        <f>VLOOKUP(Tabla3[[#This Row],[Nombre del Alumno]],'[3]BECAS COLEGIATURAS'!$I:$N,6,0)</f>
        <v>#N/A</v>
      </c>
      <c r="BX39" s="107" t="e">
        <f>VLOOKUP(Tabla3[[#This Row],[Nombre del Alumno]],[1]!Tabla1[[NOMBRE DEL ALUMNO]:[MATRIZ]],6,0)</f>
        <v>#REF!</v>
      </c>
      <c r="BY39" s="107" t="e">
        <f>VLOOKUP(Tabla3[[#This Row],[Nombre del Alumno]],'[3]BECAS COLEGIATURAS'!$I:$L,4,0)</f>
        <v>#N/A</v>
      </c>
      <c r="BZ39" s="108" t="e">
        <f>VLOOKUP(Tabla3[[#This Row],[Grado 18-19]],[2]Cuotas!$Q:$U,2,0)</f>
        <v>#N/A</v>
      </c>
      <c r="CA39" s="108" t="e">
        <f>VLOOKUP(Tabla3[[#This Row],[Grado 18-19]],[2]Cuotas!$Q:$U,3,0)</f>
        <v>#N/A</v>
      </c>
      <c r="CB39" s="108" t="e">
        <f>VLOOKUP(Tabla3[[#This Row],[Grado 18-19]],[2]Cuotas!$Q:$U,4,0)</f>
        <v>#N/A</v>
      </c>
      <c r="CC39" s="107">
        <v>0</v>
      </c>
      <c r="CD39" s="222"/>
      <c r="CE39" s="218" t="e">
        <f>Tabla3[[#This Row],[Monto Colegiatura 2018-2019]]*Tabla3[[#This Row],[% AutorizadoBeca Colegiatura 18-19]]</f>
        <v>#N/A</v>
      </c>
      <c r="CF39" s="223">
        <v>0.4</v>
      </c>
      <c r="CG39" s="218" t="e">
        <f>Tabla3[[#This Row],[Monto Colegiatura 2018-2019]]*Tabla3[[#This Row],[% Beca Prestacion 18-19]]</f>
        <v>#N/A</v>
      </c>
      <c r="CH39" s="223"/>
      <c r="CI39" s="218" t="e">
        <f>Tabla3[[#This Row],[Canasta 2018-2019]]*Tabla3[[#This Row],[% Beca Canasta 18-19]]</f>
        <v>#N/A</v>
      </c>
      <c r="CJ39" s="223"/>
      <c r="CK39" s="218" t="e">
        <f>Tabla3[[#This Row],[Reinscripción 2019-2020]]*Tabla3[[#This Row],[% Beca Reinscripciones 19-20]]</f>
        <v>#N/A</v>
      </c>
      <c r="CL39" s="218" t="e">
        <f>Tabla3[[#This Row],[Cantidad Beca Comunidad Colegiatura 18-19]]*25%</f>
        <v>#N/A</v>
      </c>
      <c r="CM39" s="224" t="e">
        <f>Tabla3[[#This Row],[Cantidad Beca Reinscripciones Comunidad 19-20]]*25%</f>
        <v>#N/A</v>
      </c>
      <c r="CN39" s="222"/>
      <c r="CO39" s="218" t="e">
        <f>Tabla3[[#This Row],[Monto Colegiatura 2018-2019]]*Tabla3[[#This Row],[% Beca UNAM 18-19]]</f>
        <v>#N/A</v>
      </c>
      <c r="CP39" s="225"/>
      <c r="CQ39" s="224">
        <f>3328*Tabla3[[#This Row],[% Beca Reinscripciones UNAM 18-19]]</f>
        <v>0</v>
      </c>
      <c r="CR39" s="226" t="e">
        <f>Tabla3[[#This Row],[Cantidad Beca Colegiatura 18-19]]+Tabla3[[#This Row],[Cantidad Beca Canasta 18-19]]+Tabla3[[#This Row],[Cantidad Beca Reinscripciones 19-20]]</f>
        <v>#N/A</v>
      </c>
      <c r="CS39" s="222"/>
      <c r="CT39" s="218" t="e">
        <f>Tabla3[[#This Row],[Monto Colegiatura 2018-2019]]*Tabla3[[#This Row],[% Beca Comunidad 18-19]]</f>
        <v>#N/A</v>
      </c>
      <c r="CU39" s="218" t="e">
        <f>Tabla3[[#This Row],[Cantidad Beca Comunidad Colegiatura 18-19]]*75%</f>
        <v>#N/A</v>
      </c>
      <c r="CV39" s="223"/>
      <c r="CW39" s="218" t="e">
        <f>Tabla3[[#This Row],[Reinscripción 2019-2020]]*Tabla3[[#This Row],[% Beca Reinscripciones Comunidad 19-20]]</f>
        <v>#N/A</v>
      </c>
      <c r="CX39" s="218" t="e">
        <f>Tabla3[[#This Row],[Cantidad Beca Reinscripciones Comunidad 19-20]]*75%</f>
        <v>#N/A</v>
      </c>
      <c r="CY39" s="227" t="e">
        <f>Tabla3[[#This Row],[75% Cantidad Beca Comunidad Colegiatura 18-19]]+Tabla3[[#This Row],[75% Cantidad Beca Reinscripciones 19-20]]</f>
        <v>#N/A</v>
      </c>
      <c r="CZ39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39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39" s="108">
        <f>1440*(Tabla3[[#This Row],[% AutorizadoBeca Colegiatura 18-19]]+Tabla3[[#This Row],[% Beca Prestacion 18-19]]+Tabla3[[#This Row],[% Beca UNAM 18-19]]+Tabla3[[#This Row],[% Beca Comunidad 18-19]])</f>
        <v>576</v>
      </c>
    </row>
    <row r="40" spans="2:106" ht="15" customHeight="1" x14ac:dyDescent="0.2">
      <c r="B40" s="107" t="s">
        <v>428</v>
      </c>
      <c r="C40" s="107" t="e">
        <f>VLOOKUP(Tabla3[[#This Row],[Nombre del Padre]],[1]!Tabla1[[PADRE]:[PADRE_CELULAR]],2,0)</f>
        <v>#REF!</v>
      </c>
      <c r="D40" s="107" t="e">
        <f>VLOOKUP(Tabla3[[#This Row],[Nombre del Padre]],[1]!Tabla1[[PADRE]:[PADRE_CELULAR]],3,0)</f>
        <v>#REF!</v>
      </c>
      <c r="E40" s="107" t="s">
        <v>429</v>
      </c>
      <c r="F40" s="107" t="e">
        <f>VLOOKUP(Tabla3[[#This Row],[Nombre de la Madre]],[1]!Tabla1[[MADRE]:[MADRE_TELEFONO]],2,0)</f>
        <v>#REF!</v>
      </c>
      <c r="G40" s="202" t="e">
        <f>VLOOKUP(Tabla3[[#This Row],[Nombre de la Madre]],[1]!Tabla1[[MADRE]:[MADRE_TELEFONO]],3,0)</f>
        <v>#REF!</v>
      </c>
      <c r="H40" s="228"/>
      <c r="I40" s="204">
        <v>2822</v>
      </c>
      <c r="J40" s="204" t="s">
        <v>430</v>
      </c>
      <c r="K40" s="204" t="s">
        <v>312</v>
      </c>
      <c r="L40" s="204" t="s">
        <v>434</v>
      </c>
      <c r="M40" s="205"/>
      <c r="N40" s="204"/>
      <c r="O40" s="206"/>
      <c r="P40" s="206"/>
      <c r="Q40" s="206"/>
      <c r="R40" s="207"/>
      <c r="S40" s="206"/>
      <c r="T40" s="206"/>
      <c r="U40" s="206"/>
      <c r="V40" s="208"/>
      <c r="W40" s="206"/>
      <c r="X40" s="206"/>
      <c r="Y40" s="206"/>
      <c r="Z40" s="206"/>
      <c r="AA40" s="208"/>
      <c r="AB40" s="206"/>
      <c r="AC40" s="206"/>
      <c r="AD40" s="206"/>
      <c r="AE40" s="206"/>
      <c r="AF40" s="206"/>
      <c r="AG40" s="232" t="s">
        <v>289</v>
      </c>
      <c r="AH40" s="210" t="s">
        <v>435</v>
      </c>
      <c r="AI40" s="211" t="s">
        <v>338</v>
      </c>
      <c r="AJ40" s="206" t="e">
        <f>VLOOKUP(Tabla3[[#This Row],[Grado 17-18]],[2]Cuotas!$H:$L,2,0)</f>
        <v>#N/A</v>
      </c>
      <c r="AK40" s="206" t="e">
        <f>VLOOKUP(Tabla3[[#This Row],[Grado 17-18]],[2]Cuotas!$H:$L,3,0)</f>
        <v>#N/A</v>
      </c>
      <c r="AL40" s="206" t="e">
        <f>VLOOKUP(Tabla3[[#This Row],[Grado 17-18]],[2]Cuotas!$H:$L,4,0)</f>
        <v>#N/A</v>
      </c>
      <c r="AM40" s="212"/>
      <c r="AN40" s="213"/>
      <c r="AO40" s="206" t="e">
        <f>Tabla3[[#This Row],[Monto Colegiatura ]]*Tabla3[[#This Row],[% AutorizadoBeca Colegiatura 17-18]]</f>
        <v>#N/A</v>
      </c>
      <c r="AP40" s="208">
        <v>0.4</v>
      </c>
      <c r="AQ40" s="206" t="e">
        <f>Tabla3[[#This Row],[Monto Colegiatura ]]*Tabla3[[#This Row],[% Beca Prestacion 17-18]]</f>
        <v>#N/A</v>
      </c>
      <c r="AR40" s="208"/>
      <c r="AS40" s="206" t="e">
        <f>Tabla3[[#This Row],[Canasta]]*Tabla3[[#This Row],[% Beca Canasta 17-18]]</f>
        <v>#N/A</v>
      </c>
      <c r="AT40" s="208"/>
      <c r="AU40" s="214">
        <v>0</v>
      </c>
      <c r="AV40" s="206" t="e">
        <f>Tabla3[[#This Row],[Cantidad Beca Comunidad Colegiatura 17-18]]*25%</f>
        <v>#N/A</v>
      </c>
      <c r="AW40" s="206"/>
      <c r="AX40" s="215"/>
      <c r="AY40" s="206" t="e">
        <f>Tabla3[[#This Row],[Monto Colegiatura ]]*Tabla3[[#This Row],[% Beca UNAM 17-18]]</f>
        <v>#N/A</v>
      </c>
      <c r="AZ40" s="206"/>
      <c r="BA40" s="216">
        <f>3200*Tabla3[[#This Row],[% Beca Reinscripciones UNAM 17-18]]</f>
        <v>0</v>
      </c>
      <c r="BB40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40" s="217"/>
      <c r="BD40" s="218" t="e">
        <f>Tabla3[[#This Row],[Monto Colegiatura ]]*Tabla3[[#This Row],[% Beca Comunidad 17-18]]</f>
        <v>#N/A</v>
      </c>
      <c r="BE40" s="218" t="e">
        <f>Tabla3[[#This Row],[Cantidad Beca Comunidad Colegiatura 17-18]]*75%</f>
        <v>#N/A</v>
      </c>
      <c r="BF40" s="219"/>
      <c r="BG40" s="218" t="e">
        <f>Tabla3[[#This Row],[Reinscripción]]*Tabla3[[#This Row],[% Beca Reinscripciones Comunidad 18-19]]</f>
        <v>#N/A</v>
      </c>
      <c r="BH40" s="218" t="e">
        <f>Tabla3[[#This Row],[Cantidad Beca Reinscripciones Comunidad 18-19]]*70%</f>
        <v>#N/A</v>
      </c>
      <c r="BI40" s="216" t="e">
        <f>Tabla3[[#This Row],[75% Cantidad Beca Comunidad Colegiatura 17-18]]+Tabla3[[#This Row],[70% Cantidad Beca Reinscripciones 18-19]]</f>
        <v>#N/A</v>
      </c>
      <c r="BJ40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40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40" s="220"/>
      <c r="BM40" s="204"/>
      <c r="BN40" s="221"/>
      <c r="BO40" s="107"/>
      <c r="BP40" s="107">
        <f>Tabla3[[#This Row],[% AutorizadoBeca Colegiatura 17-18]]+Tabla3[[#This Row],[% Beca Prestacion 17-18]]+Tabla3[[#This Row],[% Beca UNAM 17-18]]</f>
        <v>0.4</v>
      </c>
      <c r="BQ40" s="108">
        <f t="shared" si="0"/>
        <v>458.8</v>
      </c>
      <c r="BR40" s="107">
        <f>Tabla3[[#This Row],[% Beca Comunidad 17-18]]</f>
        <v>0</v>
      </c>
      <c r="BS40" s="108">
        <f t="shared" si="1"/>
        <v>0</v>
      </c>
      <c r="BT40" s="108">
        <f t="shared" si="2"/>
        <v>0</v>
      </c>
      <c r="BU40" s="108">
        <f>Tabla3[[#This Row],[Monto3]]*75%</f>
        <v>0</v>
      </c>
      <c r="BV40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40" s="107" t="e">
        <f>VLOOKUP(Tabla3[[#This Row],[Nombre del Alumno]],'[3]BECAS COLEGIATURAS'!$I:$N,6,0)</f>
        <v>#N/A</v>
      </c>
      <c r="BX40" s="107" t="e">
        <f>VLOOKUP(Tabla3[[#This Row],[Nombre del Alumno]],[1]!Tabla1[[NOMBRE DEL ALUMNO]:[MATRIZ]],6,0)</f>
        <v>#REF!</v>
      </c>
      <c r="BY40" s="107" t="e">
        <f>VLOOKUP(Tabla3[[#This Row],[Nombre del Alumno]],'[3]BECAS COLEGIATURAS'!$I:$L,4,0)</f>
        <v>#N/A</v>
      </c>
      <c r="BZ40" s="108" t="e">
        <f>VLOOKUP(Tabla3[[#This Row],[Grado 18-19]],[2]Cuotas!$Q:$U,2,0)</f>
        <v>#N/A</v>
      </c>
      <c r="CA40" s="108" t="e">
        <f>VLOOKUP(Tabla3[[#This Row],[Grado 18-19]],[2]Cuotas!$Q:$U,3,0)</f>
        <v>#N/A</v>
      </c>
      <c r="CB40" s="108" t="e">
        <f>VLOOKUP(Tabla3[[#This Row],[Grado 18-19]],[2]Cuotas!$Q:$U,4,0)</f>
        <v>#N/A</v>
      </c>
      <c r="CC40" s="107">
        <v>0</v>
      </c>
      <c r="CD40" s="222"/>
      <c r="CE40" s="218" t="e">
        <f>Tabla3[[#This Row],[Monto Colegiatura 2018-2019]]*Tabla3[[#This Row],[% AutorizadoBeca Colegiatura 18-19]]</f>
        <v>#N/A</v>
      </c>
      <c r="CF40" s="223">
        <v>0.4</v>
      </c>
      <c r="CG40" s="218" t="e">
        <f>Tabla3[[#This Row],[Monto Colegiatura 2018-2019]]*Tabla3[[#This Row],[% Beca Prestacion 18-19]]</f>
        <v>#N/A</v>
      </c>
      <c r="CH40" s="223"/>
      <c r="CI40" s="218" t="e">
        <f>Tabla3[[#This Row],[Canasta 2018-2019]]*Tabla3[[#This Row],[% Beca Canasta 18-19]]</f>
        <v>#N/A</v>
      </c>
      <c r="CJ40" s="223"/>
      <c r="CK40" s="218" t="e">
        <f>Tabla3[[#This Row],[Reinscripción 2019-2020]]*Tabla3[[#This Row],[% Beca Reinscripciones 19-20]]</f>
        <v>#N/A</v>
      </c>
      <c r="CL40" s="218" t="e">
        <f>Tabla3[[#This Row],[Cantidad Beca Comunidad Colegiatura 18-19]]*25%</f>
        <v>#N/A</v>
      </c>
      <c r="CM40" s="224" t="e">
        <f>Tabla3[[#This Row],[Cantidad Beca Reinscripciones Comunidad 19-20]]*25%</f>
        <v>#N/A</v>
      </c>
      <c r="CN40" s="222"/>
      <c r="CO40" s="218" t="e">
        <f>Tabla3[[#This Row],[Monto Colegiatura 2018-2019]]*Tabla3[[#This Row],[% Beca UNAM 18-19]]</f>
        <v>#N/A</v>
      </c>
      <c r="CP40" s="225"/>
      <c r="CQ40" s="224">
        <f>3328*Tabla3[[#This Row],[% Beca Reinscripciones UNAM 18-19]]</f>
        <v>0</v>
      </c>
      <c r="CR40" s="226" t="e">
        <f>Tabla3[[#This Row],[Cantidad Beca Colegiatura 18-19]]+Tabla3[[#This Row],[Cantidad Beca Canasta 18-19]]+Tabla3[[#This Row],[Cantidad Beca Reinscripciones 19-20]]</f>
        <v>#N/A</v>
      </c>
      <c r="CS40" s="222"/>
      <c r="CT40" s="218" t="e">
        <f>Tabla3[[#This Row],[Monto Colegiatura 2018-2019]]*Tabla3[[#This Row],[% Beca Comunidad 18-19]]</f>
        <v>#N/A</v>
      </c>
      <c r="CU40" s="218" t="e">
        <f>Tabla3[[#This Row],[Cantidad Beca Comunidad Colegiatura 18-19]]*75%</f>
        <v>#N/A</v>
      </c>
      <c r="CV40" s="223"/>
      <c r="CW40" s="218" t="e">
        <f>Tabla3[[#This Row],[Reinscripción 2019-2020]]*Tabla3[[#This Row],[% Beca Reinscripciones Comunidad 19-20]]</f>
        <v>#N/A</v>
      </c>
      <c r="CX40" s="218" t="e">
        <f>Tabla3[[#This Row],[Cantidad Beca Reinscripciones Comunidad 19-20]]*75%</f>
        <v>#N/A</v>
      </c>
      <c r="CY40" s="227" t="e">
        <f>Tabla3[[#This Row],[75% Cantidad Beca Comunidad Colegiatura 18-19]]+Tabla3[[#This Row],[75% Cantidad Beca Reinscripciones 19-20]]</f>
        <v>#N/A</v>
      </c>
      <c r="CZ40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40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40" s="108">
        <f>1440*(Tabla3[[#This Row],[% AutorizadoBeca Colegiatura 18-19]]+Tabla3[[#This Row],[% Beca Prestacion 18-19]]+Tabla3[[#This Row],[% Beca UNAM 18-19]]+Tabla3[[#This Row],[% Beca Comunidad 18-19]])</f>
        <v>576</v>
      </c>
    </row>
    <row r="41" spans="2:106" ht="15" customHeight="1" x14ac:dyDescent="0.2">
      <c r="B41" s="107" t="s">
        <v>436</v>
      </c>
      <c r="C41" s="107" t="e">
        <f>VLOOKUP(Tabla3[[#This Row],[Nombre del Padre]],[1]!Tabla1[[PADRE]:[PADRE_CELULAR]],2,0)</f>
        <v>#REF!</v>
      </c>
      <c r="D41" s="107" t="e">
        <f>VLOOKUP(Tabla3[[#This Row],[Nombre del Padre]],[1]!Tabla1[[PADRE]:[PADRE_CELULAR]],3,0)</f>
        <v>#REF!</v>
      </c>
      <c r="E41" s="107" t="s">
        <v>437</v>
      </c>
      <c r="F41" s="107" t="e">
        <f>VLOOKUP(Tabla3[[#This Row],[Nombre de la Madre]],[1]!Tabla1[[MADRE]:[MADRE_TELEFONO]],2,0)</f>
        <v>#REF!</v>
      </c>
      <c r="G41" s="202" t="e">
        <f>VLOOKUP(Tabla3[[#This Row],[Nombre de la Madre]],[1]!Tabla1[[MADRE]:[MADRE_TELEFONO]],3,0)</f>
        <v>#REF!</v>
      </c>
      <c r="H41" s="230">
        <v>28</v>
      </c>
      <c r="I41" s="204">
        <v>2336</v>
      </c>
      <c r="J41" s="204" t="s">
        <v>438</v>
      </c>
      <c r="K41" s="204" t="s">
        <v>273</v>
      </c>
      <c r="L41" s="204" t="s">
        <v>439</v>
      </c>
      <c r="M41" s="205"/>
      <c r="N41" s="204"/>
      <c r="O41" s="206"/>
      <c r="P41" s="206"/>
      <c r="Q41" s="206"/>
      <c r="R41" s="207"/>
      <c r="S41" s="206"/>
      <c r="T41" s="206"/>
      <c r="U41" s="206"/>
      <c r="V41" s="208"/>
      <c r="W41" s="206"/>
      <c r="X41" s="206"/>
      <c r="Y41" s="206"/>
      <c r="Z41" s="206"/>
      <c r="AA41" s="208"/>
      <c r="AB41" s="206"/>
      <c r="AC41" s="206"/>
      <c r="AD41" s="206"/>
      <c r="AE41" s="206"/>
      <c r="AF41" s="206"/>
      <c r="AG41" s="232" t="s">
        <v>289</v>
      </c>
      <c r="AH41" s="210" t="s">
        <v>440</v>
      </c>
      <c r="AI41" s="211" t="s">
        <v>297</v>
      </c>
      <c r="AJ41" s="206" t="e">
        <f>VLOOKUP(Tabla3[[#This Row],[Grado 17-18]],[2]Cuotas!$H:$L,2,0)</f>
        <v>#N/A</v>
      </c>
      <c r="AK41" s="206" t="e">
        <f>VLOOKUP(Tabla3[[#This Row],[Grado 17-18]],[2]Cuotas!$H:$L,3,0)</f>
        <v>#N/A</v>
      </c>
      <c r="AL41" s="206" t="e">
        <f>VLOOKUP(Tabla3[[#This Row],[Grado 17-18]],[2]Cuotas!$H:$L,4,0)</f>
        <v>#N/A</v>
      </c>
      <c r="AM41" s="212">
        <v>0.4</v>
      </c>
      <c r="AN41" s="213"/>
      <c r="AO41" s="206" t="e">
        <f>Tabla3[[#This Row],[Monto Colegiatura ]]*Tabla3[[#This Row],[% AutorizadoBeca Colegiatura 17-18]]</f>
        <v>#N/A</v>
      </c>
      <c r="AP41" s="208"/>
      <c r="AQ41" s="206" t="e">
        <f>Tabla3[[#This Row],[Monto Colegiatura ]]*Tabla3[[#This Row],[% Beca Prestacion 17-18]]</f>
        <v>#N/A</v>
      </c>
      <c r="AR41" s="208"/>
      <c r="AS41" s="206" t="e">
        <f>Tabla3[[#This Row],[Canasta]]*Tabla3[[#This Row],[% Beca Canasta 17-18]]</f>
        <v>#N/A</v>
      </c>
      <c r="AT41" s="208"/>
      <c r="AU41" s="214">
        <v>0</v>
      </c>
      <c r="AV41" s="206" t="e">
        <f>Tabla3[[#This Row],[Cantidad Beca Comunidad Colegiatura 17-18]]*25%</f>
        <v>#N/A</v>
      </c>
      <c r="AW41" s="206"/>
      <c r="AX41" s="215"/>
      <c r="AY41" s="206" t="e">
        <f>Tabla3[[#This Row],[Monto Colegiatura ]]*Tabla3[[#This Row],[% Beca UNAM 17-18]]</f>
        <v>#N/A</v>
      </c>
      <c r="AZ41" s="206"/>
      <c r="BA41" s="216">
        <f>3200*Tabla3[[#This Row],[% Beca Reinscripciones UNAM 17-18]]</f>
        <v>0</v>
      </c>
      <c r="BB41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41" s="217">
        <v>0.6</v>
      </c>
      <c r="BD41" s="218" t="e">
        <f>Tabla3[[#This Row],[Monto Colegiatura ]]*Tabla3[[#This Row],[% Beca Comunidad 17-18]]</f>
        <v>#N/A</v>
      </c>
      <c r="BE41" s="218" t="e">
        <f>Tabla3[[#This Row],[Cantidad Beca Comunidad Colegiatura 17-18]]*75%</f>
        <v>#N/A</v>
      </c>
      <c r="BF41" s="219"/>
      <c r="BG41" s="218" t="e">
        <f>Tabla3[[#This Row],[Reinscripción]]*Tabla3[[#This Row],[% Beca Reinscripciones Comunidad 18-19]]</f>
        <v>#N/A</v>
      </c>
      <c r="BH41" s="218" t="e">
        <f>Tabla3[[#This Row],[Cantidad Beca Reinscripciones Comunidad 18-19]]*70%</f>
        <v>#N/A</v>
      </c>
      <c r="BI41" s="216" t="e">
        <f>Tabla3[[#This Row],[75% Cantidad Beca Comunidad Colegiatura 17-18]]+Tabla3[[#This Row],[70% Cantidad Beca Reinscripciones 18-19]]</f>
        <v>#N/A</v>
      </c>
      <c r="BJ41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41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41" s="220"/>
      <c r="BM41" s="204"/>
      <c r="BN41" s="240"/>
      <c r="BO41" s="241"/>
      <c r="BP41" s="107">
        <f>Tabla3[[#This Row],[% AutorizadoBeca Colegiatura 17-18]]+Tabla3[[#This Row],[% Beca Prestacion 17-18]]+Tabla3[[#This Row],[% Beca UNAM 17-18]]</f>
        <v>0</v>
      </c>
      <c r="BQ41" s="108">
        <f t="shared" si="0"/>
        <v>0</v>
      </c>
      <c r="BR41" s="107">
        <f>Tabla3[[#This Row],[% Beca Comunidad 17-18]]</f>
        <v>0.6</v>
      </c>
      <c r="BS41" s="108">
        <f t="shared" si="1"/>
        <v>688.19999999999993</v>
      </c>
      <c r="BT41" s="108">
        <f t="shared" si="2"/>
        <v>172.04999999999998</v>
      </c>
      <c r="BU41" s="108">
        <f>Tabla3[[#This Row],[Monto3]]*75%</f>
        <v>516.15</v>
      </c>
      <c r="BV41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41" s="107" t="e">
        <f>VLOOKUP(Tabla3[[#This Row],[Nombre del Alumno]],'[3]BECAS COLEGIATURAS'!$I:$N,6,0)</f>
        <v>#N/A</v>
      </c>
      <c r="BX41" s="107" t="e">
        <f>VLOOKUP(Tabla3[[#This Row],[Nombre del Alumno]],[1]!Tabla1[[NOMBRE DEL ALUMNO]:[MATRIZ]],6,0)</f>
        <v>#REF!</v>
      </c>
      <c r="BY41" s="107" t="e">
        <f>VLOOKUP(Tabla3[[#This Row],[Nombre del Alumno]],'[3]BECAS COLEGIATURAS'!$I:$L,4,0)</f>
        <v>#N/A</v>
      </c>
      <c r="BZ41" s="108" t="e">
        <f>VLOOKUP(Tabla3[[#This Row],[Grado 18-19]],[2]Cuotas!$Q:$U,2,0)</f>
        <v>#N/A</v>
      </c>
      <c r="CA41" s="108" t="e">
        <f>VLOOKUP(Tabla3[[#This Row],[Grado 18-19]],[2]Cuotas!$Q:$U,3,0)</f>
        <v>#N/A</v>
      </c>
      <c r="CB41" s="108" t="e">
        <f>VLOOKUP(Tabla3[[#This Row],[Grado 18-19]],[2]Cuotas!$Q:$U,4,0)</f>
        <v>#N/A</v>
      </c>
      <c r="CC41" s="107">
        <v>0</v>
      </c>
      <c r="CD41" s="222">
        <v>0.2</v>
      </c>
      <c r="CE41" s="218" t="e">
        <f>Tabla3[[#This Row],[Monto Colegiatura 2018-2019]]*Tabla3[[#This Row],[% AutorizadoBeca Colegiatura 18-19]]</f>
        <v>#N/A</v>
      </c>
      <c r="CF41" s="223"/>
      <c r="CG41" s="218" t="e">
        <f>Tabla3[[#This Row],[Monto Colegiatura 2018-2019]]*Tabla3[[#This Row],[% Beca Prestacion 18-19]]</f>
        <v>#N/A</v>
      </c>
      <c r="CH41" s="223"/>
      <c r="CI41" s="218" t="e">
        <f>Tabla3[[#This Row],[Canasta 2018-2019]]*Tabla3[[#This Row],[% Beca Canasta 18-19]]</f>
        <v>#N/A</v>
      </c>
      <c r="CJ41" s="223"/>
      <c r="CK41" s="218" t="e">
        <f>Tabla3[[#This Row],[Reinscripción 2019-2020]]*Tabla3[[#This Row],[% Beca Reinscripciones 19-20]]</f>
        <v>#N/A</v>
      </c>
      <c r="CL41" s="218" t="e">
        <f>Tabla3[[#This Row],[Cantidad Beca Comunidad Colegiatura 18-19]]*25%</f>
        <v>#N/A</v>
      </c>
      <c r="CM41" s="224" t="e">
        <f>Tabla3[[#This Row],[Cantidad Beca Reinscripciones Comunidad 19-20]]*25%</f>
        <v>#N/A</v>
      </c>
      <c r="CN41" s="222"/>
      <c r="CO41" s="218" t="e">
        <f>Tabla3[[#This Row],[Monto Colegiatura 2018-2019]]*Tabla3[[#This Row],[% Beca UNAM 18-19]]</f>
        <v>#N/A</v>
      </c>
      <c r="CP41" s="225"/>
      <c r="CQ41" s="224">
        <f>3328*Tabla3[[#This Row],[% Beca Reinscripciones UNAM 18-19]]</f>
        <v>0</v>
      </c>
      <c r="CR41" s="226" t="e">
        <f>Tabla3[[#This Row],[Cantidad Beca Colegiatura 18-19]]+Tabla3[[#This Row],[Cantidad Beca Canasta 18-19]]+Tabla3[[#This Row],[Cantidad Beca Reinscripciones 19-20]]</f>
        <v>#N/A</v>
      </c>
      <c r="CS41" s="222">
        <v>0.6</v>
      </c>
      <c r="CT41" s="218" t="e">
        <f>Tabla3[[#This Row],[Monto Colegiatura 2018-2019]]*Tabla3[[#This Row],[% Beca Comunidad 18-19]]</f>
        <v>#N/A</v>
      </c>
      <c r="CU41" s="218" t="e">
        <f>Tabla3[[#This Row],[Cantidad Beca Comunidad Colegiatura 18-19]]*75%</f>
        <v>#N/A</v>
      </c>
      <c r="CV41" s="223"/>
      <c r="CW41" s="218" t="e">
        <f>Tabla3[[#This Row],[Reinscripción 2019-2020]]*Tabla3[[#This Row],[% Beca Reinscripciones Comunidad 19-20]]</f>
        <v>#N/A</v>
      </c>
      <c r="CX41" s="218" t="e">
        <f>Tabla3[[#This Row],[Cantidad Beca Reinscripciones Comunidad 19-20]]*75%</f>
        <v>#N/A</v>
      </c>
      <c r="CY41" s="227" t="e">
        <f>Tabla3[[#This Row],[75% Cantidad Beca Comunidad Colegiatura 18-19]]+Tabla3[[#This Row],[75% Cantidad Beca Reinscripciones 19-20]]</f>
        <v>#N/A</v>
      </c>
      <c r="CZ41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41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41" s="108">
        <f>1440*(Tabla3[[#This Row],[% AutorizadoBeca Colegiatura 18-19]]+Tabla3[[#This Row],[% Beca Prestacion 18-19]]+Tabla3[[#This Row],[% Beca UNAM 18-19]]+Tabla3[[#This Row],[% Beca Comunidad 18-19]])</f>
        <v>1152</v>
      </c>
    </row>
    <row r="42" spans="2:106" ht="15" customHeight="1" x14ac:dyDescent="0.2">
      <c r="B42" s="107" t="s">
        <v>436</v>
      </c>
      <c r="C42" s="107" t="e">
        <f>VLOOKUP(Tabla3[[#This Row],[Nombre del Padre]],[1]!Tabla1[[PADRE]:[PADRE_CELULAR]],2,0)</f>
        <v>#REF!</v>
      </c>
      <c r="D42" s="107" t="e">
        <f>VLOOKUP(Tabla3[[#This Row],[Nombre del Padre]],[1]!Tabla1[[PADRE]:[PADRE_CELULAR]],3,0)</f>
        <v>#REF!</v>
      </c>
      <c r="E42" s="107" t="s">
        <v>437</v>
      </c>
      <c r="F42" s="107" t="e">
        <f>VLOOKUP(Tabla3[[#This Row],[Nombre de la Madre]],[1]!Tabla1[[MADRE]:[MADRE_TELEFONO]],2,0)</f>
        <v>#REF!</v>
      </c>
      <c r="G42" s="202" t="e">
        <f>VLOOKUP(Tabla3[[#This Row],[Nombre de la Madre]],[1]!Tabla1[[MADRE]:[MADRE_TELEFONO]],3,0)</f>
        <v>#REF!</v>
      </c>
      <c r="H42" s="230"/>
      <c r="I42" s="204">
        <v>2336</v>
      </c>
      <c r="J42" s="204" t="s">
        <v>438</v>
      </c>
      <c r="K42" s="204" t="s">
        <v>273</v>
      </c>
      <c r="L42" s="204" t="s">
        <v>441</v>
      </c>
      <c r="M42" s="205" t="s">
        <v>442</v>
      </c>
      <c r="N42" s="204" t="s">
        <v>282</v>
      </c>
      <c r="O42" s="206" t="e">
        <f>VLOOKUP(Tabla3[[#This Row],[Grado]],[2]Cuotas!$A:$E,2,0)</f>
        <v>#N/A</v>
      </c>
      <c r="P42" s="206" t="e">
        <f>VLOOKUP(Tabla3[[#This Row],[Grado]],[2]Cuotas!$A:$E,4,0)</f>
        <v>#N/A</v>
      </c>
      <c r="Q42" s="206" t="e">
        <f>VLOOKUP(Tabla3[[#This Row],[Grado]],[2]Cuotas!$A:$E,3,0)</f>
        <v>#N/A</v>
      </c>
      <c r="R42" s="207"/>
      <c r="S42" s="206" t="e">
        <f>Tabla3[[#This Row],[Monto Colegiatura]]*Tabla3[[#This Row],[% Beca Colegio 16-17]]</f>
        <v>#N/A</v>
      </c>
      <c r="T42" s="206"/>
      <c r="U42" s="206" t="e">
        <f>Tabla3[[#This Row],[Monto Colegiatura]]*Tabla3[[#This Row],[% Beca Prestación 16-17]]</f>
        <v>#N/A</v>
      </c>
      <c r="V42" s="208">
        <v>0.6</v>
      </c>
      <c r="W42" s="206" t="e">
        <f>Tabla3[[#This Row],[Monto Colegiatura]]*Tabla3[[#This Row],[% Beca Comunidad 16-17]]</f>
        <v>#N/A</v>
      </c>
      <c r="X42" s="206" t="e">
        <f>Tabla3[[#This Row],[Cantidad Beca Comunidad 16-17]]*25%</f>
        <v>#N/A</v>
      </c>
      <c r="Y42" s="206"/>
      <c r="Z42" s="206" t="e">
        <f>Tabla3[[#This Row],[Monto Colegiatura]]*Tabla3[[#This Row],[% Beca UNAM 16-17]]</f>
        <v>#N/A</v>
      </c>
      <c r="AA42" s="208"/>
      <c r="AB42" s="206" t="e">
        <f>Tabla3[[#This Row],[Monto Reinscripción]]*Tabla3[[#This Row],[% Beca Reinscripción 16-17]]</f>
        <v>#N/A</v>
      </c>
      <c r="AC42" s="206"/>
      <c r="AD42" s="206" t="e">
        <f>Tabla3[[#This Row],[Monto Canasta]]*Tabla3[[#This Row],[% Beca Canasta 16-17]]</f>
        <v>#N/A</v>
      </c>
      <c r="AE42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42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42" s="209" t="e">
        <f>VLOOKUP(Tabla3[[#This Row],[Nombre del Alumno]],[2]!Tabla1[[Alumno]:[Cuenta Ciclos]],2,0)</f>
        <v>#REF!</v>
      </c>
      <c r="AH42" s="210" t="s">
        <v>443</v>
      </c>
      <c r="AI42" s="211" t="s">
        <v>284</v>
      </c>
      <c r="AJ42" s="206" t="e">
        <f>VLOOKUP(Tabla3[[#This Row],[Grado 17-18]],[2]Cuotas!$H:$L,2,0)</f>
        <v>#N/A</v>
      </c>
      <c r="AK42" s="206" t="e">
        <f>VLOOKUP(Tabla3[[#This Row],[Grado 17-18]],[2]Cuotas!$H:$L,3,0)</f>
        <v>#N/A</v>
      </c>
      <c r="AL42" s="206" t="e">
        <f>VLOOKUP(Tabla3[[#This Row],[Grado 17-18]],[2]Cuotas!$H:$L,4,0)</f>
        <v>#N/A</v>
      </c>
      <c r="AM42" s="229">
        <v>0.4</v>
      </c>
      <c r="AN42" s="213"/>
      <c r="AO42" s="206" t="e">
        <f>Tabla3[[#This Row],[Monto Colegiatura ]]*Tabla3[[#This Row],[% AutorizadoBeca Colegiatura 17-18]]</f>
        <v>#N/A</v>
      </c>
      <c r="AP42" s="208"/>
      <c r="AQ42" s="206" t="e">
        <f>Tabla3[[#This Row],[Monto Colegiatura ]]*Tabla3[[#This Row],[% Beca Prestacion 17-18]]</f>
        <v>#N/A</v>
      </c>
      <c r="AR42" s="208"/>
      <c r="AS42" s="206" t="e">
        <f>Tabla3[[#This Row],[Canasta]]*Tabla3[[#This Row],[% Beca Canasta 17-18]]</f>
        <v>#N/A</v>
      </c>
      <c r="AT42" s="208"/>
      <c r="AU42" s="214">
        <v>0</v>
      </c>
      <c r="AV42" s="206" t="e">
        <f>Tabla3[[#This Row],[Cantidad Beca Comunidad Colegiatura 17-18]]*25%</f>
        <v>#N/A</v>
      </c>
      <c r="AW42" s="206"/>
      <c r="AX42" s="215"/>
      <c r="AY42" s="206" t="e">
        <f>Tabla3[[#This Row],[Monto Colegiatura ]]*Tabla3[[#This Row],[% Beca UNAM 17-18]]</f>
        <v>#N/A</v>
      </c>
      <c r="AZ42" s="206"/>
      <c r="BA42" s="216">
        <f>3200*Tabla3[[#This Row],[% Beca Reinscripciones UNAM 17-18]]</f>
        <v>0</v>
      </c>
      <c r="BB42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42" s="231">
        <v>0.6</v>
      </c>
      <c r="BD42" s="218" t="e">
        <f>Tabla3[[#This Row],[Monto Colegiatura ]]*Tabla3[[#This Row],[% Beca Comunidad 17-18]]</f>
        <v>#N/A</v>
      </c>
      <c r="BE42" s="218" t="e">
        <f>Tabla3[[#This Row],[Cantidad Beca Comunidad Colegiatura 17-18]]*75%</f>
        <v>#N/A</v>
      </c>
      <c r="BF42" s="219"/>
      <c r="BG42" s="218" t="e">
        <f>Tabla3[[#This Row],[Reinscripción]]*Tabla3[[#This Row],[% Beca Reinscripciones Comunidad 18-19]]</f>
        <v>#N/A</v>
      </c>
      <c r="BH42" s="218" t="e">
        <f>Tabla3[[#This Row],[Cantidad Beca Reinscripciones Comunidad 18-19]]*70%</f>
        <v>#N/A</v>
      </c>
      <c r="BI42" s="216" t="e">
        <f>Tabla3[[#This Row],[75% Cantidad Beca Comunidad Colegiatura 17-18]]+Tabla3[[#This Row],[70% Cantidad Beca Reinscripciones 18-19]]</f>
        <v>#N/A</v>
      </c>
      <c r="BJ42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42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42" s="220"/>
      <c r="BM42" s="204"/>
      <c r="BN42" s="221" t="s">
        <v>444</v>
      </c>
      <c r="BO42" s="107"/>
      <c r="BP42" s="107">
        <f>Tabla3[[#This Row],[% AutorizadoBeca Colegiatura 17-18]]+Tabla3[[#This Row],[% Beca Prestacion 17-18]]+Tabla3[[#This Row],[% Beca UNAM 17-18]]</f>
        <v>0</v>
      </c>
      <c r="BQ42" s="108">
        <f t="shared" si="0"/>
        <v>0</v>
      </c>
      <c r="BR42" s="107">
        <f>Tabla3[[#This Row],[% Beca Comunidad 17-18]]</f>
        <v>0.6</v>
      </c>
      <c r="BS42" s="108">
        <f t="shared" si="1"/>
        <v>688.19999999999993</v>
      </c>
      <c r="BT42" s="108">
        <f t="shared" si="2"/>
        <v>172.04999999999998</v>
      </c>
      <c r="BU42" s="108">
        <f>Tabla3[[#This Row],[Monto3]]*75%</f>
        <v>516.15</v>
      </c>
      <c r="BV42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42" s="107" t="e">
        <f>VLOOKUP(Tabla3[[#This Row],[Nombre del Alumno]],'[3]BECAS COLEGIATURAS'!$I:$N,6,0)</f>
        <v>#N/A</v>
      </c>
      <c r="BX42" s="107" t="e">
        <f>VLOOKUP(Tabla3[[#This Row],[Nombre del Alumno]],[1]!Tabla1[[NOMBRE DEL ALUMNO]:[MATRIZ]],6,0)</f>
        <v>#REF!</v>
      </c>
      <c r="BY42" s="107" t="e">
        <f>VLOOKUP(Tabla3[[#This Row],[Nombre del Alumno]],'[3]BECAS COLEGIATURAS'!$I:$L,4,0)</f>
        <v>#N/A</v>
      </c>
      <c r="BZ42" s="108" t="e">
        <f>VLOOKUP(Tabla3[[#This Row],[Grado 18-19]],[2]Cuotas!$Q:$U,2,0)</f>
        <v>#N/A</v>
      </c>
      <c r="CA42" s="108" t="e">
        <f>VLOOKUP(Tabla3[[#This Row],[Grado 18-19]],[2]Cuotas!$Q:$U,3,0)</f>
        <v>#N/A</v>
      </c>
      <c r="CB42" s="108" t="e">
        <f>VLOOKUP(Tabla3[[#This Row],[Grado 18-19]],[2]Cuotas!$Q:$U,4,0)</f>
        <v>#N/A</v>
      </c>
      <c r="CC42" s="107">
        <v>0</v>
      </c>
      <c r="CD42" s="222">
        <v>0.2</v>
      </c>
      <c r="CE42" s="218" t="e">
        <f>Tabla3[[#This Row],[Monto Colegiatura 2018-2019]]*Tabla3[[#This Row],[% AutorizadoBeca Colegiatura 18-19]]</f>
        <v>#N/A</v>
      </c>
      <c r="CF42" s="223"/>
      <c r="CG42" s="218" t="e">
        <f>Tabla3[[#This Row],[Monto Colegiatura 2018-2019]]*Tabla3[[#This Row],[% Beca Prestacion 18-19]]</f>
        <v>#N/A</v>
      </c>
      <c r="CH42" s="223"/>
      <c r="CI42" s="218" t="e">
        <f>Tabla3[[#This Row],[Canasta 2018-2019]]*Tabla3[[#This Row],[% Beca Canasta 18-19]]</f>
        <v>#N/A</v>
      </c>
      <c r="CJ42" s="223"/>
      <c r="CK42" s="218" t="e">
        <f>Tabla3[[#This Row],[Reinscripción 2019-2020]]*Tabla3[[#This Row],[% Beca Reinscripciones 19-20]]</f>
        <v>#N/A</v>
      </c>
      <c r="CL42" s="218" t="e">
        <f>Tabla3[[#This Row],[Cantidad Beca Comunidad Colegiatura 18-19]]*25%</f>
        <v>#N/A</v>
      </c>
      <c r="CM42" s="224" t="e">
        <f>Tabla3[[#This Row],[Cantidad Beca Reinscripciones Comunidad 19-20]]*25%</f>
        <v>#N/A</v>
      </c>
      <c r="CN42" s="222"/>
      <c r="CO42" s="218" t="e">
        <f>Tabla3[[#This Row],[Monto Colegiatura 2018-2019]]*Tabla3[[#This Row],[% Beca UNAM 18-19]]</f>
        <v>#N/A</v>
      </c>
      <c r="CP42" s="225"/>
      <c r="CQ42" s="224">
        <f>3328*Tabla3[[#This Row],[% Beca Reinscripciones UNAM 18-19]]</f>
        <v>0</v>
      </c>
      <c r="CR42" s="226" t="e">
        <f>Tabla3[[#This Row],[Cantidad Beca Colegiatura 18-19]]+Tabla3[[#This Row],[Cantidad Beca Canasta 18-19]]+Tabla3[[#This Row],[Cantidad Beca Reinscripciones 19-20]]</f>
        <v>#N/A</v>
      </c>
      <c r="CS42" s="222">
        <v>0.6</v>
      </c>
      <c r="CT42" s="218" t="e">
        <f>Tabla3[[#This Row],[Monto Colegiatura 2018-2019]]*Tabla3[[#This Row],[% Beca Comunidad 18-19]]</f>
        <v>#N/A</v>
      </c>
      <c r="CU42" s="218" t="e">
        <f>Tabla3[[#This Row],[Cantidad Beca Comunidad Colegiatura 18-19]]*75%</f>
        <v>#N/A</v>
      </c>
      <c r="CV42" s="223"/>
      <c r="CW42" s="218" t="e">
        <f>Tabla3[[#This Row],[Reinscripción 2019-2020]]*Tabla3[[#This Row],[% Beca Reinscripciones Comunidad 19-20]]</f>
        <v>#N/A</v>
      </c>
      <c r="CX42" s="218" t="e">
        <f>Tabla3[[#This Row],[Cantidad Beca Reinscripciones Comunidad 19-20]]*75%</f>
        <v>#N/A</v>
      </c>
      <c r="CY42" s="227" t="e">
        <f>Tabla3[[#This Row],[75% Cantidad Beca Comunidad Colegiatura 18-19]]+Tabla3[[#This Row],[75% Cantidad Beca Reinscripciones 19-20]]</f>
        <v>#N/A</v>
      </c>
      <c r="CZ42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42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42" s="108">
        <f>1440*(Tabla3[[#This Row],[% AutorizadoBeca Colegiatura 18-19]]+Tabla3[[#This Row],[% Beca Prestacion 18-19]]+Tabla3[[#This Row],[% Beca UNAM 18-19]]+Tabla3[[#This Row],[% Beca Comunidad 18-19]])</f>
        <v>1152</v>
      </c>
    </row>
    <row r="43" spans="2:106" ht="15" customHeight="1" x14ac:dyDescent="0.2">
      <c r="B43" s="107" t="s">
        <v>445</v>
      </c>
      <c r="C43" s="107" t="e">
        <f>VLOOKUP(Tabla3[[#This Row],[Nombre del Padre]],[1]!Tabla1[[PADRE]:[PADRE_CELULAR]],2,0)</f>
        <v>#REF!</v>
      </c>
      <c r="D43" s="107" t="e">
        <f>VLOOKUP(Tabla3[[#This Row],[Nombre del Padre]],[1]!Tabla1[[PADRE]:[PADRE_CELULAR]],3,0)</f>
        <v>#REF!</v>
      </c>
      <c r="E43" s="107" t="s">
        <v>446</v>
      </c>
      <c r="F43" s="107" t="e">
        <f>VLOOKUP(Tabla3[[#This Row],[Nombre de la Madre]],[1]!Tabla1[[MADRE]:[MADRE_TELEFONO]],2,0)</f>
        <v>#REF!</v>
      </c>
      <c r="G43" s="202" t="e">
        <f>VLOOKUP(Tabla3[[#This Row],[Nombre de la Madre]],[1]!Tabla1[[MADRE]:[MADRE_TELEFONO]],3,0)</f>
        <v>#REF!</v>
      </c>
      <c r="H43" s="228">
        <v>29</v>
      </c>
      <c r="I43" s="204">
        <v>2015</v>
      </c>
      <c r="J43" s="204" t="s">
        <v>447</v>
      </c>
      <c r="K43" s="204" t="s">
        <v>273</v>
      </c>
      <c r="L43" s="204" t="s">
        <v>448</v>
      </c>
      <c r="M43" s="205" t="s">
        <v>449</v>
      </c>
      <c r="N43" s="204" t="s">
        <v>284</v>
      </c>
      <c r="O43" s="206" t="e">
        <f>VLOOKUP(Tabla3[[#This Row],[Grado]],[2]Cuotas!$A:$E,2,0)</f>
        <v>#N/A</v>
      </c>
      <c r="P43" s="206" t="e">
        <f>VLOOKUP(Tabla3[[#This Row],[Grado]],[2]Cuotas!$A:$E,4,0)</f>
        <v>#N/A</v>
      </c>
      <c r="Q43" s="206" t="e">
        <f>VLOOKUP(Tabla3[[#This Row],[Grado]],[2]Cuotas!$A:$E,3,0)</f>
        <v>#N/A</v>
      </c>
      <c r="R43" s="207">
        <v>0.1</v>
      </c>
      <c r="S43" s="206" t="e">
        <f>Tabla3[[#This Row],[Monto Colegiatura]]*Tabla3[[#This Row],[% Beca Colegio 16-17]]</f>
        <v>#N/A</v>
      </c>
      <c r="T43" s="206"/>
      <c r="U43" s="206" t="e">
        <f>Tabla3[[#This Row],[Monto Colegiatura]]*Tabla3[[#This Row],[% Beca Prestación 16-17]]</f>
        <v>#N/A</v>
      </c>
      <c r="V43" s="208">
        <v>0.4</v>
      </c>
      <c r="W43" s="206" t="e">
        <f>Tabla3[[#This Row],[Monto Colegiatura]]*Tabla3[[#This Row],[% Beca Comunidad 16-17]]</f>
        <v>#N/A</v>
      </c>
      <c r="X43" s="206" t="e">
        <f>Tabla3[[#This Row],[Cantidad Beca Comunidad 16-17]]*25%</f>
        <v>#N/A</v>
      </c>
      <c r="Y43" s="206"/>
      <c r="Z43" s="206" t="e">
        <f>Tabla3[[#This Row],[Monto Colegiatura]]*Tabla3[[#This Row],[% Beca UNAM 16-17]]</f>
        <v>#N/A</v>
      </c>
      <c r="AA43" s="208"/>
      <c r="AB43" s="206" t="e">
        <f>Tabla3[[#This Row],[Monto Reinscripción]]*Tabla3[[#This Row],[% Beca Reinscripción 16-17]]</f>
        <v>#N/A</v>
      </c>
      <c r="AC43" s="206"/>
      <c r="AD43" s="206" t="e">
        <f>Tabla3[[#This Row],[Monto Canasta]]*Tabla3[[#This Row],[% Beca Canasta 16-17]]</f>
        <v>#N/A</v>
      </c>
      <c r="AE43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43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43" s="209" t="e">
        <f>VLOOKUP(Tabla3[[#This Row],[Nombre del Alumno]],[2]!Tabla1[[Alumno]:[Cuenta Ciclos]],2,0)</f>
        <v>#REF!</v>
      </c>
      <c r="AH43" s="210" t="s">
        <v>450</v>
      </c>
      <c r="AI43" s="211" t="s">
        <v>330</v>
      </c>
      <c r="AJ43" s="206" t="e">
        <f>VLOOKUP(Tabla3[[#This Row],[Grado 17-18]],[2]Cuotas!$H:$L,2,0)</f>
        <v>#N/A</v>
      </c>
      <c r="AK43" s="206" t="e">
        <f>VLOOKUP(Tabla3[[#This Row],[Grado 17-18]],[2]Cuotas!$H:$L,3,0)</f>
        <v>#N/A</v>
      </c>
      <c r="AL43" s="206" t="e">
        <f>VLOOKUP(Tabla3[[#This Row],[Grado 17-18]],[2]Cuotas!$H:$L,4,0)</f>
        <v>#N/A</v>
      </c>
      <c r="AM43" s="229">
        <v>0.3</v>
      </c>
      <c r="AN43" s="213">
        <v>0.1</v>
      </c>
      <c r="AO43" s="206" t="e">
        <f>Tabla3[[#This Row],[Monto Colegiatura ]]*Tabla3[[#This Row],[% AutorizadoBeca Colegiatura 17-18]]</f>
        <v>#N/A</v>
      </c>
      <c r="AP43" s="208"/>
      <c r="AQ43" s="206" t="e">
        <f>Tabla3[[#This Row],[Monto Colegiatura ]]*Tabla3[[#This Row],[% Beca Prestacion 17-18]]</f>
        <v>#N/A</v>
      </c>
      <c r="AR43" s="208"/>
      <c r="AS43" s="206" t="e">
        <f>Tabla3[[#This Row],[Canasta]]*Tabla3[[#This Row],[% Beca Canasta 17-18]]</f>
        <v>#N/A</v>
      </c>
      <c r="AT43" s="208"/>
      <c r="AU43" s="214">
        <v>0</v>
      </c>
      <c r="AV43" s="206" t="e">
        <f>Tabla3[[#This Row],[Cantidad Beca Comunidad Colegiatura 17-18]]*25%</f>
        <v>#N/A</v>
      </c>
      <c r="AW43" s="206"/>
      <c r="AX43" s="215"/>
      <c r="AY43" s="206" t="e">
        <f>Tabla3[[#This Row],[Monto Colegiatura ]]*Tabla3[[#This Row],[% Beca UNAM 17-18]]</f>
        <v>#N/A</v>
      </c>
      <c r="AZ43" s="206"/>
      <c r="BA43" s="216">
        <f>3200*Tabla3[[#This Row],[% Beca Reinscripciones UNAM 17-18]]</f>
        <v>0</v>
      </c>
      <c r="BB43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43" s="231">
        <v>0.6</v>
      </c>
      <c r="BD43" s="218" t="e">
        <f>Tabla3[[#This Row],[Monto Colegiatura ]]*Tabla3[[#This Row],[% Beca Comunidad 17-18]]</f>
        <v>#N/A</v>
      </c>
      <c r="BE43" s="218" t="e">
        <f>Tabla3[[#This Row],[Cantidad Beca Comunidad Colegiatura 17-18]]*75%</f>
        <v>#N/A</v>
      </c>
      <c r="BF43" s="219"/>
      <c r="BG43" s="218" t="e">
        <f>Tabla3[[#This Row],[Reinscripción]]*Tabla3[[#This Row],[% Beca Reinscripciones Comunidad 18-19]]</f>
        <v>#N/A</v>
      </c>
      <c r="BH43" s="218" t="e">
        <f>Tabla3[[#This Row],[Cantidad Beca Reinscripciones Comunidad 18-19]]*70%</f>
        <v>#N/A</v>
      </c>
      <c r="BI43" s="216" t="e">
        <f>Tabla3[[#This Row],[75% Cantidad Beca Comunidad Colegiatura 17-18]]+Tabla3[[#This Row],[70% Cantidad Beca Reinscripciones 18-19]]</f>
        <v>#N/A</v>
      </c>
      <c r="BJ43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43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43" s="220"/>
      <c r="BM43" s="229"/>
      <c r="BN43" s="221" t="s">
        <v>451</v>
      </c>
      <c r="BO43" s="107"/>
      <c r="BP43" s="107">
        <f>Tabla3[[#This Row],[% AutorizadoBeca Colegiatura 17-18]]+Tabla3[[#This Row],[% Beca Prestacion 17-18]]+Tabla3[[#This Row],[% Beca UNAM 17-18]]</f>
        <v>0.1</v>
      </c>
      <c r="BQ43" s="108">
        <f t="shared" si="0"/>
        <v>114.7</v>
      </c>
      <c r="BR43" s="107">
        <f>Tabla3[[#This Row],[% Beca Comunidad 17-18]]</f>
        <v>0.6</v>
      </c>
      <c r="BS43" s="108">
        <f t="shared" si="1"/>
        <v>688.19999999999993</v>
      </c>
      <c r="BT43" s="108">
        <f t="shared" si="2"/>
        <v>172.04999999999998</v>
      </c>
      <c r="BU43" s="108">
        <f>Tabla3[[#This Row],[Monto3]]*75%</f>
        <v>516.15</v>
      </c>
      <c r="BV43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43" s="107" t="e">
        <f>VLOOKUP(Tabla3[[#This Row],[Nombre del Alumno]],'[3]BECAS COLEGIATURAS'!$I:$N,6,0)</f>
        <v>#N/A</v>
      </c>
      <c r="BX43" s="107" t="e">
        <f>VLOOKUP(Tabla3[[#This Row],[Nombre del Alumno]],[1]!Tabla1[[NOMBRE DEL ALUMNO]:[MATRIZ]],6,0)</f>
        <v>#REF!</v>
      </c>
      <c r="BY43" s="107" t="e">
        <f>VLOOKUP(Tabla3[[#This Row],[Nombre del Alumno]],'[3]BECAS COLEGIATURAS'!$I:$L,4,0)</f>
        <v>#N/A</v>
      </c>
      <c r="BZ43" s="108" t="e">
        <f>VLOOKUP(Tabla3[[#This Row],[Grado 18-19]],[2]Cuotas!$Q:$U,2,0)</f>
        <v>#N/A</v>
      </c>
      <c r="CA43" s="108" t="e">
        <f>VLOOKUP(Tabla3[[#This Row],[Grado 18-19]],[2]Cuotas!$Q:$U,3,0)</f>
        <v>#N/A</v>
      </c>
      <c r="CB43" s="108" t="e">
        <f>VLOOKUP(Tabla3[[#This Row],[Grado 18-19]],[2]Cuotas!$Q:$U,4,0)</f>
        <v>#N/A</v>
      </c>
      <c r="CC43" s="107">
        <v>20</v>
      </c>
      <c r="CD43" s="222">
        <v>0.1</v>
      </c>
      <c r="CE43" s="218" t="e">
        <f>Tabla3[[#This Row],[Monto Colegiatura 2018-2019]]*Tabla3[[#This Row],[% AutorizadoBeca Colegiatura 18-19]]</f>
        <v>#N/A</v>
      </c>
      <c r="CF43" s="223"/>
      <c r="CG43" s="218" t="e">
        <f>Tabla3[[#This Row],[Monto Colegiatura 2018-2019]]*Tabla3[[#This Row],[% Beca Prestacion 18-19]]</f>
        <v>#N/A</v>
      </c>
      <c r="CH43" s="223"/>
      <c r="CI43" s="218" t="e">
        <f>Tabla3[[#This Row],[Canasta 2018-2019]]*Tabla3[[#This Row],[% Beca Canasta 18-19]]</f>
        <v>#N/A</v>
      </c>
      <c r="CJ43" s="223"/>
      <c r="CK43" s="218" t="e">
        <f>Tabla3[[#This Row],[Reinscripción 2019-2020]]*Tabla3[[#This Row],[% Beca Reinscripciones 19-20]]</f>
        <v>#N/A</v>
      </c>
      <c r="CL43" s="218" t="e">
        <f>Tabla3[[#This Row],[Cantidad Beca Comunidad Colegiatura 18-19]]*25%</f>
        <v>#N/A</v>
      </c>
      <c r="CM43" s="224" t="e">
        <f>Tabla3[[#This Row],[Cantidad Beca Reinscripciones Comunidad 19-20]]*25%</f>
        <v>#N/A</v>
      </c>
      <c r="CN43" s="222"/>
      <c r="CO43" s="218" t="e">
        <f>Tabla3[[#This Row],[Monto Colegiatura 2018-2019]]*Tabla3[[#This Row],[% Beca UNAM 18-19]]</f>
        <v>#N/A</v>
      </c>
      <c r="CP43" s="225"/>
      <c r="CQ43" s="224">
        <f>3328*Tabla3[[#This Row],[% Beca Reinscripciones UNAM 18-19]]</f>
        <v>0</v>
      </c>
      <c r="CR43" s="226" t="e">
        <f>Tabla3[[#This Row],[Cantidad Beca Colegiatura 18-19]]+Tabla3[[#This Row],[Cantidad Beca Canasta 18-19]]+Tabla3[[#This Row],[Cantidad Beca Reinscripciones 19-20]]</f>
        <v>#N/A</v>
      </c>
      <c r="CS43" s="222">
        <v>0.5</v>
      </c>
      <c r="CT43" s="218" t="e">
        <f>Tabla3[[#This Row],[Monto Colegiatura 2018-2019]]*Tabla3[[#This Row],[% Beca Comunidad 18-19]]</f>
        <v>#N/A</v>
      </c>
      <c r="CU43" s="218" t="e">
        <f>Tabla3[[#This Row],[Cantidad Beca Comunidad Colegiatura 18-19]]*75%</f>
        <v>#N/A</v>
      </c>
      <c r="CV43" s="223"/>
      <c r="CW43" s="218" t="e">
        <f>Tabla3[[#This Row],[Reinscripción 2019-2020]]*Tabla3[[#This Row],[% Beca Reinscripciones Comunidad 19-20]]</f>
        <v>#N/A</v>
      </c>
      <c r="CX43" s="218" t="e">
        <f>Tabla3[[#This Row],[Cantidad Beca Reinscripciones Comunidad 19-20]]*75%</f>
        <v>#N/A</v>
      </c>
      <c r="CY43" s="227" t="e">
        <f>Tabla3[[#This Row],[75% Cantidad Beca Comunidad Colegiatura 18-19]]+Tabla3[[#This Row],[75% Cantidad Beca Reinscripciones 19-20]]</f>
        <v>#N/A</v>
      </c>
      <c r="CZ43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43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43" s="108">
        <f>1440*(Tabla3[[#This Row],[% AutorizadoBeca Colegiatura 18-19]]+Tabla3[[#This Row],[% Beca Prestacion 18-19]]+Tabla3[[#This Row],[% Beca UNAM 18-19]]+Tabla3[[#This Row],[% Beca Comunidad 18-19]])</f>
        <v>864</v>
      </c>
    </row>
    <row r="44" spans="2:106" ht="15" customHeight="1" x14ac:dyDescent="0.2">
      <c r="B44" s="107" t="s">
        <v>445</v>
      </c>
      <c r="C44" s="107" t="e">
        <f>VLOOKUP(Tabla3[[#This Row],[Nombre del Padre]],[1]!Tabla1[[PADRE]:[PADRE_CELULAR]],2,0)</f>
        <v>#REF!</v>
      </c>
      <c r="D44" s="107" t="e">
        <f>VLOOKUP(Tabla3[[#This Row],[Nombre del Padre]],[1]!Tabla1[[PADRE]:[PADRE_CELULAR]],3,0)</f>
        <v>#REF!</v>
      </c>
      <c r="E44" s="107" t="s">
        <v>446</v>
      </c>
      <c r="F44" s="107" t="e">
        <f>VLOOKUP(Tabla3[[#This Row],[Nombre de la Madre]],[1]!Tabla1[[MADRE]:[MADRE_TELEFONO]],2,0)</f>
        <v>#REF!</v>
      </c>
      <c r="G44" s="202" t="e">
        <f>VLOOKUP(Tabla3[[#This Row],[Nombre de la Madre]],[1]!Tabla1[[MADRE]:[MADRE_TELEFONO]],3,0)</f>
        <v>#REF!</v>
      </c>
      <c r="H44" s="228"/>
      <c r="I44" s="204">
        <v>2015</v>
      </c>
      <c r="J44" s="204" t="s">
        <v>447</v>
      </c>
      <c r="K44" s="204" t="s">
        <v>273</v>
      </c>
      <c r="L44" s="204" t="s">
        <v>452</v>
      </c>
      <c r="M44" s="205" t="s">
        <v>453</v>
      </c>
      <c r="N44" s="204" t="s">
        <v>332</v>
      </c>
      <c r="O44" s="206" t="e">
        <f>VLOOKUP(Tabla3[[#This Row],[Grado]],[2]Cuotas!$A:$E,2,0)</f>
        <v>#N/A</v>
      </c>
      <c r="P44" s="206" t="e">
        <f>VLOOKUP(Tabla3[[#This Row],[Grado]],[2]Cuotas!$A:$E,4,0)</f>
        <v>#N/A</v>
      </c>
      <c r="Q44" s="206" t="e">
        <f>VLOOKUP(Tabla3[[#This Row],[Grado]],[2]Cuotas!$A:$E,3,0)</f>
        <v>#N/A</v>
      </c>
      <c r="R44" s="207">
        <v>0.1</v>
      </c>
      <c r="S44" s="206" t="e">
        <f>Tabla3[[#This Row],[Monto Colegiatura]]*Tabla3[[#This Row],[% Beca Colegio 16-17]]</f>
        <v>#N/A</v>
      </c>
      <c r="T44" s="206"/>
      <c r="U44" s="206" t="e">
        <f>Tabla3[[#This Row],[Monto Colegiatura]]*Tabla3[[#This Row],[% Beca Prestación 16-17]]</f>
        <v>#N/A</v>
      </c>
      <c r="V44" s="208">
        <v>0.4</v>
      </c>
      <c r="W44" s="206" t="e">
        <f>Tabla3[[#This Row],[Monto Colegiatura]]*Tabla3[[#This Row],[% Beca Comunidad 16-17]]</f>
        <v>#N/A</v>
      </c>
      <c r="X44" s="206" t="e">
        <f>Tabla3[[#This Row],[Cantidad Beca Comunidad 16-17]]*25%</f>
        <v>#N/A</v>
      </c>
      <c r="Y44" s="206"/>
      <c r="Z44" s="206" t="e">
        <f>Tabla3[[#This Row],[Monto Colegiatura]]*Tabla3[[#This Row],[% Beca UNAM 16-17]]</f>
        <v>#N/A</v>
      </c>
      <c r="AA44" s="208"/>
      <c r="AB44" s="206" t="e">
        <f>Tabla3[[#This Row],[Monto Reinscripción]]*Tabla3[[#This Row],[% Beca Reinscripción 16-17]]</f>
        <v>#N/A</v>
      </c>
      <c r="AC44" s="206"/>
      <c r="AD44" s="206" t="e">
        <f>Tabla3[[#This Row],[Monto Canasta]]*Tabla3[[#This Row],[% Beca Canasta 16-17]]</f>
        <v>#N/A</v>
      </c>
      <c r="AE44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44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44" s="209" t="e">
        <f>VLOOKUP(Tabla3[[#This Row],[Nombre del Alumno]],[2]!Tabla1[[Alumno]:[Cuenta Ciclos]],2,0)</f>
        <v>#REF!</v>
      </c>
      <c r="AH44" s="210" t="s">
        <v>454</v>
      </c>
      <c r="AI44" s="211" t="s">
        <v>336</v>
      </c>
      <c r="AJ44" s="206" t="e">
        <f>VLOOKUP(Tabla3[[#This Row],[Grado 17-18]],[2]Cuotas!$H:$L,2,0)</f>
        <v>#N/A</v>
      </c>
      <c r="AK44" s="206" t="e">
        <f>VLOOKUP(Tabla3[[#This Row],[Grado 17-18]],[2]Cuotas!$H:$L,3,0)</f>
        <v>#N/A</v>
      </c>
      <c r="AL44" s="206" t="e">
        <f>VLOOKUP(Tabla3[[#This Row],[Grado 17-18]],[2]Cuotas!$H:$L,4,0)</f>
        <v>#N/A</v>
      </c>
      <c r="AM44" s="229">
        <v>0.3</v>
      </c>
      <c r="AN44" s="213">
        <v>0.1</v>
      </c>
      <c r="AO44" s="206" t="e">
        <f>Tabla3[[#This Row],[Monto Colegiatura ]]*Tabla3[[#This Row],[% AutorizadoBeca Colegiatura 17-18]]</f>
        <v>#N/A</v>
      </c>
      <c r="AP44" s="208"/>
      <c r="AQ44" s="206" t="e">
        <f>Tabla3[[#This Row],[Monto Colegiatura ]]*Tabla3[[#This Row],[% Beca Prestacion 17-18]]</f>
        <v>#N/A</v>
      </c>
      <c r="AR44" s="208"/>
      <c r="AS44" s="206" t="e">
        <f>Tabla3[[#This Row],[Canasta]]*Tabla3[[#This Row],[% Beca Canasta 17-18]]</f>
        <v>#N/A</v>
      </c>
      <c r="AT44" s="208"/>
      <c r="AU44" s="214">
        <v>0</v>
      </c>
      <c r="AV44" s="206" t="e">
        <f>Tabla3[[#This Row],[Cantidad Beca Comunidad Colegiatura 17-18]]*25%</f>
        <v>#N/A</v>
      </c>
      <c r="AW44" s="206"/>
      <c r="AX44" s="215"/>
      <c r="AY44" s="206" t="e">
        <f>Tabla3[[#This Row],[Monto Colegiatura ]]*Tabla3[[#This Row],[% Beca UNAM 17-18]]</f>
        <v>#N/A</v>
      </c>
      <c r="AZ44" s="206"/>
      <c r="BA44" s="216">
        <f>3200*Tabla3[[#This Row],[% Beca Reinscripciones UNAM 17-18]]</f>
        <v>0</v>
      </c>
      <c r="BB44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44" s="231">
        <v>0.6</v>
      </c>
      <c r="BD44" s="218" t="e">
        <f>Tabla3[[#This Row],[Monto Colegiatura ]]*Tabla3[[#This Row],[% Beca Comunidad 17-18]]</f>
        <v>#N/A</v>
      </c>
      <c r="BE44" s="218" t="e">
        <f>Tabla3[[#This Row],[Cantidad Beca Comunidad Colegiatura 17-18]]*75%</f>
        <v>#N/A</v>
      </c>
      <c r="BF44" s="219"/>
      <c r="BG44" s="218" t="e">
        <f>Tabla3[[#This Row],[Reinscripción]]*Tabla3[[#This Row],[% Beca Reinscripciones Comunidad 18-19]]</f>
        <v>#N/A</v>
      </c>
      <c r="BH44" s="218" t="e">
        <f>Tabla3[[#This Row],[Cantidad Beca Reinscripciones Comunidad 18-19]]*70%</f>
        <v>#N/A</v>
      </c>
      <c r="BI44" s="216" t="e">
        <f>Tabla3[[#This Row],[75% Cantidad Beca Comunidad Colegiatura 17-18]]+Tabla3[[#This Row],[70% Cantidad Beca Reinscripciones 18-19]]</f>
        <v>#N/A</v>
      </c>
      <c r="BJ44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44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44" s="220"/>
      <c r="BM44" s="229"/>
      <c r="BN44" s="221"/>
      <c r="BO44" s="107"/>
      <c r="BP44" s="107">
        <f>Tabla3[[#This Row],[% AutorizadoBeca Colegiatura 17-18]]+Tabla3[[#This Row],[% Beca Prestacion 17-18]]+Tabla3[[#This Row],[% Beca UNAM 17-18]]</f>
        <v>0.1</v>
      </c>
      <c r="BQ44" s="108">
        <f t="shared" si="0"/>
        <v>114.7</v>
      </c>
      <c r="BR44" s="107">
        <f>Tabla3[[#This Row],[% Beca Comunidad 17-18]]</f>
        <v>0.6</v>
      </c>
      <c r="BS44" s="108">
        <f t="shared" si="1"/>
        <v>688.19999999999993</v>
      </c>
      <c r="BT44" s="108">
        <f t="shared" si="2"/>
        <v>172.04999999999998</v>
      </c>
      <c r="BU44" s="108">
        <f>Tabla3[[#This Row],[Monto3]]*75%</f>
        <v>516.15</v>
      </c>
      <c r="BV44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44" s="107" t="e">
        <f>VLOOKUP(Tabla3[[#This Row],[Nombre del Alumno]],'[3]BECAS COLEGIATURAS'!$I:$N,6,0)</f>
        <v>#N/A</v>
      </c>
      <c r="BX44" s="107" t="e">
        <f>VLOOKUP(Tabla3[[#This Row],[Nombre del Alumno]],[1]!Tabla1[[NOMBRE DEL ALUMNO]:[MATRIZ]],6,0)</f>
        <v>#REF!</v>
      </c>
      <c r="BY44" s="107" t="e">
        <f>VLOOKUP(Tabla3[[#This Row],[Nombre del Alumno]],'[3]BECAS COLEGIATURAS'!$I:$L,4,0)</f>
        <v>#N/A</v>
      </c>
      <c r="BZ44" s="108" t="e">
        <f>VLOOKUP(Tabla3[[#This Row],[Grado 18-19]],[2]Cuotas!$Q:$U,2,0)</f>
        <v>#N/A</v>
      </c>
      <c r="CA44" s="108" t="e">
        <f>VLOOKUP(Tabla3[[#This Row],[Grado 18-19]],[2]Cuotas!$Q:$U,3,0)</f>
        <v>#N/A</v>
      </c>
      <c r="CB44" s="108" t="e">
        <f>VLOOKUP(Tabla3[[#This Row],[Grado 18-19]],[2]Cuotas!$Q:$U,4,0)</f>
        <v>#N/A</v>
      </c>
      <c r="CC44" s="107">
        <v>20</v>
      </c>
      <c r="CD44" s="222">
        <v>0.1</v>
      </c>
      <c r="CE44" s="218" t="e">
        <f>Tabla3[[#This Row],[Monto Colegiatura 2018-2019]]*Tabla3[[#This Row],[% AutorizadoBeca Colegiatura 18-19]]</f>
        <v>#N/A</v>
      </c>
      <c r="CF44" s="223"/>
      <c r="CG44" s="218" t="e">
        <f>Tabla3[[#This Row],[Monto Colegiatura 2018-2019]]*Tabla3[[#This Row],[% Beca Prestacion 18-19]]</f>
        <v>#N/A</v>
      </c>
      <c r="CH44" s="223"/>
      <c r="CI44" s="218" t="e">
        <f>Tabla3[[#This Row],[Canasta 2018-2019]]*Tabla3[[#This Row],[% Beca Canasta 18-19]]</f>
        <v>#N/A</v>
      </c>
      <c r="CJ44" s="223"/>
      <c r="CK44" s="218" t="e">
        <f>Tabla3[[#This Row],[Reinscripción 2019-2020]]*Tabla3[[#This Row],[% Beca Reinscripciones 19-20]]</f>
        <v>#N/A</v>
      </c>
      <c r="CL44" s="218" t="e">
        <f>Tabla3[[#This Row],[Cantidad Beca Comunidad Colegiatura 18-19]]*25%</f>
        <v>#N/A</v>
      </c>
      <c r="CM44" s="224" t="e">
        <f>Tabla3[[#This Row],[Cantidad Beca Reinscripciones Comunidad 19-20]]*25%</f>
        <v>#N/A</v>
      </c>
      <c r="CN44" s="222"/>
      <c r="CO44" s="218" t="e">
        <f>Tabla3[[#This Row],[Monto Colegiatura 2018-2019]]*Tabla3[[#This Row],[% Beca UNAM 18-19]]</f>
        <v>#N/A</v>
      </c>
      <c r="CP44" s="225"/>
      <c r="CQ44" s="224">
        <f>3328*Tabla3[[#This Row],[% Beca Reinscripciones UNAM 18-19]]</f>
        <v>0</v>
      </c>
      <c r="CR44" s="226" t="e">
        <f>Tabla3[[#This Row],[Cantidad Beca Colegiatura 18-19]]+Tabla3[[#This Row],[Cantidad Beca Canasta 18-19]]+Tabla3[[#This Row],[Cantidad Beca Reinscripciones 19-20]]</f>
        <v>#N/A</v>
      </c>
      <c r="CS44" s="222">
        <v>0.5</v>
      </c>
      <c r="CT44" s="218" t="e">
        <f>Tabla3[[#This Row],[Monto Colegiatura 2018-2019]]*Tabla3[[#This Row],[% Beca Comunidad 18-19]]</f>
        <v>#N/A</v>
      </c>
      <c r="CU44" s="218" t="e">
        <f>Tabla3[[#This Row],[Cantidad Beca Comunidad Colegiatura 18-19]]*75%</f>
        <v>#N/A</v>
      </c>
      <c r="CV44" s="223"/>
      <c r="CW44" s="218" t="e">
        <f>Tabla3[[#This Row],[Reinscripción 2019-2020]]*Tabla3[[#This Row],[% Beca Reinscripciones Comunidad 19-20]]</f>
        <v>#N/A</v>
      </c>
      <c r="CX44" s="218" t="e">
        <f>Tabla3[[#This Row],[Cantidad Beca Reinscripciones Comunidad 19-20]]*75%</f>
        <v>#N/A</v>
      </c>
      <c r="CY44" s="227" t="e">
        <f>Tabla3[[#This Row],[75% Cantidad Beca Comunidad Colegiatura 18-19]]+Tabla3[[#This Row],[75% Cantidad Beca Reinscripciones 19-20]]</f>
        <v>#N/A</v>
      </c>
      <c r="CZ44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44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44" s="108">
        <f>1440*(Tabla3[[#This Row],[% AutorizadoBeca Colegiatura 18-19]]+Tabla3[[#This Row],[% Beca Prestacion 18-19]]+Tabla3[[#This Row],[% Beca UNAM 18-19]]+Tabla3[[#This Row],[% Beca Comunidad 18-19]])</f>
        <v>864</v>
      </c>
    </row>
    <row r="45" spans="2:106" ht="15" customHeight="1" x14ac:dyDescent="0.2">
      <c r="B45" s="107" t="s">
        <v>445</v>
      </c>
      <c r="C45" s="107" t="e">
        <f>VLOOKUP(Tabla3[[#This Row],[Nombre del Padre]],[1]!Tabla1[[PADRE]:[PADRE_CELULAR]],2,0)</f>
        <v>#REF!</v>
      </c>
      <c r="D45" s="107" t="e">
        <f>VLOOKUP(Tabla3[[#This Row],[Nombre del Padre]],[1]!Tabla1[[PADRE]:[PADRE_CELULAR]],3,0)</f>
        <v>#REF!</v>
      </c>
      <c r="E45" s="225" t="s">
        <v>446</v>
      </c>
      <c r="F45" s="225" t="e">
        <f>VLOOKUP(Tabla3[[#This Row],[Nombre de la Madre]],[1]!Tabla1[[MADRE]:[MADRE_TELEFONO]],2,0)</f>
        <v>#REF!</v>
      </c>
      <c r="G45" s="202" t="e">
        <f>VLOOKUP(Tabla3[[#This Row],[Nombre de la Madre]],[1]!Tabla1[[MADRE]:[MADRE_TELEFONO]],3,0)</f>
        <v>#REF!</v>
      </c>
      <c r="H45" s="228"/>
      <c r="I45" s="204">
        <v>2015</v>
      </c>
      <c r="J45" s="204" t="s">
        <v>447</v>
      </c>
      <c r="K45" s="204" t="s">
        <v>273</v>
      </c>
      <c r="L45" s="204" t="s">
        <v>455</v>
      </c>
      <c r="M45" s="205"/>
      <c r="N45" s="204"/>
      <c r="O45" s="206" t="e">
        <f>VLOOKUP(Tabla3[[#This Row],[Grado]],[2]Cuotas!$A:$E,2,0)</f>
        <v>#N/A</v>
      </c>
      <c r="P45" s="206" t="e">
        <f>VLOOKUP(Tabla3[[#This Row],[Grado]],[2]Cuotas!$A:$E,4,0)</f>
        <v>#N/A</v>
      </c>
      <c r="Q45" s="206" t="e">
        <f>VLOOKUP(Tabla3[[#This Row],[Grado]],[2]Cuotas!$A:$E,3,0)</f>
        <v>#N/A</v>
      </c>
      <c r="R45" s="207"/>
      <c r="S45" s="206" t="e">
        <f>Tabla3[[#This Row],[Monto Colegiatura]]*Tabla3[[#This Row],[% Beca Colegio 16-17]]</f>
        <v>#N/A</v>
      </c>
      <c r="T45" s="206"/>
      <c r="U45" s="206" t="e">
        <f>Tabla3[[#This Row],[Monto Colegiatura]]*Tabla3[[#This Row],[% Beca Prestación 16-17]]</f>
        <v>#N/A</v>
      </c>
      <c r="V45" s="208"/>
      <c r="W45" s="206" t="e">
        <f>Tabla3[[#This Row],[Monto Colegiatura]]*Tabla3[[#This Row],[% Beca Comunidad 16-17]]</f>
        <v>#N/A</v>
      </c>
      <c r="X45" s="206" t="e">
        <f>Tabla3[[#This Row],[Cantidad Beca Comunidad 16-17]]*25%</f>
        <v>#N/A</v>
      </c>
      <c r="Y45" s="206"/>
      <c r="Z45" s="206" t="e">
        <f>Tabla3[[#This Row],[Monto Colegiatura]]*Tabla3[[#This Row],[% Beca UNAM 16-17]]</f>
        <v>#N/A</v>
      </c>
      <c r="AA45" s="208" t="e">
        <f>VLOOKUP(Tabla3[[#This Row],[Nombre del Alumno]],'[4]BECAS REINSCRIPCIONES'!$B$9:$D$31,3,0)</f>
        <v>#N/A</v>
      </c>
      <c r="AB45" s="206" t="e">
        <f>Tabla3[[#This Row],[Monto Reinscripción]]*Tabla3[[#This Row],[% Beca Reinscripción 16-17]]</f>
        <v>#N/A</v>
      </c>
      <c r="AC45" s="206" t="e">
        <f>VLOOKUP(Tabla3[[#This Row],[Nombre del Alumno]],[4]Hoja3!$H$3:$J$16,3,0)</f>
        <v>#N/A</v>
      </c>
      <c r="AD45" s="206" t="e">
        <f>Tabla3[[#This Row],[Monto Canasta]]*Tabla3[[#This Row],[% Beca Canasta 16-17]]</f>
        <v>#N/A</v>
      </c>
      <c r="AE45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45" s="206" t="e">
        <f>Tabla3[[#This Row],[Monto Colegiatura]]+Tabla3[[#This Row],[Monto Reinscripción]]+Tabla3[[#This Row],[Monto Canasta]]-Tabla3[[#This Row],[Monto Becado 16-17]]</f>
        <v>#N/A</v>
      </c>
      <c r="AG45" s="209"/>
      <c r="AH45" s="210"/>
      <c r="AI45" s="211"/>
      <c r="AJ45" s="206" t="e">
        <f>VLOOKUP(Tabla3[[#This Row],[Grado 17-18]],[2]Cuotas!$H:$L,2,0)</f>
        <v>#N/A</v>
      </c>
      <c r="AK45" s="206" t="e">
        <f>VLOOKUP(Tabla3[[#This Row],[Grado 17-18]],[2]Cuotas!$H:$L,3,0)</f>
        <v>#N/A</v>
      </c>
      <c r="AL45" s="206" t="e">
        <f>VLOOKUP(Tabla3[[#This Row],[Grado 17-18]],[2]Cuotas!$H:$L,4,0)</f>
        <v>#N/A</v>
      </c>
      <c r="AM45" s="229"/>
      <c r="AN45" s="213"/>
      <c r="AO45" s="206" t="e">
        <f>Tabla3[[#This Row],[Monto Colegiatura ]]*Tabla3[[#This Row],[% AutorizadoBeca Colegiatura 17-18]]</f>
        <v>#N/A</v>
      </c>
      <c r="AP45" s="208"/>
      <c r="AQ45" s="206" t="e">
        <f>Tabla3[[#This Row],[Monto Colegiatura ]]*Tabla3[[#This Row],[% Beca Prestacion 17-18]]</f>
        <v>#N/A</v>
      </c>
      <c r="AR45" s="208"/>
      <c r="AS45" s="206" t="e">
        <f>Tabla3[[#This Row],[Canasta]]*Tabla3[[#This Row],[% Beca Canasta 17-18]]</f>
        <v>#N/A</v>
      </c>
      <c r="AT45" s="208"/>
      <c r="AU45" s="214"/>
      <c r="AV45" s="206" t="e">
        <f>Tabla3[[#This Row],[Cantidad Beca Comunidad Colegiatura 17-18]]*25%</f>
        <v>#N/A</v>
      </c>
      <c r="AW45" s="206"/>
      <c r="AX45" s="215"/>
      <c r="AY45" s="206" t="e">
        <f>Tabla3[[#This Row],[Monto Colegiatura ]]*Tabla3[[#This Row],[% Beca UNAM 17-18]]</f>
        <v>#N/A</v>
      </c>
      <c r="AZ45" s="206"/>
      <c r="BA45" s="216">
        <f>3200*Tabla3[[#This Row],[% Beca Reinscripciones UNAM 17-18]]</f>
        <v>0</v>
      </c>
      <c r="BB45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45" s="231"/>
      <c r="BD45" s="218" t="e">
        <f>Tabla3[[#This Row],[Monto Colegiatura ]]*Tabla3[[#This Row],[% Beca Comunidad 17-18]]</f>
        <v>#N/A</v>
      </c>
      <c r="BE45" s="218" t="e">
        <f>Tabla3[[#This Row],[Cantidad Beca Comunidad Colegiatura 17-18]]*75%</f>
        <v>#N/A</v>
      </c>
      <c r="BF45" s="219" t="e">
        <f>VLOOKUP(Tabla3[[#This Row],[Nombre del Alumno]],[5]Hoja2!$B:$O,14,0)</f>
        <v>#N/A</v>
      </c>
      <c r="BG45" s="218" t="e">
        <f>Tabla3[[#This Row],[Reinscripción]]*Tabla3[[#This Row],[% Beca Reinscripciones Comunidad 18-19]]</f>
        <v>#N/A</v>
      </c>
      <c r="BH45" s="218" t="e">
        <f>Tabla3[[#This Row],[Cantidad Beca Reinscripciones Comunidad 18-19]]*70%</f>
        <v>#N/A</v>
      </c>
      <c r="BI45" s="216" t="e">
        <f>Tabla3[[#This Row],[75% Cantidad Beca Comunidad Colegiatura 17-18]]+Tabla3[[#This Row],[70% Cantidad Beca Reinscripciones 18-19]]</f>
        <v>#N/A</v>
      </c>
      <c r="BJ45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45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45" s="206"/>
      <c r="BM45" s="204"/>
      <c r="BN45" s="221"/>
      <c r="BO45" s="107"/>
      <c r="BP45" s="107">
        <f>Tabla3[[#This Row],[% AutorizadoBeca Colegiatura 17-18]]+Tabla3[[#This Row],[% Beca Prestacion 17-18]]+Tabla3[[#This Row],[% Beca UNAM 17-18]]</f>
        <v>0</v>
      </c>
      <c r="BQ45" s="108">
        <f t="shared" si="0"/>
        <v>0</v>
      </c>
      <c r="BR45" s="107">
        <f>Tabla3[[#This Row],[% Beca Comunidad 17-18]]</f>
        <v>0</v>
      </c>
      <c r="BS45" s="108">
        <f t="shared" si="1"/>
        <v>0</v>
      </c>
      <c r="BT45" s="108">
        <f t="shared" si="2"/>
        <v>0</v>
      </c>
      <c r="BU45" s="108">
        <f>Tabla3[[#This Row],[Monto3]]*75%</f>
        <v>0</v>
      </c>
      <c r="BV45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45" s="107" t="e">
        <f>VLOOKUP(Tabla3[[#This Row],[Nombre del Alumno]],'[3]BECAS COLEGIATURAS'!$I:$N,6,0)</f>
        <v>#N/A</v>
      </c>
      <c r="BX45" s="107" t="e">
        <f>VLOOKUP(Tabla3[[#This Row],[Nombre del Alumno]],[1]!Tabla1[[NOMBRE DEL ALUMNO]:[MATRIZ]],6,0)</f>
        <v>#REF!</v>
      </c>
      <c r="BY45" s="107" t="s">
        <v>299</v>
      </c>
      <c r="BZ45" s="108" t="e">
        <f>VLOOKUP(Tabla3[[#This Row],[Grado 18-19]],[2]Cuotas!$Q:$U,2,0)</f>
        <v>#N/A</v>
      </c>
      <c r="CA45" s="108" t="e">
        <f>VLOOKUP(Tabla3[[#This Row],[Grado 18-19]],[2]Cuotas!$Q:$U,3,0)</f>
        <v>#N/A</v>
      </c>
      <c r="CB45" s="108" t="e">
        <f>VLOOKUP(Tabla3[[#This Row],[Grado 18-19]],[2]Cuotas!$Q:$U,4,0)</f>
        <v>#N/A</v>
      </c>
      <c r="CC45" s="107">
        <v>20</v>
      </c>
      <c r="CD45" s="222">
        <v>0.1</v>
      </c>
      <c r="CE45" s="218" t="e">
        <f>Tabla3[[#This Row],[Monto Colegiatura 2018-2019]]*Tabla3[[#This Row],[% AutorizadoBeca Colegiatura 18-19]]</f>
        <v>#N/A</v>
      </c>
      <c r="CF45" s="223"/>
      <c r="CG45" s="218" t="e">
        <f>Tabla3[[#This Row],[Monto Colegiatura 2018-2019]]*Tabla3[[#This Row],[% Beca Prestacion 18-19]]</f>
        <v>#N/A</v>
      </c>
      <c r="CH45" s="223"/>
      <c r="CI45" s="218" t="e">
        <f>Tabla3[[#This Row],[Canasta 2018-2019]]*Tabla3[[#This Row],[% Beca Canasta 18-19]]</f>
        <v>#N/A</v>
      </c>
      <c r="CJ45" s="223"/>
      <c r="CK45" s="218" t="e">
        <f>Tabla3[[#This Row],[Reinscripción 2019-2020]]*Tabla3[[#This Row],[% Beca Reinscripciones 19-20]]</f>
        <v>#N/A</v>
      </c>
      <c r="CL45" s="218" t="e">
        <f>Tabla3[[#This Row],[Cantidad Beca Comunidad Colegiatura 18-19]]*25%</f>
        <v>#N/A</v>
      </c>
      <c r="CM45" s="224" t="e">
        <f>Tabla3[[#This Row],[Cantidad Beca Reinscripciones Comunidad 19-20]]*25%</f>
        <v>#N/A</v>
      </c>
      <c r="CN45" s="222"/>
      <c r="CO45" s="218" t="e">
        <f>Tabla3[[#This Row],[Monto Colegiatura 2018-2019]]*Tabla3[[#This Row],[% Beca UNAM 18-19]]</f>
        <v>#N/A</v>
      </c>
      <c r="CP45" s="225"/>
      <c r="CQ45" s="224">
        <f>3328*Tabla3[[#This Row],[% Beca Reinscripciones UNAM 18-19]]</f>
        <v>0</v>
      </c>
      <c r="CR45" s="226" t="e">
        <f>Tabla3[[#This Row],[Cantidad Beca Colegiatura 18-19]]+Tabla3[[#This Row],[Cantidad Beca Canasta 18-19]]+Tabla3[[#This Row],[Cantidad Beca Reinscripciones 19-20]]</f>
        <v>#N/A</v>
      </c>
      <c r="CS45" s="222">
        <v>0.5</v>
      </c>
      <c r="CT45" s="218" t="e">
        <f>Tabla3[[#This Row],[Monto Colegiatura 2018-2019]]*Tabla3[[#This Row],[% Beca Comunidad 18-19]]</f>
        <v>#N/A</v>
      </c>
      <c r="CU45" s="218" t="e">
        <f>Tabla3[[#This Row],[Cantidad Beca Comunidad Colegiatura 18-19]]*75%</f>
        <v>#N/A</v>
      </c>
      <c r="CV45" s="223"/>
      <c r="CW45" s="218" t="e">
        <f>Tabla3[[#This Row],[Reinscripción 2019-2020]]*Tabla3[[#This Row],[% Beca Reinscripciones Comunidad 19-20]]</f>
        <v>#N/A</v>
      </c>
      <c r="CX45" s="218" t="e">
        <f>Tabla3[[#This Row],[Cantidad Beca Reinscripciones Comunidad 19-20]]*75%</f>
        <v>#N/A</v>
      </c>
      <c r="CY45" s="227" t="e">
        <f>Tabla3[[#This Row],[75% Cantidad Beca Comunidad Colegiatura 18-19]]+Tabla3[[#This Row],[75% Cantidad Beca Reinscripciones 19-20]]</f>
        <v>#N/A</v>
      </c>
      <c r="CZ45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45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45" s="108">
        <f>1440*(Tabla3[[#This Row],[% AutorizadoBeca Colegiatura 18-19]]+Tabla3[[#This Row],[% Beca Prestacion 18-19]]+Tabla3[[#This Row],[% Beca UNAM 18-19]]+Tabla3[[#This Row],[% Beca Comunidad 18-19]])</f>
        <v>864</v>
      </c>
    </row>
    <row r="46" spans="2:106" ht="15" customHeight="1" x14ac:dyDescent="0.2">
      <c r="B46" s="107" t="s">
        <v>456</v>
      </c>
      <c r="C46" s="107" t="e">
        <f>VLOOKUP(Tabla3[[#This Row],[Nombre del Padre]],[1]!Tabla1[[PADRE]:[PADRE_CELULAR]],2,0)</f>
        <v>#REF!</v>
      </c>
      <c r="D46" s="107" t="e">
        <f>VLOOKUP(Tabla3[[#This Row],[Nombre del Padre]],[1]!Tabla1[[PADRE]:[PADRE_CELULAR]],3,0)</f>
        <v>#REF!</v>
      </c>
      <c r="E46" s="107" t="s">
        <v>457</v>
      </c>
      <c r="F46" s="107" t="e">
        <f>VLOOKUP(Tabla3[[#This Row],[Nombre de la Madre]],[1]!Tabla1[[MADRE]:[MADRE_TELEFONO]],2,0)</f>
        <v>#REF!</v>
      </c>
      <c r="G46" s="202" t="e">
        <f>VLOOKUP(Tabla3[[#This Row],[Nombre de la Madre]],[1]!Tabla1[[MADRE]:[MADRE_TELEFONO]],3,0)</f>
        <v>#REF!</v>
      </c>
      <c r="H46" s="228">
        <v>2</v>
      </c>
      <c r="I46" s="204">
        <v>1531</v>
      </c>
      <c r="J46" s="204" t="s">
        <v>458</v>
      </c>
      <c r="K46" s="204" t="s">
        <v>273</v>
      </c>
      <c r="L46" s="204" t="s">
        <v>459</v>
      </c>
      <c r="M46" s="205" t="s">
        <v>290</v>
      </c>
      <c r="N46" s="204" t="s">
        <v>291</v>
      </c>
      <c r="O46" s="206" t="e">
        <f>VLOOKUP(Tabla3[[#This Row],[Grado]],[2]Cuotas!$A:$E,2,0)</f>
        <v>#N/A</v>
      </c>
      <c r="P46" s="206" t="e">
        <f>VLOOKUP(Tabla3[[#This Row],[Grado]],[2]Cuotas!$A:$E,4,0)</f>
        <v>#N/A</v>
      </c>
      <c r="Q46" s="206" t="e">
        <f>VLOOKUP(Tabla3[[#This Row],[Grado]],[2]Cuotas!$A:$E,3,0)</f>
        <v>#N/A</v>
      </c>
      <c r="R46" s="207"/>
      <c r="S46" s="206" t="e">
        <f>Tabla3[[#This Row],[Monto Colegiatura]]*Tabla3[[#This Row],[% Beca Colegio 16-17]]</f>
        <v>#N/A</v>
      </c>
      <c r="T46" s="208"/>
      <c r="U46" s="206" t="e">
        <f>Tabla3[[#This Row],[Monto Colegiatura]]*Tabla3[[#This Row],[% Beca Prestación 16-17]]</f>
        <v>#N/A</v>
      </c>
      <c r="V46" s="208"/>
      <c r="W46" s="206" t="e">
        <f>Tabla3[[#This Row],[Monto Colegiatura]]*Tabla3[[#This Row],[% Beca Comunidad 16-17]]</f>
        <v>#N/A</v>
      </c>
      <c r="X46" s="206" t="e">
        <f>Tabla3[[#This Row],[Cantidad Beca Comunidad 16-17]]*25%</f>
        <v>#N/A</v>
      </c>
      <c r="Y46" s="208">
        <v>0.8</v>
      </c>
      <c r="Z46" s="214" t="e">
        <f>Tabla3[[#This Row],[Monto Colegiatura]]*Tabla3[[#This Row],[% Beca UNAM 16-17]]</f>
        <v>#N/A</v>
      </c>
      <c r="AA46" s="208" t="e">
        <f>VLOOKUP(Tabla3[[#This Row],[Nombre del Alumno]],'[4]BECAS REINSCRIPCIONES'!$B$9:$D$31,3,0)</f>
        <v>#N/A</v>
      </c>
      <c r="AB46" s="214" t="e">
        <f>Tabla3[[#This Row],[Monto Reinscripción]]*Tabla3[[#This Row],[% Beca Reinscripción 16-17]]</f>
        <v>#N/A</v>
      </c>
      <c r="AC46" s="214"/>
      <c r="AD46" s="214" t="e">
        <f>Tabla3[[#This Row],[Monto Canasta]]*Tabla3[[#This Row],[% Beca Canasta 16-17]]</f>
        <v>#N/A</v>
      </c>
      <c r="AE46" s="214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46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46" s="209" t="e">
        <f>VLOOKUP(Tabla3[[#This Row],[Nombre del Alumno]],[2]!Tabla1[[Alumno]:[Cuenta Ciclos]],2,0)</f>
        <v>#REF!</v>
      </c>
      <c r="AH46" s="210" t="s">
        <v>460</v>
      </c>
      <c r="AI46" s="211" t="s">
        <v>409</v>
      </c>
      <c r="AJ46" s="206" t="e">
        <f>VLOOKUP(Tabla3[[#This Row],[Grado 17-18]],[2]Cuotas!$H:$L,2,0)</f>
        <v>#N/A</v>
      </c>
      <c r="AK46" s="206" t="e">
        <f>VLOOKUP(Tabla3[[#This Row],[Grado 17-18]],[2]Cuotas!$H:$L,3,0)</f>
        <v>#N/A</v>
      </c>
      <c r="AL46" s="206" t="e">
        <f>VLOOKUP(Tabla3[[#This Row],[Grado 17-18]],[2]Cuotas!$H:$L,4,0)</f>
        <v>#N/A</v>
      </c>
      <c r="AM46" s="212"/>
      <c r="AN46" s="213"/>
      <c r="AO46" s="206" t="e">
        <f>Tabla3[[#This Row],[Monto Colegiatura ]]*Tabla3[[#This Row],[% AutorizadoBeca Colegiatura 17-18]]</f>
        <v>#N/A</v>
      </c>
      <c r="AP46" s="208"/>
      <c r="AQ46" s="206" t="e">
        <f>Tabla3[[#This Row],[Monto Colegiatura ]]*Tabla3[[#This Row],[% Beca Prestacion 17-18]]</f>
        <v>#N/A</v>
      </c>
      <c r="AR46" s="208"/>
      <c r="AS46" s="206" t="e">
        <f>Tabla3[[#This Row],[Canasta]]*Tabla3[[#This Row],[% Beca Canasta 17-18]]</f>
        <v>#N/A</v>
      </c>
      <c r="AT46" s="208"/>
      <c r="AU46" s="214">
        <v>0</v>
      </c>
      <c r="AV46" s="206" t="e">
        <f>Tabla3[[#This Row],[Cantidad Beca Comunidad Colegiatura 17-18]]*25%</f>
        <v>#N/A</v>
      </c>
      <c r="AW46" s="206"/>
      <c r="AX46" s="213">
        <v>0.8</v>
      </c>
      <c r="AY46" s="206" t="e">
        <f>Tabla3[[#This Row],[Monto Colegiatura ]]*Tabla3[[#This Row],[% Beca UNAM 17-18]]</f>
        <v>#N/A</v>
      </c>
      <c r="AZ46" s="208">
        <v>0.8</v>
      </c>
      <c r="BA46" s="216">
        <f>3200*Tabla3[[#This Row],[% Beca Reinscripciones UNAM 17-18]]</f>
        <v>2560</v>
      </c>
      <c r="BB46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46" s="217"/>
      <c r="BD46" s="218" t="e">
        <f>Tabla3[[#This Row],[Monto Colegiatura ]]*Tabla3[[#This Row],[% Beca Comunidad 17-18]]</f>
        <v>#N/A</v>
      </c>
      <c r="BE46" s="218" t="e">
        <f>Tabla3[[#This Row],[Cantidad Beca Comunidad Colegiatura 17-18]]*75%</f>
        <v>#N/A</v>
      </c>
      <c r="BF46" s="219"/>
      <c r="BG46" s="218" t="e">
        <f>Tabla3[[#This Row],[Reinscripción]]*Tabla3[[#This Row],[% Beca Reinscripciones Comunidad 18-19]]</f>
        <v>#N/A</v>
      </c>
      <c r="BH46" s="218" t="e">
        <f>Tabla3[[#This Row],[Cantidad Beca Reinscripciones Comunidad 18-19]]*70%</f>
        <v>#N/A</v>
      </c>
      <c r="BI46" s="216" t="e">
        <f>Tabla3[[#This Row],[75% Cantidad Beca Comunidad Colegiatura 17-18]]+Tabla3[[#This Row],[70% Cantidad Beca Reinscripciones 18-19]]</f>
        <v>#N/A</v>
      </c>
      <c r="BJ46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46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46" s="220"/>
      <c r="BM46" s="204"/>
      <c r="BN46" s="221"/>
      <c r="BO46" s="107"/>
      <c r="BP46" s="107">
        <f>Tabla3[[#This Row],[% AutorizadoBeca Colegiatura 17-18]]+Tabla3[[#This Row],[% Beca Prestacion 17-18]]+Tabla3[[#This Row],[% Beca UNAM 17-18]]</f>
        <v>0.8</v>
      </c>
      <c r="BQ46" s="108">
        <f t="shared" si="0"/>
        <v>917.6</v>
      </c>
      <c r="BR46" s="107">
        <f>Tabla3[[#This Row],[% Beca Comunidad 17-18]]</f>
        <v>0</v>
      </c>
      <c r="BS46" s="108">
        <f t="shared" si="1"/>
        <v>0</v>
      </c>
      <c r="BT46" s="108">
        <f t="shared" si="2"/>
        <v>0</v>
      </c>
      <c r="BU46" s="108">
        <f>Tabla3[[#This Row],[Monto3]]*75%</f>
        <v>0</v>
      </c>
      <c r="BV46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46" s="107" t="e">
        <f>VLOOKUP(Tabla3[[#This Row],[Nombre del Alumno]],'[3]BECAS COLEGIATURAS'!$I:$N,6,0)</f>
        <v>#N/A</v>
      </c>
      <c r="BX46" s="107" t="e">
        <f>VLOOKUP(Tabla3[[#This Row],[Nombre del Alumno]],[1]!Tabla1[[NOMBRE DEL ALUMNO]:[MATRIZ]],6,0)</f>
        <v>#REF!</v>
      </c>
      <c r="BY46" s="107" t="e">
        <f>VLOOKUP(Tabla3[[#This Row],[Nombre del Alumno]],'[3]BECAS COLEGIATURAS'!$I:$L,4,0)</f>
        <v>#N/A</v>
      </c>
      <c r="BZ46" s="108" t="e">
        <f>VLOOKUP(Tabla3[[#This Row],[Grado 18-19]],[2]Cuotas!$Q:$U,2,0)</f>
        <v>#N/A</v>
      </c>
      <c r="CA46" s="108" t="e">
        <f>VLOOKUP(Tabla3[[#This Row],[Grado 18-19]],[2]Cuotas!$Q:$U,3,0)</f>
        <v>#N/A</v>
      </c>
      <c r="CB46" s="108" t="e">
        <f>VLOOKUP(Tabla3[[#This Row],[Grado 18-19]],[2]Cuotas!$Q:$U,4,0)</f>
        <v>#N/A</v>
      </c>
      <c r="CC46" s="107">
        <v>0</v>
      </c>
      <c r="CD46" s="222"/>
      <c r="CE46" s="218" t="e">
        <f>Tabla3[[#This Row],[Monto Colegiatura 2018-2019]]*Tabla3[[#This Row],[% AutorizadoBeca Colegiatura 18-19]]</f>
        <v>#N/A</v>
      </c>
      <c r="CF46" s="223"/>
      <c r="CG46" s="218" t="e">
        <f>Tabla3[[#This Row],[Monto Colegiatura 2018-2019]]*Tabla3[[#This Row],[% Beca Prestacion 18-19]]</f>
        <v>#N/A</v>
      </c>
      <c r="CH46" s="223"/>
      <c r="CI46" s="218" t="e">
        <f>Tabla3[[#This Row],[Canasta 2018-2019]]*Tabla3[[#This Row],[% Beca Canasta 18-19]]</f>
        <v>#N/A</v>
      </c>
      <c r="CJ46" s="223"/>
      <c r="CK46" s="218" t="e">
        <f>Tabla3[[#This Row],[Reinscripción 2019-2020]]*Tabla3[[#This Row],[% Beca Reinscripciones 19-20]]</f>
        <v>#N/A</v>
      </c>
      <c r="CL46" s="218" t="e">
        <f>Tabla3[[#This Row],[Cantidad Beca Comunidad Colegiatura 18-19]]*25%</f>
        <v>#N/A</v>
      </c>
      <c r="CM46" s="224" t="e">
        <f>Tabla3[[#This Row],[Cantidad Beca Reinscripciones Comunidad 19-20]]*25%</f>
        <v>#N/A</v>
      </c>
      <c r="CN46" s="222">
        <v>0.8</v>
      </c>
      <c r="CO46" s="218" t="e">
        <f>Tabla3[[#This Row],[Monto Colegiatura 2018-2019]]*Tabla3[[#This Row],[% Beca UNAM 18-19]]</f>
        <v>#N/A</v>
      </c>
      <c r="CP46" s="223">
        <v>0.8</v>
      </c>
      <c r="CQ46" s="224">
        <f>3328*Tabla3[[#This Row],[% Beca Reinscripciones UNAM 18-19]]</f>
        <v>2662.4</v>
      </c>
      <c r="CR46" s="226" t="e">
        <f>Tabla3[[#This Row],[Cantidad Beca Colegiatura 18-19]]+Tabla3[[#This Row],[Cantidad Beca Canasta 18-19]]+Tabla3[[#This Row],[Cantidad Beca Reinscripciones 19-20]]</f>
        <v>#N/A</v>
      </c>
      <c r="CS46" s="222"/>
      <c r="CT46" s="218" t="e">
        <f>Tabla3[[#This Row],[Monto Colegiatura 2018-2019]]*Tabla3[[#This Row],[% Beca Comunidad 18-19]]</f>
        <v>#N/A</v>
      </c>
      <c r="CU46" s="218" t="e">
        <f>Tabla3[[#This Row],[Cantidad Beca Comunidad Colegiatura 18-19]]*75%</f>
        <v>#N/A</v>
      </c>
      <c r="CV46" s="223"/>
      <c r="CW46" s="218" t="e">
        <f>Tabla3[[#This Row],[Reinscripción 2019-2020]]*Tabla3[[#This Row],[% Beca Reinscripciones Comunidad 19-20]]</f>
        <v>#N/A</v>
      </c>
      <c r="CX46" s="218" t="e">
        <f>Tabla3[[#This Row],[Cantidad Beca Reinscripciones Comunidad 19-20]]*75%</f>
        <v>#N/A</v>
      </c>
      <c r="CY46" s="227" t="e">
        <f>Tabla3[[#This Row],[75% Cantidad Beca Comunidad Colegiatura 18-19]]+Tabla3[[#This Row],[75% Cantidad Beca Reinscripciones 19-20]]</f>
        <v>#N/A</v>
      </c>
      <c r="CZ46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46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46" s="108">
        <f>1440*(Tabla3[[#This Row],[% AutorizadoBeca Colegiatura 18-19]]+Tabla3[[#This Row],[% Beca Prestacion 18-19]]+Tabla3[[#This Row],[% Beca UNAM 18-19]]+Tabla3[[#This Row],[% Beca Comunidad 18-19]])</f>
        <v>1152</v>
      </c>
    </row>
    <row r="47" spans="2:106" ht="15" customHeight="1" x14ac:dyDescent="0.2">
      <c r="B47" s="107" t="s">
        <v>461</v>
      </c>
      <c r="C47" s="107" t="e">
        <f>VLOOKUP(Tabla3[[#This Row],[Nombre del Padre]],[1]!Tabla1[[PADRE]:[PADRE_CELULAR]],2,0)</f>
        <v>#REF!</v>
      </c>
      <c r="D47" s="107" t="e">
        <f>VLOOKUP(Tabla3[[#This Row],[Nombre del Padre]],[1]!Tabla1[[PADRE]:[PADRE_CELULAR]],3,0)</f>
        <v>#REF!</v>
      </c>
      <c r="E47" s="107" t="s">
        <v>462</v>
      </c>
      <c r="F47" s="107" t="e">
        <f>VLOOKUP(Tabla3[[#This Row],[Nombre de la Madre]],[1]!Tabla1[[MADRE]:[MADRE_TELEFONO]],2,0)</f>
        <v>#REF!</v>
      </c>
      <c r="G47" s="202" t="e">
        <f>VLOOKUP(Tabla3[[#This Row],[Nombre de la Madre]],[1]!Tabla1[[MADRE]:[MADRE_TELEFONO]],3,0)</f>
        <v>#REF!</v>
      </c>
      <c r="H47" s="228">
        <v>30</v>
      </c>
      <c r="I47" s="204">
        <v>1718</v>
      </c>
      <c r="J47" s="204" t="s">
        <v>463</v>
      </c>
      <c r="K47" s="204" t="s">
        <v>273</v>
      </c>
      <c r="L47" s="204" t="s">
        <v>464</v>
      </c>
      <c r="M47" s="205" t="s">
        <v>465</v>
      </c>
      <c r="N47" s="204" t="s">
        <v>278</v>
      </c>
      <c r="O47" s="206" t="e">
        <f>VLOOKUP(Tabla3[[#This Row],[Grado]],[2]Cuotas!$A:$E,2,0)</f>
        <v>#N/A</v>
      </c>
      <c r="P47" s="206" t="e">
        <f>VLOOKUP(Tabla3[[#This Row],[Grado]],[2]Cuotas!$A:$E,4,0)</f>
        <v>#N/A</v>
      </c>
      <c r="Q47" s="206" t="e">
        <f>VLOOKUP(Tabla3[[#This Row],[Grado]],[2]Cuotas!$A:$E,3,0)</f>
        <v>#N/A</v>
      </c>
      <c r="R47" s="207">
        <v>0.3</v>
      </c>
      <c r="S47" s="206" t="e">
        <f>Tabla3[[#This Row],[Monto Colegiatura]]*Tabla3[[#This Row],[% Beca Colegio 16-17]]</f>
        <v>#N/A</v>
      </c>
      <c r="T47" s="206"/>
      <c r="U47" s="206" t="e">
        <f>Tabla3[[#This Row],[Monto Colegiatura]]*Tabla3[[#This Row],[% Beca Prestación 16-17]]</f>
        <v>#N/A</v>
      </c>
      <c r="V47" s="208">
        <v>0.6</v>
      </c>
      <c r="W47" s="206" t="e">
        <f>Tabla3[[#This Row],[Monto Colegiatura]]*Tabla3[[#This Row],[% Beca Comunidad 16-17]]</f>
        <v>#N/A</v>
      </c>
      <c r="X47" s="206" t="e">
        <f>Tabla3[[#This Row],[Cantidad Beca Comunidad 16-17]]*25%</f>
        <v>#N/A</v>
      </c>
      <c r="Y47" s="206"/>
      <c r="Z47" s="206" t="e">
        <f>Tabla3[[#This Row],[Monto Colegiatura]]*Tabla3[[#This Row],[% Beca UNAM 16-17]]</f>
        <v>#N/A</v>
      </c>
      <c r="AA47" s="208" t="e">
        <f>VLOOKUP(Tabla3[[#This Row],[Nombre del Alumno]],'[4]BECAS REINSCRIPCIONES'!$B$9:$D$31,3,0)</f>
        <v>#N/A</v>
      </c>
      <c r="AB47" s="206" t="e">
        <f>Tabla3[[#This Row],[Monto Reinscripción]]*Tabla3[[#This Row],[% Beca Reinscripción 16-17]]</f>
        <v>#N/A</v>
      </c>
      <c r="AC47" s="208">
        <v>1</v>
      </c>
      <c r="AD47" s="206" t="e">
        <f>Tabla3[[#This Row],[Monto Canasta]]*Tabla3[[#This Row],[% Beca Canasta 16-17]]</f>
        <v>#N/A</v>
      </c>
      <c r="AE47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47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47" s="209" t="e">
        <f>VLOOKUP(Tabla3[[#This Row],[Nombre del Alumno]],[2]!Tabla1[[Alumno]:[Cuenta Ciclos]],2,0)</f>
        <v>#REF!</v>
      </c>
      <c r="AH47" s="210" t="s">
        <v>466</v>
      </c>
      <c r="AI47" s="211" t="s">
        <v>291</v>
      </c>
      <c r="AJ47" s="206" t="e">
        <f>VLOOKUP(Tabla3[[#This Row],[Grado 17-18]],[2]Cuotas!$H:$L,2,0)</f>
        <v>#N/A</v>
      </c>
      <c r="AK47" s="206" t="e">
        <f>VLOOKUP(Tabla3[[#This Row],[Grado 17-18]],[2]Cuotas!$H:$L,3,0)</f>
        <v>#N/A</v>
      </c>
      <c r="AL47" s="206" t="e">
        <f>VLOOKUP(Tabla3[[#This Row],[Grado 17-18]],[2]Cuotas!$H:$L,4,0)</f>
        <v>#N/A</v>
      </c>
      <c r="AM47" s="229">
        <v>0.4</v>
      </c>
      <c r="AN47" s="213">
        <v>0.3</v>
      </c>
      <c r="AO47" s="206" t="e">
        <f>Tabla3[[#This Row],[Monto Colegiatura ]]*Tabla3[[#This Row],[% AutorizadoBeca Colegiatura 17-18]]</f>
        <v>#N/A</v>
      </c>
      <c r="AP47" s="208"/>
      <c r="AQ47" s="206" t="e">
        <f>Tabla3[[#This Row],[Monto Colegiatura ]]*Tabla3[[#This Row],[% Beca Prestacion 17-18]]</f>
        <v>#N/A</v>
      </c>
      <c r="AR47" s="208"/>
      <c r="AS47" s="206" t="e">
        <f>Tabla3[[#This Row],[Canasta]]*Tabla3[[#This Row],[% Beca Canasta 17-18]]</f>
        <v>#N/A</v>
      </c>
      <c r="AT47" s="208">
        <v>1</v>
      </c>
      <c r="AU47" s="214">
        <v>3328</v>
      </c>
      <c r="AV47" s="206" t="e">
        <f>Tabla3[[#This Row],[Cantidad Beca Comunidad Colegiatura 17-18]]*25%</f>
        <v>#N/A</v>
      </c>
      <c r="AW47" s="206"/>
      <c r="AX47" s="215"/>
      <c r="AY47" s="206" t="e">
        <f>Tabla3[[#This Row],[Monto Colegiatura ]]*Tabla3[[#This Row],[% Beca UNAM 17-18]]</f>
        <v>#N/A</v>
      </c>
      <c r="AZ47" s="206"/>
      <c r="BA47" s="216">
        <f>3200*Tabla3[[#This Row],[% Beca Reinscripciones UNAM 17-18]]</f>
        <v>0</v>
      </c>
      <c r="BB47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47" s="231">
        <v>0.6</v>
      </c>
      <c r="BD47" s="218" t="e">
        <f>Tabla3[[#This Row],[Monto Colegiatura ]]*Tabla3[[#This Row],[% Beca Comunidad 17-18]]</f>
        <v>#N/A</v>
      </c>
      <c r="BE47" s="218" t="e">
        <f>Tabla3[[#This Row],[Cantidad Beca Comunidad Colegiatura 17-18]]*75%</f>
        <v>#N/A</v>
      </c>
      <c r="BF47" s="219"/>
      <c r="BG47" s="218" t="e">
        <f>Tabla3[[#This Row],[Reinscripción]]*Tabla3[[#This Row],[% Beca Reinscripciones Comunidad 18-19]]</f>
        <v>#N/A</v>
      </c>
      <c r="BH47" s="218" t="e">
        <f>Tabla3[[#This Row],[Cantidad Beca Reinscripciones Comunidad 18-19]]*70%</f>
        <v>#N/A</v>
      </c>
      <c r="BI47" s="216" t="e">
        <f>Tabla3[[#This Row],[75% Cantidad Beca Comunidad Colegiatura 17-18]]+Tabla3[[#This Row],[70% Cantidad Beca Reinscripciones 18-19]]</f>
        <v>#N/A</v>
      </c>
      <c r="BJ47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47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47" s="220"/>
      <c r="BM47" s="229"/>
      <c r="BN47" s="221" t="s">
        <v>467</v>
      </c>
      <c r="BO47" s="107" t="s">
        <v>468</v>
      </c>
      <c r="BP47" s="107">
        <f>Tabla3[[#This Row],[% AutorizadoBeca Colegiatura 17-18]]+Tabla3[[#This Row],[% Beca Prestacion 17-18]]+Tabla3[[#This Row],[% Beca UNAM 17-18]]</f>
        <v>0.3</v>
      </c>
      <c r="BQ47" s="108">
        <f t="shared" si="0"/>
        <v>344.09999999999997</v>
      </c>
      <c r="BR47" s="107">
        <f>Tabla3[[#This Row],[% Beca Comunidad 17-18]]</f>
        <v>0.6</v>
      </c>
      <c r="BS47" s="108">
        <f t="shared" si="1"/>
        <v>688.19999999999993</v>
      </c>
      <c r="BT47" s="108">
        <f t="shared" si="2"/>
        <v>172.04999999999998</v>
      </c>
      <c r="BU47" s="108">
        <f>Tabla3[[#This Row],[Monto3]]*75%</f>
        <v>516.15</v>
      </c>
      <c r="BV47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47" s="107" t="e">
        <f>VLOOKUP(Tabla3[[#This Row],[Nombre del Alumno]],'[3]BECAS COLEGIATURAS'!$I:$N,6,0)</f>
        <v>#N/A</v>
      </c>
      <c r="BX47" s="107" t="e">
        <f>VLOOKUP(Tabla3[[#This Row],[Nombre del Alumno]],[1]!Tabla1[[NOMBRE DEL ALUMNO]:[MATRIZ]],6,0)</f>
        <v>#REF!</v>
      </c>
      <c r="BY47" s="107" t="e">
        <f>VLOOKUP(Tabla3[[#This Row],[Nombre del Alumno]],'[3]BECAS COLEGIATURAS'!$I:$L,4,0)</f>
        <v>#N/A</v>
      </c>
      <c r="BZ47" s="108" t="e">
        <f>VLOOKUP(Tabla3[[#This Row],[Grado 18-19]],[2]Cuotas!$Q:$U,2,0)</f>
        <v>#N/A</v>
      </c>
      <c r="CA47" s="108" t="e">
        <f>VLOOKUP(Tabla3[[#This Row],[Grado 18-19]],[2]Cuotas!$Q:$U,3,0)</f>
        <v>#N/A</v>
      </c>
      <c r="CB47" s="108" t="e">
        <f>VLOOKUP(Tabla3[[#This Row],[Grado 18-19]],[2]Cuotas!$Q:$U,4,0)</f>
        <v>#N/A</v>
      </c>
      <c r="CC47" s="107" t="s">
        <v>469</v>
      </c>
      <c r="CD47" s="222">
        <v>0.3</v>
      </c>
      <c r="CE47" s="218" t="e">
        <f>Tabla3[[#This Row],[Monto Colegiatura 2018-2019]]*Tabla3[[#This Row],[% AutorizadoBeca Colegiatura 18-19]]</f>
        <v>#N/A</v>
      </c>
      <c r="CF47" s="223"/>
      <c r="CG47" s="218" t="e">
        <f>Tabla3[[#This Row],[Monto Colegiatura 2018-2019]]*Tabla3[[#This Row],[% Beca Prestacion 18-19]]</f>
        <v>#N/A</v>
      </c>
      <c r="CH47" s="223"/>
      <c r="CI47" s="218" t="e">
        <f>Tabla3[[#This Row],[Canasta 2018-2019]]*Tabla3[[#This Row],[% Beca Canasta 18-19]]</f>
        <v>#N/A</v>
      </c>
      <c r="CJ47" s="223" t="e">
        <f>VLOOKUP(Tabla3[[#This Row],[Nombre del Alumno]],'[3]BECAS REINSCRIPCIONES'!$B$8:$D$21,3,0)</f>
        <v>#N/A</v>
      </c>
      <c r="CK47" s="218" t="e">
        <f>Tabla3[[#This Row],[Reinscripción 2019-2020]]*Tabla3[[#This Row],[% Beca Reinscripciones 19-20]]</f>
        <v>#N/A</v>
      </c>
      <c r="CL47" s="218" t="e">
        <f>Tabla3[[#This Row],[Cantidad Beca Comunidad Colegiatura 18-19]]*25%</f>
        <v>#N/A</v>
      </c>
      <c r="CM47" s="224" t="e">
        <f>Tabla3[[#This Row],[Cantidad Beca Reinscripciones Comunidad 19-20]]*25%</f>
        <v>#N/A</v>
      </c>
      <c r="CN47" s="222"/>
      <c r="CO47" s="218" t="e">
        <f>Tabla3[[#This Row],[Monto Colegiatura 2018-2019]]*Tabla3[[#This Row],[% Beca UNAM 18-19]]</f>
        <v>#N/A</v>
      </c>
      <c r="CP47" s="225"/>
      <c r="CQ47" s="224">
        <f>3328*Tabla3[[#This Row],[% Beca Reinscripciones UNAM 18-19]]</f>
        <v>0</v>
      </c>
      <c r="CR47" s="226" t="e">
        <f>Tabla3[[#This Row],[Cantidad Beca Colegiatura 18-19]]+Tabla3[[#This Row],[Cantidad Beca Canasta 18-19]]+Tabla3[[#This Row],[Cantidad Beca Reinscripciones 19-20]]</f>
        <v>#N/A</v>
      </c>
      <c r="CS47" s="222">
        <v>0.6</v>
      </c>
      <c r="CT47" s="218" t="e">
        <f>Tabla3[[#This Row],[Monto Colegiatura 2018-2019]]*Tabla3[[#This Row],[% Beca Comunidad 18-19]]</f>
        <v>#N/A</v>
      </c>
      <c r="CU47" s="218" t="e">
        <f>Tabla3[[#This Row],[Cantidad Beca Comunidad Colegiatura 18-19]]*75%</f>
        <v>#N/A</v>
      </c>
      <c r="CV47" s="223"/>
      <c r="CW47" s="218" t="e">
        <f>Tabla3[[#This Row],[Reinscripción 2019-2020]]*Tabla3[[#This Row],[% Beca Reinscripciones Comunidad 19-20]]</f>
        <v>#N/A</v>
      </c>
      <c r="CX47" s="218" t="e">
        <f>Tabla3[[#This Row],[Cantidad Beca Reinscripciones Comunidad 19-20]]*75%</f>
        <v>#N/A</v>
      </c>
      <c r="CY47" s="227" t="e">
        <f>Tabla3[[#This Row],[75% Cantidad Beca Comunidad Colegiatura 18-19]]+Tabla3[[#This Row],[75% Cantidad Beca Reinscripciones 19-20]]</f>
        <v>#N/A</v>
      </c>
      <c r="CZ47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47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47" s="108">
        <f>1440*(Tabla3[[#This Row],[% AutorizadoBeca Colegiatura 18-19]]+Tabla3[[#This Row],[% Beca Prestacion 18-19]]+Tabla3[[#This Row],[% Beca UNAM 18-19]]+Tabla3[[#This Row],[% Beca Comunidad 18-19]])</f>
        <v>1295.9999999999998</v>
      </c>
    </row>
    <row r="48" spans="2:106" ht="15" customHeight="1" x14ac:dyDescent="0.2">
      <c r="B48" s="107" t="s">
        <v>461</v>
      </c>
      <c r="C48" s="107" t="e">
        <f>VLOOKUP(Tabla3[[#This Row],[Nombre del Padre]],[1]!Tabla1[[PADRE]:[PADRE_CELULAR]],2,0)</f>
        <v>#REF!</v>
      </c>
      <c r="D48" s="107" t="e">
        <f>VLOOKUP(Tabla3[[#This Row],[Nombre del Padre]],[1]!Tabla1[[PADRE]:[PADRE_CELULAR]],3,0)</f>
        <v>#REF!</v>
      </c>
      <c r="E48" s="107" t="s">
        <v>462</v>
      </c>
      <c r="F48" s="107" t="e">
        <f>VLOOKUP(Tabla3[[#This Row],[Nombre de la Madre]],[1]!Tabla1[[MADRE]:[MADRE_TELEFONO]],2,0)</f>
        <v>#REF!</v>
      </c>
      <c r="G48" s="202" t="e">
        <f>VLOOKUP(Tabla3[[#This Row],[Nombre de la Madre]],[1]!Tabla1[[MADRE]:[MADRE_TELEFONO]],3,0)</f>
        <v>#REF!</v>
      </c>
      <c r="H48" s="228"/>
      <c r="I48" s="204">
        <v>1718</v>
      </c>
      <c r="J48" s="204" t="s">
        <v>463</v>
      </c>
      <c r="K48" s="204" t="s">
        <v>273</v>
      </c>
      <c r="L48" s="204" t="s">
        <v>470</v>
      </c>
      <c r="M48" s="205" t="s">
        <v>471</v>
      </c>
      <c r="N48" s="204" t="s">
        <v>332</v>
      </c>
      <c r="O48" s="206" t="e">
        <f>VLOOKUP(Tabla3[[#This Row],[Grado]],[2]Cuotas!$A:$E,2,0)</f>
        <v>#N/A</v>
      </c>
      <c r="P48" s="206" t="e">
        <f>VLOOKUP(Tabla3[[#This Row],[Grado]],[2]Cuotas!$A:$E,4,0)</f>
        <v>#N/A</v>
      </c>
      <c r="Q48" s="206" t="e">
        <f>VLOOKUP(Tabla3[[#This Row],[Grado]],[2]Cuotas!$A:$E,3,0)</f>
        <v>#N/A</v>
      </c>
      <c r="R48" s="207">
        <v>0.3</v>
      </c>
      <c r="S48" s="206" t="e">
        <f>Tabla3[[#This Row],[Monto Colegiatura]]*Tabla3[[#This Row],[% Beca Colegio 16-17]]</f>
        <v>#N/A</v>
      </c>
      <c r="T48" s="206"/>
      <c r="U48" s="206" t="e">
        <f>Tabla3[[#This Row],[Monto Colegiatura]]*Tabla3[[#This Row],[% Beca Prestación 16-17]]</f>
        <v>#N/A</v>
      </c>
      <c r="V48" s="208">
        <v>0.6</v>
      </c>
      <c r="W48" s="206" t="e">
        <f>Tabla3[[#This Row],[Monto Colegiatura]]*Tabla3[[#This Row],[% Beca Comunidad 16-17]]</f>
        <v>#N/A</v>
      </c>
      <c r="X48" s="206" t="e">
        <f>Tabla3[[#This Row],[Cantidad Beca Comunidad 16-17]]*25%</f>
        <v>#N/A</v>
      </c>
      <c r="Y48" s="206"/>
      <c r="Z48" s="206" t="e">
        <f>Tabla3[[#This Row],[Monto Colegiatura]]*Tabla3[[#This Row],[% Beca UNAM 16-17]]</f>
        <v>#N/A</v>
      </c>
      <c r="AA48" s="208" t="e">
        <f>VLOOKUP(Tabla3[[#This Row],[Nombre del Alumno]],'[4]BECAS REINSCRIPCIONES'!$B$9:$D$31,3,0)</f>
        <v>#N/A</v>
      </c>
      <c r="AB48" s="206" t="e">
        <f>Tabla3[[#This Row],[Monto Reinscripción]]*Tabla3[[#This Row],[% Beca Reinscripción 16-17]]</f>
        <v>#N/A</v>
      </c>
      <c r="AC48" s="208">
        <v>1</v>
      </c>
      <c r="AD48" s="206" t="e">
        <f>Tabla3[[#This Row],[Monto Canasta]]*Tabla3[[#This Row],[% Beca Canasta 16-17]]</f>
        <v>#N/A</v>
      </c>
      <c r="AE48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48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48" s="209" t="e">
        <f>VLOOKUP(Tabla3[[#This Row],[Nombre del Alumno]],[2]!Tabla1[[Alumno]:[Cuenta Ciclos]],2,0)</f>
        <v>#REF!</v>
      </c>
      <c r="AH48" s="210" t="s">
        <v>472</v>
      </c>
      <c r="AI48" s="211" t="s">
        <v>336</v>
      </c>
      <c r="AJ48" s="206" t="e">
        <f>VLOOKUP(Tabla3[[#This Row],[Grado 17-18]],[2]Cuotas!$H:$L,2,0)</f>
        <v>#N/A</v>
      </c>
      <c r="AK48" s="206" t="e">
        <f>VLOOKUP(Tabla3[[#This Row],[Grado 17-18]],[2]Cuotas!$H:$L,3,0)</f>
        <v>#N/A</v>
      </c>
      <c r="AL48" s="206" t="e">
        <f>VLOOKUP(Tabla3[[#This Row],[Grado 17-18]],[2]Cuotas!$H:$L,4,0)</f>
        <v>#N/A</v>
      </c>
      <c r="AM48" s="229">
        <v>0.4</v>
      </c>
      <c r="AN48" s="213">
        <v>0.3</v>
      </c>
      <c r="AO48" s="206" t="e">
        <f>Tabla3[[#This Row],[Monto Colegiatura ]]*Tabla3[[#This Row],[% AutorizadoBeca Colegiatura 17-18]]</f>
        <v>#N/A</v>
      </c>
      <c r="AP48" s="208"/>
      <c r="AQ48" s="206" t="e">
        <f>Tabla3[[#This Row],[Monto Colegiatura ]]*Tabla3[[#This Row],[% Beca Prestacion 17-18]]</f>
        <v>#N/A</v>
      </c>
      <c r="AR48" s="208"/>
      <c r="AS48" s="206" t="e">
        <f>Tabla3[[#This Row],[Canasta]]*Tabla3[[#This Row],[% Beca Canasta 17-18]]</f>
        <v>#N/A</v>
      </c>
      <c r="AT48" s="208">
        <v>1</v>
      </c>
      <c r="AU48" s="214">
        <v>3172</v>
      </c>
      <c r="AV48" s="206" t="e">
        <f>Tabla3[[#This Row],[Cantidad Beca Comunidad Colegiatura 17-18]]*25%</f>
        <v>#N/A</v>
      </c>
      <c r="AW48" s="206"/>
      <c r="AX48" s="215"/>
      <c r="AY48" s="206" t="e">
        <f>Tabla3[[#This Row],[Monto Colegiatura ]]*Tabla3[[#This Row],[% Beca UNAM 17-18]]</f>
        <v>#N/A</v>
      </c>
      <c r="AZ48" s="206"/>
      <c r="BA48" s="216">
        <f>3200*Tabla3[[#This Row],[% Beca Reinscripciones UNAM 17-18]]</f>
        <v>0</v>
      </c>
      <c r="BB48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48" s="231">
        <v>0.6</v>
      </c>
      <c r="BD48" s="218" t="e">
        <f>Tabla3[[#This Row],[Monto Colegiatura ]]*Tabla3[[#This Row],[% Beca Comunidad 17-18]]</f>
        <v>#N/A</v>
      </c>
      <c r="BE48" s="218" t="e">
        <f>Tabla3[[#This Row],[Cantidad Beca Comunidad Colegiatura 17-18]]*75%</f>
        <v>#N/A</v>
      </c>
      <c r="BF48" s="219"/>
      <c r="BG48" s="218" t="e">
        <f>Tabla3[[#This Row],[Reinscripción]]*Tabla3[[#This Row],[% Beca Reinscripciones Comunidad 18-19]]</f>
        <v>#N/A</v>
      </c>
      <c r="BH48" s="218" t="e">
        <f>Tabla3[[#This Row],[Cantidad Beca Reinscripciones Comunidad 18-19]]*70%</f>
        <v>#N/A</v>
      </c>
      <c r="BI48" s="216" t="e">
        <f>Tabla3[[#This Row],[75% Cantidad Beca Comunidad Colegiatura 17-18]]+Tabla3[[#This Row],[70% Cantidad Beca Reinscripciones 18-19]]</f>
        <v>#N/A</v>
      </c>
      <c r="BJ48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48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48" s="220"/>
      <c r="BM48" s="229"/>
      <c r="BN48" s="221"/>
      <c r="BO48" s="107" t="s">
        <v>468</v>
      </c>
      <c r="BP48" s="107">
        <f>Tabla3[[#This Row],[% AutorizadoBeca Colegiatura 17-18]]+Tabla3[[#This Row],[% Beca Prestacion 17-18]]+Tabla3[[#This Row],[% Beca UNAM 17-18]]</f>
        <v>0.3</v>
      </c>
      <c r="BQ48" s="108">
        <f t="shared" si="0"/>
        <v>344.09999999999997</v>
      </c>
      <c r="BR48" s="107">
        <f>Tabla3[[#This Row],[% Beca Comunidad 17-18]]</f>
        <v>0.6</v>
      </c>
      <c r="BS48" s="108">
        <f t="shared" si="1"/>
        <v>688.19999999999993</v>
      </c>
      <c r="BT48" s="108">
        <f t="shared" si="2"/>
        <v>172.04999999999998</v>
      </c>
      <c r="BU48" s="108">
        <f>Tabla3[[#This Row],[Monto3]]*75%</f>
        <v>516.15</v>
      </c>
      <c r="BV48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48" s="107" t="e">
        <f>VLOOKUP(Tabla3[[#This Row],[Nombre del Alumno]],'[3]BECAS COLEGIATURAS'!$I:$N,6,0)</f>
        <v>#N/A</v>
      </c>
      <c r="BX48" s="107" t="e">
        <f>VLOOKUP(Tabla3[[#This Row],[Nombre del Alumno]],[1]!Tabla1[[NOMBRE DEL ALUMNO]:[MATRIZ]],6,0)</f>
        <v>#REF!</v>
      </c>
      <c r="BY48" s="107" t="e">
        <f>VLOOKUP(Tabla3[[#This Row],[Nombre del Alumno]],'[3]BECAS COLEGIATURAS'!$I:$L,4,0)</f>
        <v>#N/A</v>
      </c>
      <c r="BZ48" s="108" t="e">
        <f>VLOOKUP(Tabla3[[#This Row],[Grado 18-19]],[2]Cuotas!$Q:$U,2,0)</f>
        <v>#N/A</v>
      </c>
      <c r="CA48" s="108" t="e">
        <f>VLOOKUP(Tabla3[[#This Row],[Grado 18-19]],[2]Cuotas!$Q:$U,3,0)</f>
        <v>#N/A</v>
      </c>
      <c r="CB48" s="108" t="e">
        <f>VLOOKUP(Tabla3[[#This Row],[Grado 18-19]],[2]Cuotas!$Q:$U,4,0)</f>
        <v>#N/A</v>
      </c>
      <c r="CC48" s="107" t="s">
        <v>469</v>
      </c>
      <c r="CD48" s="222">
        <v>0.3</v>
      </c>
      <c r="CE48" s="218" t="e">
        <f>Tabla3[[#This Row],[Monto Colegiatura 2018-2019]]*Tabla3[[#This Row],[% AutorizadoBeca Colegiatura 18-19]]</f>
        <v>#N/A</v>
      </c>
      <c r="CF48" s="223"/>
      <c r="CG48" s="218" t="e">
        <f>Tabla3[[#This Row],[Monto Colegiatura 2018-2019]]*Tabla3[[#This Row],[% Beca Prestacion 18-19]]</f>
        <v>#N/A</v>
      </c>
      <c r="CH48" s="223"/>
      <c r="CI48" s="218" t="e">
        <f>Tabla3[[#This Row],[Canasta 2018-2019]]*Tabla3[[#This Row],[% Beca Canasta 18-19]]</f>
        <v>#N/A</v>
      </c>
      <c r="CJ48" s="223" t="e">
        <f>VLOOKUP(Tabla3[[#This Row],[Nombre del Alumno]],'[3]BECAS REINSCRIPCIONES'!$B$8:$D$21,3,0)</f>
        <v>#N/A</v>
      </c>
      <c r="CK48" s="218" t="e">
        <f>Tabla3[[#This Row],[Reinscripción 2019-2020]]*Tabla3[[#This Row],[% Beca Reinscripciones 19-20]]</f>
        <v>#N/A</v>
      </c>
      <c r="CL48" s="218" t="e">
        <f>Tabla3[[#This Row],[Cantidad Beca Comunidad Colegiatura 18-19]]*25%</f>
        <v>#N/A</v>
      </c>
      <c r="CM48" s="224" t="e">
        <f>Tabla3[[#This Row],[Cantidad Beca Reinscripciones Comunidad 19-20]]*25%</f>
        <v>#N/A</v>
      </c>
      <c r="CN48" s="222"/>
      <c r="CO48" s="218" t="e">
        <f>Tabla3[[#This Row],[Monto Colegiatura 2018-2019]]*Tabla3[[#This Row],[% Beca UNAM 18-19]]</f>
        <v>#N/A</v>
      </c>
      <c r="CP48" s="225"/>
      <c r="CQ48" s="224">
        <f>3328*Tabla3[[#This Row],[% Beca Reinscripciones UNAM 18-19]]</f>
        <v>0</v>
      </c>
      <c r="CR48" s="226" t="e">
        <f>Tabla3[[#This Row],[Cantidad Beca Colegiatura 18-19]]+Tabla3[[#This Row],[Cantidad Beca Canasta 18-19]]+Tabla3[[#This Row],[Cantidad Beca Reinscripciones 19-20]]</f>
        <v>#N/A</v>
      </c>
      <c r="CS48" s="222">
        <v>0.6</v>
      </c>
      <c r="CT48" s="218" t="e">
        <f>Tabla3[[#This Row],[Monto Colegiatura 2018-2019]]*Tabla3[[#This Row],[% Beca Comunidad 18-19]]</f>
        <v>#N/A</v>
      </c>
      <c r="CU48" s="218" t="e">
        <f>Tabla3[[#This Row],[Cantidad Beca Comunidad Colegiatura 18-19]]*75%</f>
        <v>#N/A</v>
      </c>
      <c r="CV48" s="223"/>
      <c r="CW48" s="218" t="e">
        <f>Tabla3[[#This Row],[Reinscripción 2019-2020]]*Tabla3[[#This Row],[% Beca Reinscripciones Comunidad 19-20]]</f>
        <v>#N/A</v>
      </c>
      <c r="CX48" s="218" t="e">
        <f>Tabla3[[#This Row],[Cantidad Beca Reinscripciones Comunidad 19-20]]*75%</f>
        <v>#N/A</v>
      </c>
      <c r="CY48" s="227" t="e">
        <f>Tabla3[[#This Row],[75% Cantidad Beca Comunidad Colegiatura 18-19]]+Tabla3[[#This Row],[75% Cantidad Beca Reinscripciones 19-20]]</f>
        <v>#N/A</v>
      </c>
      <c r="CZ48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48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48" s="108">
        <f>1440*(Tabla3[[#This Row],[% AutorizadoBeca Colegiatura 18-19]]+Tabla3[[#This Row],[% Beca Prestacion 18-19]]+Tabla3[[#This Row],[% Beca UNAM 18-19]]+Tabla3[[#This Row],[% Beca Comunidad 18-19]])</f>
        <v>1295.9999999999998</v>
      </c>
    </row>
    <row r="49" spans="2:106" ht="15" customHeight="1" x14ac:dyDescent="0.2">
      <c r="B49" s="107" t="s">
        <v>461</v>
      </c>
      <c r="C49" s="107" t="e">
        <f>VLOOKUP(Tabla3[[#This Row],[Nombre del Padre]],[1]!Tabla1[[PADRE]:[PADRE_CELULAR]],2,0)</f>
        <v>#REF!</v>
      </c>
      <c r="D49" s="107" t="e">
        <f>VLOOKUP(Tabla3[[#This Row],[Nombre del Padre]],[1]!Tabla1[[PADRE]:[PADRE_CELULAR]],3,0)</f>
        <v>#REF!</v>
      </c>
      <c r="E49" s="107" t="s">
        <v>462</v>
      </c>
      <c r="F49" s="107" t="e">
        <f>VLOOKUP(Tabla3[[#This Row],[Nombre de la Madre]],[1]!Tabla1[[MADRE]:[MADRE_TELEFONO]],2,0)</f>
        <v>#REF!</v>
      </c>
      <c r="G49" s="202" t="e">
        <f>VLOOKUP(Tabla3[[#This Row],[Nombre de la Madre]],[1]!Tabla1[[MADRE]:[MADRE_TELEFONO]],3,0)</f>
        <v>#REF!</v>
      </c>
      <c r="H49" s="228"/>
      <c r="I49" s="204">
        <v>1718</v>
      </c>
      <c r="J49" s="204" t="s">
        <v>463</v>
      </c>
      <c r="K49" s="204" t="s">
        <v>273</v>
      </c>
      <c r="L49" s="204" t="s">
        <v>473</v>
      </c>
      <c r="M49" s="205" t="s">
        <v>474</v>
      </c>
      <c r="N49" s="204" t="s">
        <v>315</v>
      </c>
      <c r="O49" s="206" t="e">
        <f>VLOOKUP(Tabla3[[#This Row],[Grado]],[2]Cuotas!$A:$E,2,0)</f>
        <v>#N/A</v>
      </c>
      <c r="P49" s="206" t="e">
        <f>VLOOKUP(Tabla3[[#This Row],[Grado]],[2]Cuotas!$A:$E,4,0)</f>
        <v>#N/A</v>
      </c>
      <c r="Q49" s="206" t="e">
        <f>VLOOKUP(Tabla3[[#This Row],[Grado]],[2]Cuotas!$A:$E,3,0)</f>
        <v>#N/A</v>
      </c>
      <c r="R49" s="207">
        <v>1</v>
      </c>
      <c r="S49" s="206" t="e">
        <f>Tabla3[[#This Row],[Monto Colegiatura]]*Tabla3[[#This Row],[% Beca Colegio 16-17]]</f>
        <v>#N/A</v>
      </c>
      <c r="T49" s="206"/>
      <c r="U49" s="206" t="e">
        <f>Tabla3[[#This Row],[Monto Colegiatura]]*Tabla3[[#This Row],[% Beca Prestación 16-17]]</f>
        <v>#N/A</v>
      </c>
      <c r="V49" s="208"/>
      <c r="W49" s="206" t="e">
        <f>Tabla3[[#This Row],[Monto Colegiatura]]*Tabla3[[#This Row],[% Beca Comunidad 16-17]]</f>
        <v>#N/A</v>
      </c>
      <c r="X49" s="206" t="e">
        <f>Tabla3[[#This Row],[Cantidad Beca Comunidad 16-17]]*25%</f>
        <v>#N/A</v>
      </c>
      <c r="Y49" s="206"/>
      <c r="Z49" s="206" t="e">
        <f>Tabla3[[#This Row],[Monto Colegiatura]]*Tabla3[[#This Row],[% Beca UNAM 16-17]]</f>
        <v>#N/A</v>
      </c>
      <c r="AA49" s="208" t="e">
        <f>VLOOKUP(Tabla3[[#This Row],[Nombre del Alumno]],'[4]BECAS REINSCRIPCIONES'!$B$9:$D$31,3,0)</f>
        <v>#N/A</v>
      </c>
      <c r="AB49" s="206" t="e">
        <f>Tabla3[[#This Row],[Monto Reinscripción]]*Tabla3[[#This Row],[% Beca Reinscripción 16-17]]</f>
        <v>#N/A</v>
      </c>
      <c r="AC49" s="208">
        <v>1</v>
      </c>
      <c r="AD49" s="206" t="e">
        <f>Tabla3[[#This Row],[Monto Canasta]]*Tabla3[[#This Row],[% Beca Canasta 16-17]]</f>
        <v>#N/A</v>
      </c>
      <c r="AE49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49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49" s="209" t="e">
        <f>VLOOKUP(Tabla3[[#This Row],[Nombre del Alumno]],[2]!Tabla1[[Alumno]:[Cuenta Ciclos]],2,0)</f>
        <v>#REF!</v>
      </c>
      <c r="AH49" s="210" t="s">
        <v>475</v>
      </c>
      <c r="AI49" s="211" t="s">
        <v>297</v>
      </c>
      <c r="AJ49" s="206" t="e">
        <f>VLOOKUP(Tabla3[[#This Row],[Grado 17-18]],[2]Cuotas!$H:$L,2,0)</f>
        <v>#N/A</v>
      </c>
      <c r="AK49" s="206">
        <v>2162.3679999999999</v>
      </c>
      <c r="AL49" s="206" t="e">
        <f>VLOOKUP(Tabla3[[#This Row],[Grado 17-18]],[2]Cuotas!$H:$L,4,0)</f>
        <v>#N/A</v>
      </c>
      <c r="AM49" s="229">
        <v>1</v>
      </c>
      <c r="AN49" s="213">
        <v>1</v>
      </c>
      <c r="AO49" s="206" t="e">
        <f>Tabla3[[#This Row],[Monto Colegiatura ]]*Tabla3[[#This Row],[% AutorizadoBeca Colegiatura 17-18]]</f>
        <v>#N/A</v>
      </c>
      <c r="AP49" s="208"/>
      <c r="AQ49" s="206" t="e">
        <f>Tabla3[[#This Row],[Monto Colegiatura ]]*Tabla3[[#This Row],[% Beca Prestacion 17-18]]</f>
        <v>#N/A</v>
      </c>
      <c r="AR49" s="208"/>
      <c r="AS49" s="206" t="e">
        <f>Tabla3[[#This Row],[Canasta]]*Tabla3[[#This Row],[% Beca Canasta 17-18]]</f>
        <v>#N/A</v>
      </c>
      <c r="AT49" s="208">
        <v>1</v>
      </c>
      <c r="AU49" s="214">
        <v>2162.36</v>
      </c>
      <c r="AV49" s="206" t="e">
        <f>Tabla3[[#This Row],[Cantidad Beca Comunidad Colegiatura 17-18]]*25%</f>
        <v>#N/A</v>
      </c>
      <c r="AW49" s="206"/>
      <c r="AX49" s="215"/>
      <c r="AY49" s="206" t="e">
        <f>Tabla3[[#This Row],[Monto Colegiatura ]]*Tabla3[[#This Row],[% Beca UNAM 17-18]]</f>
        <v>#N/A</v>
      </c>
      <c r="AZ49" s="206"/>
      <c r="BA49" s="216">
        <f>3200*Tabla3[[#This Row],[% Beca Reinscripciones UNAM 17-18]]</f>
        <v>0</v>
      </c>
      <c r="BB49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49" s="231"/>
      <c r="BD49" s="218" t="e">
        <f>Tabla3[[#This Row],[Monto Colegiatura ]]*Tabla3[[#This Row],[% Beca Comunidad 17-18]]</f>
        <v>#N/A</v>
      </c>
      <c r="BE49" s="218" t="e">
        <f>Tabla3[[#This Row],[Cantidad Beca Comunidad Colegiatura 17-18]]*75%</f>
        <v>#N/A</v>
      </c>
      <c r="BF49" s="219"/>
      <c r="BG49" s="218">
        <f>Tabla3[[#This Row],[Reinscripción]]*Tabla3[[#This Row],[% Beca Reinscripciones Comunidad 18-19]]</f>
        <v>0</v>
      </c>
      <c r="BH49" s="218">
        <f>Tabla3[[#This Row],[Cantidad Beca Reinscripciones Comunidad 18-19]]*70%</f>
        <v>0</v>
      </c>
      <c r="BI49" s="216" t="e">
        <f>Tabla3[[#This Row],[75% Cantidad Beca Comunidad Colegiatura 17-18]]+Tabla3[[#This Row],[70% Cantidad Beca Reinscripciones 18-19]]</f>
        <v>#N/A</v>
      </c>
      <c r="BJ49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49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49" s="220"/>
      <c r="BM49" s="204"/>
      <c r="BN49" s="221"/>
      <c r="BO49" s="107" t="s">
        <v>468</v>
      </c>
      <c r="BP49" s="107">
        <f>Tabla3[[#This Row],[% AutorizadoBeca Colegiatura 17-18]]+Tabla3[[#This Row],[% Beca Prestacion 17-18]]+Tabla3[[#This Row],[% Beca UNAM 17-18]]</f>
        <v>1</v>
      </c>
      <c r="BQ49" s="108">
        <f t="shared" si="0"/>
        <v>1147</v>
      </c>
      <c r="BR49" s="107">
        <f>Tabla3[[#This Row],[% Beca Comunidad 17-18]]</f>
        <v>0</v>
      </c>
      <c r="BS49" s="108">
        <f t="shared" si="1"/>
        <v>0</v>
      </c>
      <c r="BT49" s="108">
        <f t="shared" si="2"/>
        <v>0</v>
      </c>
      <c r="BU49" s="108">
        <f>Tabla3[[#This Row],[Monto3]]*75%</f>
        <v>0</v>
      </c>
      <c r="BV49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49" s="107" t="e">
        <f>VLOOKUP(Tabla3[[#This Row],[Nombre del Alumno]],'[3]BECAS COLEGIATURAS'!$I:$N,6,0)</f>
        <v>#N/A</v>
      </c>
      <c r="BX49" s="107" t="e">
        <f>VLOOKUP(Tabla3[[#This Row],[Nombre del Alumno]],[1]!Tabla1[[NOMBRE DEL ALUMNO]:[MATRIZ]],6,0)</f>
        <v>#REF!</v>
      </c>
      <c r="BY49" s="107" t="e">
        <f>VLOOKUP(Tabla3[[#This Row],[Nombre del Alumno]],'[3]BECAS COLEGIATURAS'!$I:$L,4,0)</f>
        <v>#N/A</v>
      </c>
      <c r="BZ49" s="108" t="e">
        <f>VLOOKUP(Tabla3[[#This Row],[Grado 18-19]],[2]Cuotas!$Q:$U,2,0)</f>
        <v>#N/A</v>
      </c>
      <c r="CA49" s="108" t="e">
        <f>VLOOKUP(Tabla3[[#This Row],[Grado 18-19]],[2]Cuotas!$Q:$U,3,0)</f>
        <v>#N/A</v>
      </c>
      <c r="CB49" s="108" t="e">
        <f>VLOOKUP(Tabla3[[#This Row],[Grado 18-19]],[2]Cuotas!$Q:$U,4,0)</f>
        <v>#N/A</v>
      </c>
      <c r="CC49" s="107" t="s">
        <v>469</v>
      </c>
      <c r="CD49" s="222">
        <v>1</v>
      </c>
      <c r="CE49" s="218" t="e">
        <f>Tabla3[[#This Row],[Monto Colegiatura 2018-2019]]*Tabla3[[#This Row],[% AutorizadoBeca Colegiatura 18-19]]</f>
        <v>#N/A</v>
      </c>
      <c r="CF49" s="223"/>
      <c r="CG49" s="218" t="e">
        <f>Tabla3[[#This Row],[Monto Colegiatura 2018-2019]]*Tabla3[[#This Row],[% Beca Prestacion 18-19]]</f>
        <v>#N/A</v>
      </c>
      <c r="CH49" s="223"/>
      <c r="CI49" s="218" t="e">
        <f>Tabla3[[#This Row],[Canasta 2018-2019]]*Tabla3[[#This Row],[% Beca Canasta 18-19]]</f>
        <v>#N/A</v>
      </c>
      <c r="CJ49" s="223" t="e">
        <f>VLOOKUP(Tabla3[[#This Row],[Nombre del Alumno]],'[3]BECAS REINSCRIPCIONES'!$B$8:$D$21,3,0)</f>
        <v>#N/A</v>
      </c>
      <c r="CK49" s="218" t="e">
        <f>Tabla3[[#This Row],[Reinscripción 2019-2020]]*Tabla3[[#This Row],[% Beca Reinscripciones 19-20]]</f>
        <v>#N/A</v>
      </c>
      <c r="CL49" s="218" t="e">
        <f>Tabla3[[#This Row],[Cantidad Beca Comunidad Colegiatura 18-19]]*25%</f>
        <v>#N/A</v>
      </c>
      <c r="CM49" s="224" t="e">
        <f>Tabla3[[#This Row],[Cantidad Beca Reinscripciones Comunidad 19-20]]*25%</f>
        <v>#N/A</v>
      </c>
      <c r="CN49" s="222"/>
      <c r="CO49" s="218" t="e">
        <f>Tabla3[[#This Row],[Monto Colegiatura 2018-2019]]*Tabla3[[#This Row],[% Beca UNAM 18-19]]</f>
        <v>#N/A</v>
      </c>
      <c r="CP49" s="225"/>
      <c r="CQ49" s="224">
        <f>3328*Tabla3[[#This Row],[% Beca Reinscripciones UNAM 18-19]]</f>
        <v>0</v>
      </c>
      <c r="CR49" s="226" t="e">
        <f>Tabla3[[#This Row],[Cantidad Beca Colegiatura 18-19]]+Tabla3[[#This Row],[Cantidad Beca Canasta 18-19]]+Tabla3[[#This Row],[Cantidad Beca Reinscripciones 19-20]]</f>
        <v>#N/A</v>
      </c>
      <c r="CS49" s="222"/>
      <c r="CT49" s="218" t="e">
        <f>Tabla3[[#This Row],[Monto Colegiatura 2018-2019]]*Tabla3[[#This Row],[% Beca Comunidad 18-19]]</f>
        <v>#N/A</v>
      </c>
      <c r="CU49" s="218" t="e">
        <f>Tabla3[[#This Row],[Cantidad Beca Comunidad Colegiatura 18-19]]*75%</f>
        <v>#N/A</v>
      </c>
      <c r="CV49" s="223"/>
      <c r="CW49" s="218" t="e">
        <f>Tabla3[[#This Row],[Reinscripción 2019-2020]]*Tabla3[[#This Row],[% Beca Reinscripciones Comunidad 19-20]]</f>
        <v>#N/A</v>
      </c>
      <c r="CX49" s="218" t="e">
        <f>Tabla3[[#This Row],[Cantidad Beca Reinscripciones Comunidad 19-20]]*75%</f>
        <v>#N/A</v>
      </c>
      <c r="CY49" s="227" t="e">
        <f>Tabla3[[#This Row],[75% Cantidad Beca Comunidad Colegiatura 18-19]]+Tabla3[[#This Row],[75% Cantidad Beca Reinscripciones 19-20]]</f>
        <v>#N/A</v>
      </c>
      <c r="CZ49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49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49" s="108">
        <f>1440*(Tabla3[[#This Row],[% AutorizadoBeca Colegiatura 18-19]]+Tabla3[[#This Row],[% Beca Prestacion 18-19]]+Tabla3[[#This Row],[% Beca UNAM 18-19]]+Tabla3[[#This Row],[% Beca Comunidad 18-19]])</f>
        <v>1440</v>
      </c>
    </row>
    <row r="50" spans="2:106" ht="15" customHeight="1" x14ac:dyDescent="0.2">
      <c r="B50" s="107" t="s">
        <v>476</v>
      </c>
      <c r="C50" s="107" t="e">
        <f>VLOOKUP(Tabla3[[#This Row],[Nombre del Padre]],[1]!Tabla1[[PADRE]:[PADRE_CELULAR]],2,0)</f>
        <v>#REF!</v>
      </c>
      <c r="D50" s="107" t="e">
        <f>VLOOKUP(Tabla3[[#This Row],[Nombre del Padre]],[1]!Tabla1[[PADRE]:[PADRE_CELULAR]],3,0)</f>
        <v>#REF!</v>
      </c>
      <c r="E50" s="107" t="s">
        <v>477</v>
      </c>
      <c r="F50" s="107" t="e">
        <f>VLOOKUP(Tabla3[[#This Row],[Nombre de la Madre]],[1]!Tabla1[[MADRE]:[MADRE_TELEFONO]],2,0)</f>
        <v>#REF!</v>
      </c>
      <c r="G50" s="202" t="e">
        <f>VLOOKUP(Tabla3[[#This Row],[Nombre de la Madre]],[1]!Tabla1[[MADRE]:[MADRE_TELEFONO]],3,0)</f>
        <v>#REF!</v>
      </c>
      <c r="H50" s="228">
        <v>31</v>
      </c>
      <c r="I50" s="204">
        <v>2157</v>
      </c>
      <c r="J50" s="204" t="s">
        <v>478</v>
      </c>
      <c r="K50" s="204" t="s">
        <v>273</v>
      </c>
      <c r="L50" s="204" t="s">
        <v>62</v>
      </c>
      <c r="M50" s="205" t="s">
        <v>479</v>
      </c>
      <c r="N50" s="204" t="s">
        <v>338</v>
      </c>
      <c r="O50" s="206" t="e">
        <f>VLOOKUP(Tabla3[[#This Row],[Grado]],[2]Cuotas!$A:$E,2,0)</f>
        <v>#N/A</v>
      </c>
      <c r="P50" s="206" t="e">
        <f>VLOOKUP(Tabla3[[#This Row],[Grado]],[2]Cuotas!$A:$E,4,0)</f>
        <v>#N/A</v>
      </c>
      <c r="Q50" s="206" t="e">
        <f>VLOOKUP(Tabla3[[#This Row],[Grado]],[2]Cuotas!$A:$E,3,0)</f>
        <v>#N/A</v>
      </c>
      <c r="R50" s="207">
        <v>1</v>
      </c>
      <c r="S50" s="206" t="e">
        <f>Tabla3[[#This Row],[Monto Colegiatura]]*Tabla3[[#This Row],[% Beca Colegio 16-17]]</f>
        <v>#N/A</v>
      </c>
      <c r="T50" s="206"/>
      <c r="U50" s="206" t="e">
        <f>Tabla3[[#This Row],[Monto Colegiatura]]*Tabla3[[#This Row],[% Beca Prestación 16-17]]</f>
        <v>#N/A</v>
      </c>
      <c r="V50" s="208"/>
      <c r="W50" s="206" t="e">
        <f>Tabla3[[#This Row],[Monto Colegiatura]]*Tabla3[[#This Row],[% Beca Comunidad 16-17]]</f>
        <v>#N/A</v>
      </c>
      <c r="X50" s="206" t="e">
        <f>Tabla3[[#This Row],[Cantidad Beca Comunidad 16-17]]*25%</f>
        <v>#N/A</v>
      </c>
      <c r="Y50" s="206"/>
      <c r="Z50" s="206" t="e">
        <f>Tabla3[[#This Row],[Monto Colegiatura]]*Tabla3[[#This Row],[% Beca UNAM 16-17]]</f>
        <v>#N/A</v>
      </c>
      <c r="AA50" s="208" t="e">
        <f>VLOOKUP(Tabla3[[#This Row],[Nombre del Alumno]],'[4]BECAS REINSCRIPCIONES'!$B$9:$D$31,3,0)</f>
        <v>#N/A</v>
      </c>
      <c r="AB50" s="206" t="e">
        <f>Tabla3[[#This Row],[Monto Reinscripción]]*Tabla3[[#This Row],[% Beca Reinscripción 16-17]]</f>
        <v>#N/A</v>
      </c>
      <c r="AC50" s="208">
        <v>1</v>
      </c>
      <c r="AD50" s="206" t="e">
        <f>Tabla3[[#This Row],[Monto Canasta]]*Tabla3[[#This Row],[% Beca Canasta 16-17]]</f>
        <v>#N/A</v>
      </c>
      <c r="AE50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50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50" s="209" t="e">
        <f>VLOOKUP(Tabla3[[#This Row],[Nombre del Alumno]],[2]!Tabla1[[Alumno]:[Cuenta Ciclos]],2,0)</f>
        <v>#REF!</v>
      </c>
      <c r="AH50" s="210" t="s">
        <v>480</v>
      </c>
      <c r="AI50" s="211" t="s">
        <v>276</v>
      </c>
      <c r="AJ50" s="206" t="e">
        <f>VLOOKUP(Tabla3[[#This Row],[Grado 17-18]],[2]Cuotas!$H:$L,2,0)</f>
        <v>#N/A</v>
      </c>
      <c r="AK50" s="206">
        <v>3061.76</v>
      </c>
      <c r="AL50" s="206" t="e">
        <f>VLOOKUP(Tabla3[[#This Row],[Grado 17-18]],[2]Cuotas!$H:$L,4,0)</f>
        <v>#N/A</v>
      </c>
      <c r="AM50" s="229">
        <v>1</v>
      </c>
      <c r="AN50" s="213">
        <v>0.5</v>
      </c>
      <c r="AO50" s="206" t="e">
        <f>Tabla3[[#This Row],[Monto Colegiatura ]]*Tabla3[[#This Row],[% AutorizadoBeca Colegiatura 17-18]]</f>
        <v>#N/A</v>
      </c>
      <c r="AP50" s="208"/>
      <c r="AQ50" s="206" t="e">
        <f>Tabla3[[#This Row],[Monto Colegiatura ]]*Tabla3[[#This Row],[% Beca Prestacion 17-18]]</f>
        <v>#N/A</v>
      </c>
      <c r="AR50" s="208"/>
      <c r="AS50" s="206" t="e">
        <f>Tabla3[[#This Row],[Canasta]]*Tabla3[[#This Row],[% Beca Canasta 17-18]]</f>
        <v>#N/A</v>
      </c>
      <c r="AT50" s="208"/>
      <c r="AU50" s="214">
        <v>0</v>
      </c>
      <c r="AV50" s="206" t="e">
        <f>Tabla3[[#This Row],[Cantidad Beca Comunidad Colegiatura 17-18]]*25%</f>
        <v>#N/A</v>
      </c>
      <c r="AW50" s="206"/>
      <c r="AX50" s="215"/>
      <c r="AY50" s="206" t="e">
        <f>Tabla3[[#This Row],[Monto Colegiatura ]]*Tabla3[[#This Row],[% Beca UNAM 17-18]]</f>
        <v>#N/A</v>
      </c>
      <c r="AZ50" s="206"/>
      <c r="BA50" s="216">
        <f>3200*Tabla3[[#This Row],[% Beca Reinscripciones UNAM 17-18]]</f>
        <v>0</v>
      </c>
      <c r="BB50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50" s="231">
        <v>0.5</v>
      </c>
      <c r="BD50" s="218" t="e">
        <f>Tabla3[[#This Row],[Monto Colegiatura ]]*Tabla3[[#This Row],[% Beca Comunidad 17-18]]</f>
        <v>#N/A</v>
      </c>
      <c r="BE50" s="218" t="e">
        <f>Tabla3[[#This Row],[Cantidad Beca Comunidad Colegiatura 17-18]]*75%</f>
        <v>#N/A</v>
      </c>
      <c r="BF50" s="219"/>
      <c r="BG50" s="218">
        <f>Tabla3[[#This Row],[Reinscripción]]*Tabla3[[#This Row],[% Beca Reinscripciones Comunidad 18-19]]</f>
        <v>0</v>
      </c>
      <c r="BH50" s="218">
        <f>Tabla3[[#This Row],[Cantidad Beca Reinscripciones Comunidad 18-19]]*70%</f>
        <v>0</v>
      </c>
      <c r="BI50" s="216" t="e">
        <f>Tabla3[[#This Row],[75% Cantidad Beca Comunidad Colegiatura 17-18]]+Tabla3[[#This Row],[70% Cantidad Beca Reinscripciones 18-19]]</f>
        <v>#N/A</v>
      </c>
      <c r="BJ50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50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50" s="220"/>
      <c r="BM50" s="204"/>
      <c r="BN50" s="221" t="s">
        <v>481</v>
      </c>
      <c r="BO50" s="107"/>
      <c r="BP50" s="107">
        <f>Tabla3[[#This Row],[% AutorizadoBeca Colegiatura 17-18]]+Tabla3[[#This Row],[% Beca Prestacion 17-18]]+Tabla3[[#This Row],[% Beca UNAM 17-18]]</f>
        <v>0.5</v>
      </c>
      <c r="BQ50" s="108">
        <f t="shared" si="0"/>
        <v>573.5</v>
      </c>
      <c r="BR50" s="107">
        <f>Tabla3[[#This Row],[% Beca Comunidad 17-18]]</f>
        <v>0.5</v>
      </c>
      <c r="BS50" s="108">
        <f t="shared" si="1"/>
        <v>573.5</v>
      </c>
      <c r="BT50" s="108">
        <f t="shared" si="2"/>
        <v>143.375</v>
      </c>
      <c r="BU50" s="108">
        <f>Tabla3[[#This Row],[Monto3]]*75%</f>
        <v>430.125</v>
      </c>
      <c r="BV50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50" s="107" t="e">
        <f>VLOOKUP(Tabla3[[#This Row],[Nombre del Alumno]],'[3]BECAS COLEGIATURAS'!$I:$N,6,0)</f>
        <v>#N/A</v>
      </c>
      <c r="BX50" s="107" t="e">
        <f>VLOOKUP(Tabla3[[#This Row],[Nombre del Alumno]],[1]!Tabla1[[NOMBRE DEL ALUMNO]:[MATRIZ]],6,0)</f>
        <v>#REF!</v>
      </c>
      <c r="BY50" s="107" t="e">
        <f>VLOOKUP(Tabla3[[#This Row],[Nombre del Alumno]],'[3]BECAS COLEGIATURAS'!$I:$L,4,0)</f>
        <v>#N/A</v>
      </c>
      <c r="BZ50" s="108" t="e">
        <f>VLOOKUP(Tabla3[[#This Row],[Grado 18-19]],[2]Cuotas!$Q:$U,2,0)</f>
        <v>#N/A</v>
      </c>
      <c r="CA50" s="108" t="e">
        <f>VLOOKUP(Tabla3[[#This Row],[Grado 18-19]],[2]Cuotas!$Q:$U,3,0)</f>
        <v>#N/A</v>
      </c>
      <c r="CB50" s="108" t="e">
        <f>VLOOKUP(Tabla3[[#This Row],[Grado 18-19]],[2]Cuotas!$Q:$U,4,0)</f>
        <v>#N/A</v>
      </c>
      <c r="CC50" s="107">
        <v>0</v>
      </c>
      <c r="CD50" s="222">
        <v>0.5</v>
      </c>
      <c r="CE50" s="218" t="e">
        <f>Tabla3[[#This Row],[Monto Colegiatura 2018-2019]]*Tabla3[[#This Row],[% AutorizadoBeca Colegiatura 18-19]]</f>
        <v>#N/A</v>
      </c>
      <c r="CF50" s="223"/>
      <c r="CG50" s="218" t="e">
        <f>Tabla3[[#This Row],[Monto Colegiatura 2018-2019]]*Tabla3[[#This Row],[% Beca Prestacion 18-19]]</f>
        <v>#N/A</v>
      </c>
      <c r="CH50" s="223"/>
      <c r="CI50" s="218" t="e">
        <f>Tabla3[[#This Row],[Canasta 2018-2019]]*Tabla3[[#This Row],[% Beca Canasta 18-19]]</f>
        <v>#N/A</v>
      </c>
      <c r="CJ50" s="223"/>
      <c r="CK50" s="218" t="e">
        <f>Tabla3[[#This Row],[Reinscripción 2019-2020]]*Tabla3[[#This Row],[% Beca Reinscripciones 19-20]]</f>
        <v>#N/A</v>
      </c>
      <c r="CL50" s="218" t="e">
        <f>Tabla3[[#This Row],[Cantidad Beca Comunidad Colegiatura 18-19]]*25%</f>
        <v>#N/A</v>
      </c>
      <c r="CM50" s="224" t="e">
        <f>Tabla3[[#This Row],[Cantidad Beca Reinscripciones Comunidad 19-20]]*25%</f>
        <v>#N/A</v>
      </c>
      <c r="CN50" s="222"/>
      <c r="CO50" s="218" t="e">
        <f>Tabla3[[#This Row],[Monto Colegiatura 2018-2019]]*Tabla3[[#This Row],[% Beca UNAM 18-19]]</f>
        <v>#N/A</v>
      </c>
      <c r="CP50" s="225"/>
      <c r="CQ50" s="224">
        <f>3328*Tabla3[[#This Row],[% Beca Reinscripciones UNAM 18-19]]</f>
        <v>0</v>
      </c>
      <c r="CR50" s="226" t="e">
        <f>Tabla3[[#This Row],[Cantidad Beca Colegiatura 18-19]]+Tabla3[[#This Row],[Cantidad Beca Canasta 18-19]]+Tabla3[[#This Row],[Cantidad Beca Reinscripciones 19-20]]</f>
        <v>#N/A</v>
      </c>
      <c r="CS50" s="222">
        <v>0.4</v>
      </c>
      <c r="CT50" s="218" t="e">
        <f>Tabla3[[#This Row],[Monto Colegiatura 2018-2019]]*Tabla3[[#This Row],[% Beca Comunidad 18-19]]</f>
        <v>#N/A</v>
      </c>
      <c r="CU50" s="218" t="e">
        <f>Tabla3[[#This Row],[Cantidad Beca Comunidad Colegiatura 18-19]]*75%</f>
        <v>#N/A</v>
      </c>
      <c r="CV50" s="223"/>
      <c r="CW50" s="218" t="e">
        <f>Tabla3[[#This Row],[Reinscripción 2019-2020]]*Tabla3[[#This Row],[% Beca Reinscripciones Comunidad 19-20]]</f>
        <v>#N/A</v>
      </c>
      <c r="CX50" s="218" t="e">
        <f>Tabla3[[#This Row],[Cantidad Beca Reinscripciones Comunidad 19-20]]*75%</f>
        <v>#N/A</v>
      </c>
      <c r="CY50" s="227" t="e">
        <f>Tabla3[[#This Row],[75% Cantidad Beca Comunidad Colegiatura 18-19]]+Tabla3[[#This Row],[75% Cantidad Beca Reinscripciones 19-20]]</f>
        <v>#N/A</v>
      </c>
      <c r="CZ50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50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50" s="108">
        <f>1440*(Tabla3[[#This Row],[% AutorizadoBeca Colegiatura 18-19]]+Tabla3[[#This Row],[% Beca Prestacion 18-19]]+Tabla3[[#This Row],[% Beca UNAM 18-19]]+Tabla3[[#This Row],[% Beca Comunidad 18-19]])</f>
        <v>1296</v>
      </c>
    </row>
    <row r="51" spans="2:106" ht="15" customHeight="1" x14ac:dyDescent="0.2">
      <c r="B51" s="107" t="s">
        <v>476</v>
      </c>
      <c r="C51" s="107" t="e">
        <f>VLOOKUP(Tabla3[[#This Row],[Nombre del Padre]],[1]!Tabla1[[PADRE]:[PADRE_CELULAR]],2,0)</f>
        <v>#REF!</v>
      </c>
      <c r="D51" s="107" t="e">
        <f>VLOOKUP(Tabla3[[#This Row],[Nombre del Padre]],[1]!Tabla1[[PADRE]:[PADRE_CELULAR]],3,0)</f>
        <v>#REF!</v>
      </c>
      <c r="E51" s="107" t="s">
        <v>477</v>
      </c>
      <c r="F51" s="107" t="e">
        <f>VLOOKUP(Tabla3[[#This Row],[Nombre de la Madre]],[1]!Tabla1[[MADRE]:[MADRE_TELEFONO]],2,0)</f>
        <v>#REF!</v>
      </c>
      <c r="G51" s="202" t="e">
        <f>VLOOKUP(Tabla3[[#This Row],[Nombre de la Madre]],[1]!Tabla1[[MADRE]:[MADRE_TELEFONO]],3,0)</f>
        <v>#REF!</v>
      </c>
      <c r="H51" s="230"/>
      <c r="I51" s="204">
        <v>2157</v>
      </c>
      <c r="J51" s="204" t="s">
        <v>478</v>
      </c>
      <c r="K51" s="204" t="s">
        <v>273</v>
      </c>
      <c r="L51" s="204" t="s">
        <v>482</v>
      </c>
      <c r="M51" s="205" t="s">
        <v>480</v>
      </c>
      <c r="N51" s="204" t="s">
        <v>276</v>
      </c>
      <c r="O51" s="206" t="e">
        <f>VLOOKUP(Tabla3[[#This Row],[Grado]],[2]Cuotas!$A:$E,2,0)</f>
        <v>#N/A</v>
      </c>
      <c r="P51" s="206" t="e">
        <f>VLOOKUP(Tabla3[[#This Row],[Grado]],[2]Cuotas!$A:$E,4,0)</f>
        <v>#N/A</v>
      </c>
      <c r="Q51" s="206" t="e">
        <f>VLOOKUP(Tabla3[[#This Row],[Grado]],[2]Cuotas!$A:$E,3,0)</f>
        <v>#N/A</v>
      </c>
      <c r="R51" s="207">
        <v>0.5</v>
      </c>
      <c r="S51" s="206" t="e">
        <f>Tabla3[[#This Row],[Monto Colegiatura]]*Tabla3[[#This Row],[% Beca Colegio 16-17]]</f>
        <v>#N/A</v>
      </c>
      <c r="T51" s="206"/>
      <c r="U51" s="206" t="e">
        <f>Tabla3[[#This Row],[Monto Colegiatura]]*Tabla3[[#This Row],[% Beca Prestación 16-17]]</f>
        <v>#N/A</v>
      </c>
      <c r="V51" s="208">
        <v>0.5</v>
      </c>
      <c r="W51" s="206" t="e">
        <f>Tabla3[[#This Row],[Monto Colegiatura]]*Tabla3[[#This Row],[% Beca Comunidad 16-17]]</f>
        <v>#N/A</v>
      </c>
      <c r="X51" s="206" t="e">
        <f>Tabla3[[#This Row],[Cantidad Beca Comunidad 16-17]]*25%</f>
        <v>#N/A</v>
      </c>
      <c r="Y51" s="206"/>
      <c r="Z51" s="206" t="e">
        <f>Tabla3[[#This Row],[Monto Colegiatura]]*Tabla3[[#This Row],[% Beca UNAM 16-17]]</f>
        <v>#N/A</v>
      </c>
      <c r="AA51" s="208" t="e">
        <f>VLOOKUP(Tabla3[[#This Row],[Nombre del Alumno]],'[4]BECAS REINSCRIPCIONES'!$B$9:$D$31,3,0)</f>
        <v>#N/A</v>
      </c>
      <c r="AB51" s="206" t="e">
        <f>Tabla3[[#This Row],[Monto Reinscripción]]*Tabla3[[#This Row],[% Beca Reinscripción 16-17]]</f>
        <v>#N/A</v>
      </c>
      <c r="AC51" s="208">
        <v>1</v>
      </c>
      <c r="AD51" s="206" t="e">
        <f>Tabla3[[#This Row],[Monto Canasta]]*Tabla3[[#This Row],[% Beca Canasta 16-17]]</f>
        <v>#N/A</v>
      </c>
      <c r="AE51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51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51" s="209" t="e">
        <f>VLOOKUP(Tabla3[[#This Row],[Nombre del Alumno]],[2]!Tabla1[[Alumno]:[Cuenta Ciclos]],2,0)</f>
        <v>#REF!</v>
      </c>
      <c r="AH51" s="210" t="s">
        <v>483</v>
      </c>
      <c r="AI51" s="211" t="s">
        <v>278</v>
      </c>
      <c r="AJ51" s="206" t="e">
        <f>VLOOKUP(Tabla3[[#This Row],[Grado 17-18]],[2]Cuotas!$H:$L,2,0)</f>
        <v>#N/A</v>
      </c>
      <c r="AK51" s="206" t="e">
        <f>VLOOKUP(Tabla3[[#This Row],[Grado 17-18]],[2]Cuotas!$H:$L,3,0)</f>
        <v>#N/A</v>
      </c>
      <c r="AL51" s="206" t="e">
        <f>VLOOKUP(Tabla3[[#This Row],[Grado 17-18]],[2]Cuotas!$H:$L,4,0)</f>
        <v>#N/A</v>
      </c>
      <c r="AM51" s="229">
        <v>0.5</v>
      </c>
      <c r="AN51" s="213">
        <v>0.5</v>
      </c>
      <c r="AO51" s="206" t="e">
        <f>Tabla3[[#This Row],[Monto Colegiatura ]]*Tabla3[[#This Row],[% AutorizadoBeca Colegiatura 17-18]]</f>
        <v>#N/A</v>
      </c>
      <c r="AP51" s="208"/>
      <c r="AQ51" s="206" t="e">
        <f>Tabla3[[#This Row],[Monto Colegiatura ]]*Tabla3[[#This Row],[% Beca Prestacion 17-18]]</f>
        <v>#N/A</v>
      </c>
      <c r="AR51" s="208"/>
      <c r="AS51" s="206" t="e">
        <f>Tabla3[[#This Row],[Canasta]]*Tabla3[[#This Row],[% Beca Canasta 17-18]]</f>
        <v>#N/A</v>
      </c>
      <c r="AT51" s="208"/>
      <c r="AU51" s="214">
        <v>0</v>
      </c>
      <c r="AV51" s="206" t="e">
        <f>Tabla3[[#This Row],[Cantidad Beca Comunidad Colegiatura 17-18]]*25%</f>
        <v>#N/A</v>
      </c>
      <c r="AW51" s="206"/>
      <c r="AX51" s="215"/>
      <c r="AY51" s="206" t="e">
        <f>Tabla3[[#This Row],[Monto Colegiatura ]]*Tabla3[[#This Row],[% Beca UNAM 17-18]]</f>
        <v>#N/A</v>
      </c>
      <c r="AZ51" s="206"/>
      <c r="BA51" s="216">
        <f>3200*Tabla3[[#This Row],[% Beca Reinscripciones UNAM 17-18]]</f>
        <v>0</v>
      </c>
      <c r="BB51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51" s="231">
        <v>0.5</v>
      </c>
      <c r="BD51" s="218" t="e">
        <f>Tabla3[[#This Row],[Monto Colegiatura ]]*Tabla3[[#This Row],[% Beca Comunidad 17-18]]</f>
        <v>#N/A</v>
      </c>
      <c r="BE51" s="218" t="e">
        <f>Tabla3[[#This Row],[Cantidad Beca Comunidad Colegiatura 17-18]]*75%</f>
        <v>#N/A</v>
      </c>
      <c r="BF51" s="219"/>
      <c r="BG51" s="218" t="e">
        <f>Tabla3[[#This Row],[Reinscripción]]*Tabla3[[#This Row],[% Beca Reinscripciones Comunidad 18-19]]</f>
        <v>#N/A</v>
      </c>
      <c r="BH51" s="218" t="e">
        <f>Tabla3[[#This Row],[Cantidad Beca Reinscripciones Comunidad 18-19]]*70%</f>
        <v>#N/A</v>
      </c>
      <c r="BI51" s="216" t="e">
        <f>Tabla3[[#This Row],[75% Cantidad Beca Comunidad Colegiatura 17-18]]+Tabla3[[#This Row],[70% Cantidad Beca Reinscripciones 18-19]]</f>
        <v>#N/A</v>
      </c>
      <c r="BJ51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51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51" s="220"/>
      <c r="BM51" s="229"/>
      <c r="BN51" s="221"/>
      <c r="BO51" s="107"/>
      <c r="BP51" s="107">
        <f>Tabla3[[#This Row],[% AutorizadoBeca Colegiatura 17-18]]+Tabla3[[#This Row],[% Beca Prestacion 17-18]]+Tabla3[[#This Row],[% Beca UNAM 17-18]]</f>
        <v>0.5</v>
      </c>
      <c r="BQ51" s="108">
        <f t="shared" si="0"/>
        <v>573.5</v>
      </c>
      <c r="BR51" s="107">
        <f>Tabla3[[#This Row],[% Beca Comunidad 17-18]]</f>
        <v>0.5</v>
      </c>
      <c r="BS51" s="108">
        <f t="shared" si="1"/>
        <v>573.5</v>
      </c>
      <c r="BT51" s="108">
        <f t="shared" si="2"/>
        <v>143.375</v>
      </c>
      <c r="BU51" s="108">
        <f>Tabla3[[#This Row],[Monto3]]*75%</f>
        <v>430.125</v>
      </c>
      <c r="BV51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51" s="107" t="e">
        <f>VLOOKUP(Tabla3[[#This Row],[Nombre del Alumno]],'[3]BECAS COLEGIATURAS'!$I:$N,6,0)</f>
        <v>#N/A</v>
      </c>
      <c r="BX51" s="107" t="e">
        <f>VLOOKUP(Tabla3[[#This Row],[Nombre del Alumno]],[1]!Tabla1[[NOMBRE DEL ALUMNO]:[MATRIZ]],6,0)</f>
        <v>#REF!</v>
      </c>
      <c r="BY51" s="107" t="e">
        <f>VLOOKUP(Tabla3[[#This Row],[Nombre del Alumno]],'[3]BECAS COLEGIATURAS'!$I:$L,4,0)</f>
        <v>#N/A</v>
      </c>
      <c r="BZ51" s="108" t="e">
        <f>VLOOKUP(Tabla3[[#This Row],[Grado 18-19]],[2]Cuotas!$Q:$U,2,0)</f>
        <v>#N/A</v>
      </c>
      <c r="CA51" s="108" t="e">
        <f>VLOOKUP(Tabla3[[#This Row],[Grado 18-19]],[2]Cuotas!$Q:$U,3,0)</f>
        <v>#N/A</v>
      </c>
      <c r="CB51" s="108" t="e">
        <f>VLOOKUP(Tabla3[[#This Row],[Grado 18-19]],[2]Cuotas!$Q:$U,4,0)</f>
        <v>#N/A</v>
      </c>
      <c r="CC51" s="107">
        <v>0</v>
      </c>
      <c r="CD51" s="222">
        <v>0.5</v>
      </c>
      <c r="CE51" s="218" t="e">
        <f>Tabla3[[#This Row],[Monto Colegiatura 2018-2019]]*Tabla3[[#This Row],[% AutorizadoBeca Colegiatura 18-19]]</f>
        <v>#N/A</v>
      </c>
      <c r="CF51" s="223"/>
      <c r="CG51" s="218" t="e">
        <f>Tabla3[[#This Row],[Monto Colegiatura 2018-2019]]*Tabla3[[#This Row],[% Beca Prestacion 18-19]]</f>
        <v>#N/A</v>
      </c>
      <c r="CH51" s="223"/>
      <c r="CI51" s="218" t="e">
        <f>Tabla3[[#This Row],[Canasta 2018-2019]]*Tabla3[[#This Row],[% Beca Canasta 18-19]]</f>
        <v>#N/A</v>
      </c>
      <c r="CJ51" s="223"/>
      <c r="CK51" s="218" t="e">
        <f>Tabla3[[#This Row],[Reinscripción 2019-2020]]*Tabla3[[#This Row],[% Beca Reinscripciones 19-20]]</f>
        <v>#N/A</v>
      </c>
      <c r="CL51" s="218" t="e">
        <f>Tabla3[[#This Row],[Cantidad Beca Comunidad Colegiatura 18-19]]*25%</f>
        <v>#N/A</v>
      </c>
      <c r="CM51" s="224" t="e">
        <f>Tabla3[[#This Row],[Cantidad Beca Reinscripciones Comunidad 19-20]]*25%</f>
        <v>#N/A</v>
      </c>
      <c r="CN51" s="222"/>
      <c r="CO51" s="218" t="e">
        <f>Tabla3[[#This Row],[Monto Colegiatura 2018-2019]]*Tabla3[[#This Row],[% Beca UNAM 18-19]]</f>
        <v>#N/A</v>
      </c>
      <c r="CP51" s="225"/>
      <c r="CQ51" s="224">
        <f>3328*Tabla3[[#This Row],[% Beca Reinscripciones UNAM 18-19]]</f>
        <v>0</v>
      </c>
      <c r="CR51" s="226" t="e">
        <f>Tabla3[[#This Row],[Cantidad Beca Colegiatura 18-19]]+Tabla3[[#This Row],[Cantidad Beca Canasta 18-19]]+Tabla3[[#This Row],[Cantidad Beca Reinscripciones 19-20]]</f>
        <v>#N/A</v>
      </c>
      <c r="CS51" s="222">
        <v>0.4</v>
      </c>
      <c r="CT51" s="218" t="e">
        <f>Tabla3[[#This Row],[Monto Colegiatura 2018-2019]]*Tabla3[[#This Row],[% Beca Comunidad 18-19]]</f>
        <v>#N/A</v>
      </c>
      <c r="CU51" s="218" t="e">
        <f>Tabla3[[#This Row],[Cantidad Beca Comunidad Colegiatura 18-19]]*75%</f>
        <v>#N/A</v>
      </c>
      <c r="CV51" s="223"/>
      <c r="CW51" s="218" t="e">
        <f>Tabla3[[#This Row],[Reinscripción 2019-2020]]*Tabla3[[#This Row],[% Beca Reinscripciones Comunidad 19-20]]</f>
        <v>#N/A</v>
      </c>
      <c r="CX51" s="218" t="e">
        <f>Tabla3[[#This Row],[Cantidad Beca Reinscripciones Comunidad 19-20]]*75%</f>
        <v>#N/A</v>
      </c>
      <c r="CY51" s="227" t="e">
        <f>Tabla3[[#This Row],[75% Cantidad Beca Comunidad Colegiatura 18-19]]+Tabla3[[#This Row],[75% Cantidad Beca Reinscripciones 19-20]]</f>
        <v>#N/A</v>
      </c>
      <c r="CZ51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51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51" s="108">
        <f>1440*(Tabla3[[#This Row],[% AutorizadoBeca Colegiatura 18-19]]+Tabla3[[#This Row],[% Beca Prestacion 18-19]]+Tabla3[[#This Row],[% Beca UNAM 18-19]]+Tabla3[[#This Row],[% Beca Comunidad 18-19]])</f>
        <v>1296</v>
      </c>
    </row>
    <row r="52" spans="2:106" ht="15" customHeight="1" x14ac:dyDescent="0.2">
      <c r="B52" s="107" t="s">
        <v>476</v>
      </c>
      <c r="C52" s="107" t="e">
        <f>VLOOKUP(Tabla3[[#This Row],[Nombre del Padre]],[1]!Tabla1[[PADRE]:[PADRE_CELULAR]],2,0)</f>
        <v>#REF!</v>
      </c>
      <c r="D52" s="107" t="e">
        <f>VLOOKUP(Tabla3[[#This Row],[Nombre del Padre]],[1]!Tabla1[[PADRE]:[PADRE_CELULAR]],3,0)</f>
        <v>#REF!</v>
      </c>
      <c r="E52" s="107" t="s">
        <v>477</v>
      </c>
      <c r="F52" s="107" t="e">
        <f>VLOOKUP(Tabla3[[#This Row],[Nombre de la Madre]],[1]!Tabla1[[MADRE]:[MADRE_TELEFONO]],2,0)</f>
        <v>#REF!</v>
      </c>
      <c r="G52" s="202" t="e">
        <f>VLOOKUP(Tabla3[[#This Row],[Nombre de la Madre]],[1]!Tabla1[[MADRE]:[MADRE_TELEFONO]],3,0)</f>
        <v>#REF!</v>
      </c>
      <c r="H52" s="228">
        <v>3</v>
      </c>
      <c r="I52" s="204">
        <v>2157</v>
      </c>
      <c r="J52" s="204" t="s">
        <v>478</v>
      </c>
      <c r="K52" s="204" t="s">
        <v>273</v>
      </c>
      <c r="L52" s="204" t="s">
        <v>484</v>
      </c>
      <c r="M52" s="205" t="s">
        <v>483</v>
      </c>
      <c r="N52" s="204" t="s">
        <v>278</v>
      </c>
      <c r="O52" s="206" t="e">
        <f>VLOOKUP(Tabla3[[#This Row],[Grado]],[2]Cuotas!$A:$E,2,0)</f>
        <v>#N/A</v>
      </c>
      <c r="P52" s="206" t="e">
        <f>VLOOKUP(Tabla3[[#This Row],[Grado]],[2]Cuotas!$A:$E,4,0)</f>
        <v>#N/A</v>
      </c>
      <c r="Q52" s="206" t="e">
        <f>VLOOKUP(Tabla3[[#This Row],[Grado]],[2]Cuotas!$A:$E,3,0)</f>
        <v>#N/A</v>
      </c>
      <c r="R52" s="207">
        <v>0.5</v>
      </c>
      <c r="S52" s="206" t="e">
        <f>Tabla3[[#This Row],[Monto Colegiatura]]*Tabla3[[#This Row],[% Beca Colegio 16-17]]</f>
        <v>#N/A</v>
      </c>
      <c r="T52" s="206"/>
      <c r="U52" s="206" t="e">
        <f>Tabla3[[#This Row],[Monto Colegiatura]]*Tabla3[[#This Row],[% Beca Prestación 16-17]]</f>
        <v>#N/A</v>
      </c>
      <c r="V52" s="208">
        <v>0.5</v>
      </c>
      <c r="W52" s="206" t="e">
        <f>Tabla3[[#This Row],[Monto Colegiatura]]*Tabla3[[#This Row],[% Beca Comunidad 16-17]]</f>
        <v>#N/A</v>
      </c>
      <c r="X52" s="206" t="e">
        <f>Tabla3[[#This Row],[Cantidad Beca Comunidad 16-17]]*25%</f>
        <v>#N/A</v>
      </c>
      <c r="Y52" s="206"/>
      <c r="Z52" s="206" t="e">
        <f>Tabla3[[#This Row],[Monto Colegiatura]]*Tabla3[[#This Row],[% Beca UNAM 16-17]]</f>
        <v>#N/A</v>
      </c>
      <c r="AA52" s="208" t="e">
        <f>VLOOKUP(Tabla3[[#This Row],[Nombre del Alumno]],'[4]BECAS REINSCRIPCIONES'!$B$9:$D$31,3,0)</f>
        <v>#N/A</v>
      </c>
      <c r="AB52" s="206" t="e">
        <f>Tabla3[[#This Row],[Monto Reinscripción]]*Tabla3[[#This Row],[% Beca Reinscripción 16-17]]</f>
        <v>#N/A</v>
      </c>
      <c r="AC52" s="208">
        <v>1</v>
      </c>
      <c r="AD52" s="206" t="e">
        <f>Tabla3[[#This Row],[Monto Canasta]]*Tabla3[[#This Row],[% Beca Canasta 16-17]]</f>
        <v>#N/A</v>
      </c>
      <c r="AE52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52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52" s="209" t="e">
        <f>VLOOKUP(Tabla3[[#This Row],[Nombre del Alumno]],[2]!Tabla1[[Alumno]:[Cuenta Ciclos]],2,0)</f>
        <v>#REF!</v>
      </c>
      <c r="AH52" s="210" t="s">
        <v>290</v>
      </c>
      <c r="AI52" s="211" t="s">
        <v>291</v>
      </c>
      <c r="AJ52" s="206" t="e">
        <f>VLOOKUP(Tabla3[[#This Row],[Grado 17-18]],[2]Cuotas!$H:$L,2,0)</f>
        <v>#N/A</v>
      </c>
      <c r="AK52" s="206" t="e">
        <f>VLOOKUP(Tabla3[[#This Row],[Grado 17-18]],[2]Cuotas!$H:$L,3,0)</f>
        <v>#N/A</v>
      </c>
      <c r="AL52" s="206" t="e">
        <f>VLOOKUP(Tabla3[[#This Row],[Grado 17-18]],[2]Cuotas!$H:$L,4,0)</f>
        <v>#N/A</v>
      </c>
      <c r="AM52" s="229">
        <v>0.5</v>
      </c>
      <c r="AN52" s="213"/>
      <c r="AO52" s="206" t="e">
        <f>Tabla3[[#This Row],[Monto Colegiatura ]]*Tabla3[[#This Row],[% AutorizadoBeca Colegiatura 17-18]]</f>
        <v>#N/A</v>
      </c>
      <c r="AP52" s="208"/>
      <c r="AQ52" s="206" t="e">
        <f>Tabla3[[#This Row],[Monto Colegiatura ]]*Tabla3[[#This Row],[% Beca Prestacion 17-18]]</f>
        <v>#N/A</v>
      </c>
      <c r="AR52" s="208"/>
      <c r="AS52" s="206" t="e">
        <f>Tabla3[[#This Row],[Canasta]]*Tabla3[[#This Row],[% Beca Canasta 17-18]]</f>
        <v>#N/A</v>
      </c>
      <c r="AT52" s="208"/>
      <c r="AU52" s="214">
        <v>0</v>
      </c>
      <c r="AV52" s="206" t="e">
        <f>Tabla3[[#This Row],[Cantidad Beca Comunidad Colegiatura 17-18]]*25%</f>
        <v>#N/A</v>
      </c>
      <c r="AW52" s="206"/>
      <c r="AX52" s="213">
        <v>0.8</v>
      </c>
      <c r="AY52" s="206" t="e">
        <f>Tabla3[[#This Row],[Monto Colegiatura ]]*Tabla3[[#This Row],[% Beca UNAM 17-18]]</f>
        <v>#N/A</v>
      </c>
      <c r="AZ52" s="208">
        <v>0.8</v>
      </c>
      <c r="BA52" s="216">
        <f>3200*Tabla3[[#This Row],[% Beca Reinscripciones UNAM 17-18]]</f>
        <v>2560</v>
      </c>
      <c r="BB52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52" s="231"/>
      <c r="BD52" s="218" t="e">
        <f>Tabla3[[#This Row],[Monto Colegiatura ]]*Tabla3[[#This Row],[% Beca Comunidad 17-18]]</f>
        <v>#N/A</v>
      </c>
      <c r="BE52" s="218" t="e">
        <f>Tabla3[[#This Row],[Cantidad Beca Comunidad Colegiatura 17-18]]*75%</f>
        <v>#N/A</v>
      </c>
      <c r="BF52" s="219"/>
      <c r="BG52" s="218" t="e">
        <f>Tabla3[[#This Row],[Reinscripción]]*Tabla3[[#This Row],[% Beca Reinscripciones Comunidad 18-19]]</f>
        <v>#N/A</v>
      </c>
      <c r="BH52" s="218" t="e">
        <f>Tabla3[[#This Row],[Cantidad Beca Reinscripciones Comunidad 18-19]]*70%</f>
        <v>#N/A</v>
      </c>
      <c r="BI52" s="216" t="e">
        <f>Tabla3[[#This Row],[75% Cantidad Beca Comunidad Colegiatura 17-18]]+Tabla3[[#This Row],[70% Cantidad Beca Reinscripciones 18-19]]</f>
        <v>#N/A</v>
      </c>
      <c r="BJ52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52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52" s="220"/>
      <c r="BM52" s="229"/>
      <c r="BN52" s="221"/>
      <c r="BO52" s="107"/>
      <c r="BP52" s="107">
        <f>Tabla3[[#This Row],[% AutorizadoBeca Colegiatura 17-18]]+Tabla3[[#This Row],[% Beca Prestacion 17-18]]+Tabla3[[#This Row],[% Beca UNAM 17-18]]</f>
        <v>0.8</v>
      </c>
      <c r="BQ52" s="108">
        <f t="shared" si="0"/>
        <v>917.6</v>
      </c>
      <c r="BR52" s="107">
        <f>Tabla3[[#This Row],[% Beca Comunidad 17-18]]</f>
        <v>0</v>
      </c>
      <c r="BS52" s="108">
        <f t="shared" si="1"/>
        <v>0</v>
      </c>
      <c r="BT52" s="108">
        <f t="shared" si="2"/>
        <v>0</v>
      </c>
      <c r="BU52" s="108">
        <f>Tabla3[[#This Row],[Monto3]]*75%</f>
        <v>0</v>
      </c>
      <c r="BV52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52" s="107" t="e">
        <f>VLOOKUP(Tabla3[[#This Row],[Nombre del Alumno]],'[3]BECAS COLEGIATURAS'!$I:$N,6,0)</f>
        <v>#N/A</v>
      </c>
      <c r="BX52" s="107" t="e">
        <f>VLOOKUP(Tabla3[[#This Row],[Nombre del Alumno]],[1]!Tabla1[[NOMBRE DEL ALUMNO]:[MATRIZ]],6,0)</f>
        <v>#REF!</v>
      </c>
      <c r="BY52" s="107" t="e">
        <f>VLOOKUP(Tabla3[[#This Row],[Nombre del Alumno]],'[3]BECAS COLEGIATURAS'!$I:$L,4,0)</f>
        <v>#N/A</v>
      </c>
      <c r="BZ52" s="108" t="e">
        <f>VLOOKUP(Tabla3[[#This Row],[Grado 18-19]],[2]Cuotas!$Q:$U,2,0)</f>
        <v>#N/A</v>
      </c>
      <c r="CA52" s="108" t="e">
        <f>VLOOKUP(Tabla3[[#This Row],[Grado 18-19]],[2]Cuotas!$Q:$U,3,0)</f>
        <v>#N/A</v>
      </c>
      <c r="CB52" s="108" t="e">
        <f>VLOOKUP(Tabla3[[#This Row],[Grado 18-19]],[2]Cuotas!$Q:$U,4,0)</f>
        <v>#N/A</v>
      </c>
      <c r="CC52" s="107">
        <v>0</v>
      </c>
      <c r="CD52" s="222"/>
      <c r="CE52" s="218" t="e">
        <f>Tabla3[[#This Row],[Monto Colegiatura 2018-2019]]*Tabla3[[#This Row],[% AutorizadoBeca Colegiatura 18-19]]</f>
        <v>#N/A</v>
      </c>
      <c r="CF52" s="223"/>
      <c r="CG52" s="218" t="e">
        <f>Tabla3[[#This Row],[Monto Colegiatura 2018-2019]]*Tabla3[[#This Row],[% Beca Prestacion 18-19]]</f>
        <v>#N/A</v>
      </c>
      <c r="CH52" s="223"/>
      <c r="CI52" s="218" t="e">
        <f>Tabla3[[#This Row],[Canasta 2018-2019]]*Tabla3[[#This Row],[% Beca Canasta 18-19]]</f>
        <v>#N/A</v>
      </c>
      <c r="CJ52" s="223"/>
      <c r="CK52" s="218" t="e">
        <f>Tabla3[[#This Row],[Reinscripción 2019-2020]]*Tabla3[[#This Row],[% Beca Reinscripciones 19-20]]</f>
        <v>#N/A</v>
      </c>
      <c r="CL52" s="218" t="e">
        <f>Tabla3[[#This Row],[Cantidad Beca Comunidad Colegiatura 18-19]]*25%</f>
        <v>#N/A</v>
      </c>
      <c r="CM52" s="224" t="e">
        <f>Tabla3[[#This Row],[Cantidad Beca Reinscripciones Comunidad 19-20]]*25%</f>
        <v>#N/A</v>
      </c>
      <c r="CN52" s="222">
        <v>0.8</v>
      </c>
      <c r="CO52" s="218" t="e">
        <f>Tabla3[[#This Row],[Monto Colegiatura 2018-2019]]*Tabla3[[#This Row],[% Beca UNAM 18-19]]</f>
        <v>#N/A</v>
      </c>
      <c r="CP52" s="223">
        <v>0.8</v>
      </c>
      <c r="CQ52" s="224">
        <f>3328*Tabla3[[#This Row],[% Beca Reinscripciones UNAM 18-19]]</f>
        <v>2662.4</v>
      </c>
      <c r="CR52" s="226" t="e">
        <f>Tabla3[[#This Row],[Cantidad Beca Colegiatura 18-19]]+Tabla3[[#This Row],[Cantidad Beca Canasta 18-19]]+Tabla3[[#This Row],[Cantidad Beca Reinscripciones 19-20]]</f>
        <v>#N/A</v>
      </c>
      <c r="CS52" s="222"/>
      <c r="CT52" s="218" t="e">
        <f>Tabla3[[#This Row],[Monto Colegiatura 2018-2019]]*Tabla3[[#This Row],[% Beca Comunidad 18-19]]</f>
        <v>#N/A</v>
      </c>
      <c r="CU52" s="218" t="e">
        <f>Tabla3[[#This Row],[Cantidad Beca Comunidad Colegiatura 18-19]]*75%</f>
        <v>#N/A</v>
      </c>
      <c r="CV52" s="223"/>
      <c r="CW52" s="218" t="e">
        <f>Tabla3[[#This Row],[Reinscripción 2019-2020]]*Tabla3[[#This Row],[% Beca Reinscripciones Comunidad 19-20]]</f>
        <v>#N/A</v>
      </c>
      <c r="CX52" s="218" t="e">
        <f>Tabla3[[#This Row],[Cantidad Beca Reinscripciones Comunidad 19-20]]*75%</f>
        <v>#N/A</v>
      </c>
      <c r="CY52" s="227" t="e">
        <f>Tabla3[[#This Row],[75% Cantidad Beca Comunidad Colegiatura 18-19]]+Tabla3[[#This Row],[75% Cantidad Beca Reinscripciones 19-20]]</f>
        <v>#N/A</v>
      </c>
      <c r="CZ52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52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52" s="108">
        <f>1440*(Tabla3[[#This Row],[% AutorizadoBeca Colegiatura 18-19]]+Tabla3[[#This Row],[% Beca Prestacion 18-19]]+Tabla3[[#This Row],[% Beca UNAM 18-19]]+Tabla3[[#This Row],[% Beca Comunidad 18-19]])</f>
        <v>1152</v>
      </c>
    </row>
    <row r="53" spans="2:106" ht="15" customHeight="1" x14ac:dyDescent="0.2">
      <c r="B53" s="107" t="s">
        <v>485</v>
      </c>
      <c r="C53" s="107" t="e">
        <f>VLOOKUP(Tabla3[[#This Row],[Nombre del Padre]],[1]!Tabla1[[PADRE]:[PADRE_CELULAR]],2,0)</f>
        <v>#REF!</v>
      </c>
      <c r="D53" s="107" t="e">
        <f>VLOOKUP(Tabla3[[#This Row],[Nombre del Padre]],[1]!Tabla1[[PADRE]:[PADRE_CELULAR]],3,0)</f>
        <v>#REF!</v>
      </c>
      <c r="E53" s="107" t="s">
        <v>486</v>
      </c>
      <c r="F53" s="107" t="e">
        <f>VLOOKUP(Tabla3[[#This Row],[Nombre de la Madre]],[1]!Tabla1[[MADRE]:[MADRE_TELEFONO]],2,0)</f>
        <v>#REF!</v>
      </c>
      <c r="G53" s="202" t="e">
        <f>VLOOKUP(Tabla3[[#This Row],[Nombre de la Madre]],[1]!Tabla1[[MADRE]:[MADRE_TELEFONO]],3,0)</f>
        <v>#REF!</v>
      </c>
      <c r="H53" s="230">
        <v>32</v>
      </c>
      <c r="I53" s="204">
        <v>2122</v>
      </c>
      <c r="J53" s="204" t="s">
        <v>487</v>
      </c>
      <c r="K53" s="204" t="s">
        <v>273</v>
      </c>
      <c r="L53" s="204" t="s">
        <v>488</v>
      </c>
      <c r="M53" s="205"/>
      <c r="N53" s="204"/>
      <c r="O53" s="206"/>
      <c r="P53" s="206"/>
      <c r="Q53" s="206"/>
      <c r="R53" s="207"/>
      <c r="S53" s="206">
        <f>Tabla3[[#This Row],[Monto Colegiatura]]*Tabla3[[#This Row],[% Beca Colegio 16-17]]</f>
        <v>0</v>
      </c>
      <c r="T53" s="206"/>
      <c r="U53" s="206">
        <f>Tabla3[[#This Row],[Monto Colegiatura]]*Tabla3[[#This Row],[% Beca Prestación 16-17]]</f>
        <v>0</v>
      </c>
      <c r="V53" s="208"/>
      <c r="W53" s="206">
        <f>Tabla3[[#This Row],[Monto Colegiatura]]*Tabla3[[#This Row],[% Beca Comunidad 16-17]]</f>
        <v>0</v>
      </c>
      <c r="X53" s="206">
        <f>Tabla3[[#This Row],[Cantidad Beca Comunidad 16-17]]*25%</f>
        <v>0</v>
      </c>
      <c r="Y53" s="206"/>
      <c r="Z53" s="206">
        <f>Tabla3[[#This Row],[Monto Colegiatura]]*Tabla3[[#This Row],[% Beca UNAM 16-17]]</f>
        <v>0</v>
      </c>
      <c r="AA53" s="208"/>
      <c r="AB53" s="206"/>
      <c r="AC53" s="206"/>
      <c r="AD53" s="206"/>
      <c r="AE53" s="206"/>
      <c r="AF53" s="206"/>
      <c r="AG53" s="209" t="s">
        <v>289</v>
      </c>
      <c r="AH53" s="210" t="s">
        <v>489</v>
      </c>
      <c r="AI53" s="211" t="s">
        <v>332</v>
      </c>
      <c r="AJ53" s="206" t="e">
        <f>VLOOKUP(Tabla3[[#This Row],[Grado 17-18]],[2]Cuotas!$H:$L,2,0)</f>
        <v>#N/A</v>
      </c>
      <c r="AK53" s="206" t="e">
        <f>VLOOKUP(Tabla3[[#This Row],[Grado 17-18]],[2]Cuotas!$H:$L,3,0)</f>
        <v>#N/A</v>
      </c>
      <c r="AL53" s="206" t="e">
        <f>VLOOKUP(Tabla3[[#This Row],[Grado 17-18]],[2]Cuotas!$H:$L,4,0)</f>
        <v>#N/A</v>
      </c>
      <c r="AM53" s="229"/>
      <c r="AN53" s="242">
        <v>0.65</v>
      </c>
      <c r="AO53" s="243" t="e">
        <f>Tabla3[[#This Row],[Monto Colegiatura ]]*Tabla3[[#This Row],[% AutorizadoBeca Colegiatura 17-18]]</f>
        <v>#N/A</v>
      </c>
      <c r="AP53" s="208"/>
      <c r="AQ53" s="206" t="e">
        <f>Tabla3[[#This Row],[Monto Colegiatura ]]*Tabla3[[#This Row],[% Beca Prestacion 17-18]]</f>
        <v>#N/A</v>
      </c>
      <c r="AR53" s="208"/>
      <c r="AS53" s="206" t="e">
        <f>Tabla3[[#This Row],[Canasta]]*Tabla3[[#This Row],[% Beca Canasta 17-18]]</f>
        <v>#N/A</v>
      </c>
      <c r="AT53" s="208"/>
      <c r="AU53" s="214"/>
      <c r="AV53" s="206" t="e">
        <f>Tabla3[[#This Row],[Cantidad Beca Comunidad Colegiatura 17-18]]*25%</f>
        <v>#N/A</v>
      </c>
      <c r="AW53" s="206"/>
      <c r="AX53" s="215"/>
      <c r="AY53" s="206" t="e">
        <f>Tabla3[[#This Row],[Monto Colegiatura ]]*Tabla3[[#This Row],[% Beca UNAM 17-18]]</f>
        <v>#N/A</v>
      </c>
      <c r="AZ53" s="206"/>
      <c r="BA53" s="216">
        <f>3200*Tabla3[[#This Row],[% Beca Reinscripciones UNAM 17-18]]</f>
        <v>0</v>
      </c>
      <c r="BB53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53" s="231"/>
      <c r="BD53" s="218" t="e">
        <f>Tabla3[[#This Row],[Monto Colegiatura ]]*Tabla3[[#This Row],[% Beca Comunidad 17-18]]</f>
        <v>#N/A</v>
      </c>
      <c r="BE53" s="218" t="e">
        <f>Tabla3[[#This Row],[Cantidad Beca Comunidad Colegiatura 17-18]]*75%</f>
        <v>#N/A</v>
      </c>
      <c r="BF53" s="219"/>
      <c r="BG53" s="218" t="e">
        <f>Tabla3[[#This Row],[Reinscripción]]*Tabla3[[#This Row],[% Beca Reinscripciones Comunidad 18-19]]</f>
        <v>#N/A</v>
      </c>
      <c r="BH53" s="218" t="e">
        <f>Tabla3[[#This Row],[Cantidad Beca Reinscripciones Comunidad 18-19]]*70%</f>
        <v>#N/A</v>
      </c>
      <c r="BI53" s="216" t="e">
        <f>Tabla3[[#This Row],[75% Cantidad Beca Comunidad Colegiatura 17-18]]+Tabla3[[#This Row],[70% Cantidad Beca Reinscripciones 18-19]]</f>
        <v>#N/A</v>
      </c>
      <c r="BJ53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53" s="243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53" s="220"/>
      <c r="BM53" s="204"/>
      <c r="BN53" s="221" t="s">
        <v>490</v>
      </c>
      <c r="BO53" s="244" t="s">
        <v>491</v>
      </c>
      <c r="BP53" s="107">
        <f>Tabla3[[#This Row],[% AutorizadoBeca Colegiatura 17-18]]+Tabla3[[#This Row],[% Beca Prestacion 17-18]]+Tabla3[[#This Row],[% Beca UNAM 17-18]]</f>
        <v>0.65</v>
      </c>
      <c r="BQ53" s="108">
        <f t="shared" si="0"/>
        <v>745.55000000000007</v>
      </c>
      <c r="BR53" s="107">
        <f>Tabla3[[#This Row],[% Beca Comunidad 17-18]]</f>
        <v>0</v>
      </c>
      <c r="BS53" s="108">
        <f t="shared" si="1"/>
        <v>0</v>
      </c>
      <c r="BT53" s="108">
        <f t="shared" si="2"/>
        <v>0</v>
      </c>
      <c r="BU53" s="108">
        <f>Tabla3[[#This Row],[Monto3]]*75%</f>
        <v>0</v>
      </c>
      <c r="BV53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53" s="107" t="e">
        <f>VLOOKUP(Tabla3[[#This Row],[Nombre del Alumno]],'[3]BECAS COLEGIATURAS'!$I:$N,6,0)</f>
        <v>#N/A</v>
      </c>
      <c r="BX53" s="107" t="e">
        <f>VLOOKUP(Tabla3[[#This Row],[Nombre del Alumno]],[1]!Tabla1[[NOMBRE DEL ALUMNO]:[MATRIZ]],6,0)</f>
        <v>#REF!</v>
      </c>
      <c r="BY53" s="107" t="e">
        <f>VLOOKUP(Tabla3[[#This Row],[Nombre del Alumno]],'[3]BECAS COLEGIATURAS'!$I:$L,4,0)</f>
        <v>#N/A</v>
      </c>
      <c r="BZ53" s="108" t="e">
        <f>VLOOKUP(Tabla3[[#This Row],[Grado 18-19]],[2]Cuotas!$Q:$U,2,0)</f>
        <v>#N/A</v>
      </c>
      <c r="CA53" s="108" t="e">
        <f>VLOOKUP(Tabla3[[#This Row],[Grado 18-19]],[2]Cuotas!$Q:$U,3,0)</f>
        <v>#N/A</v>
      </c>
      <c r="CB53" s="108" t="e">
        <f>VLOOKUP(Tabla3[[#This Row],[Grado 18-19]],[2]Cuotas!$Q:$U,4,0)</f>
        <v>#N/A</v>
      </c>
      <c r="CC53" s="107">
        <v>0</v>
      </c>
      <c r="CD53" s="222">
        <v>0.5</v>
      </c>
      <c r="CE53" s="218" t="e">
        <f>Tabla3[[#This Row],[Monto Colegiatura 2018-2019]]*Tabla3[[#This Row],[% AutorizadoBeca Colegiatura 18-19]]</f>
        <v>#N/A</v>
      </c>
      <c r="CF53" s="223"/>
      <c r="CG53" s="218" t="e">
        <f>Tabla3[[#This Row],[Monto Colegiatura 2018-2019]]*Tabla3[[#This Row],[% Beca Prestacion 18-19]]</f>
        <v>#N/A</v>
      </c>
      <c r="CH53" s="223"/>
      <c r="CI53" s="218" t="e">
        <f>Tabla3[[#This Row],[Canasta 2018-2019]]*Tabla3[[#This Row],[% Beca Canasta 18-19]]</f>
        <v>#N/A</v>
      </c>
      <c r="CJ53" s="223"/>
      <c r="CK53" s="218" t="e">
        <f>Tabla3[[#This Row],[Reinscripción 2019-2020]]*Tabla3[[#This Row],[% Beca Reinscripciones 19-20]]</f>
        <v>#N/A</v>
      </c>
      <c r="CL53" s="218" t="e">
        <f>Tabla3[[#This Row],[Cantidad Beca Comunidad Colegiatura 18-19]]*25%</f>
        <v>#N/A</v>
      </c>
      <c r="CM53" s="224" t="e">
        <f>Tabla3[[#This Row],[Cantidad Beca Reinscripciones Comunidad 19-20]]*25%</f>
        <v>#N/A</v>
      </c>
      <c r="CN53" s="222"/>
      <c r="CO53" s="218" t="e">
        <f>Tabla3[[#This Row],[Monto Colegiatura 2018-2019]]*Tabla3[[#This Row],[% Beca UNAM 18-19]]</f>
        <v>#N/A</v>
      </c>
      <c r="CP53" s="225"/>
      <c r="CQ53" s="224">
        <f>3328*Tabla3[[#This Row],[% Beca Reinscripciones UNAM 18-19]]</f>
        <v>0</v>
      </c>
      <c r="CR53" s="226" t="e">
        <f>Tabla3[[#This Row],[Cantidad Beca Colegiatura 18-19]]+Tabla3[[#This Row],[Cantidad Beca Canasta 18-19]]+Tabla3[[#This Row],[Cantidad Beca Reinscripciones 19-20]]</f>
        <v>#N/A</v>
      </c>
      <c r="CS53" s="222"/>
      <c r="CT53" s="218" t="e">
        <f>Tabla3[[#This Row],[Monto Colegiatura 2018-2019]]*Tabla3[[#This Row],[% Beca Comunidad 18-19]]</f>
        <v>#N/A</v>
      </c>
      <c r="CU53" s="218" t="e">
        <f>Tabla3[[#This Row],[Cantidad Beca Comunidad Colegiatura 18-19]]*75%</f>
        <v>#N/A</v>
      </c>
      <c r="CV53" s="223"/>
      <c r="CW53" s="218" t="e">
        <f>Tabla3[[#This Row],[Reinscripción 2019-2020]]*Tabla3[[#This Row],[% Beca Reinscripciones Comunidad 19-20]]</f>
        <v>#N/A</v>
      </c>
      <c r="CX53" s="218" t="e">
        <f>Tabla3[[#This Row],[Cantidad Beca Reinscripciones Comunidad 19-20]]*75%</f>
        <v>#N/A</v>
      </c>
      <c r="CY53" s="227" t="e">
        <f>Tabla3[[#This Row],[75% Cantidad Beca Comunidad Colegiatura 18-19]]+Tabla3[[#This Row],[75% Cantidad Beca Reinscripciones 19-20]]</f>
        <v>#N/A</v>
      </c>
      <c r="CZ53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53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53" s="108">
        <f>1440*(Tabla3[[#This Row],[% AutorizadoBeca Colegiatura 18-19]]+Tabla3[[#This Row],[% Beca Prestacion 18-19]]+Tabla3[[#This Row],[% Beca UNAM 18-19]]+Tabla3[[#This Row],[% Beca Comunidad 18-19]])</f>
        <v>720</v>
      </c>
    </row>
    <row r="54" spans="2:106" ht="15" customHeight="1" x14ac:dyDescent="0.2">
      <c r="B54" s="107" t="s">
        <v>485</v>
      </c>
      <c r="C54" s="107" t="e">
        <f>VLOOKUP(Tabla3[[#This Row],[Nombre del Padre]],[1]!Tabla1[[PADRE]:[PADRE_CELULAR]],2,0)</f>
        <v>#REF!</v>
      </c>
      <c r="D54" s="107" t="e">
        <f>VLOOKUP(Tabla3[[#This Row],[Nombre del Padre]],[1]!Tabla1[[PADRE]:[PADRE_CELULAR]],3,0)</f>
        <v>#REF!</v>
      </c>
      <c r="E54" s="107" t="s">
        <v>486</v>
      </c>
      <c r="F54" s="107" t="e">
        <f>VLOOKUP(Tabla3[[#This Row],[Nombre de la Madre]],[1]!Tabla1[[MADRE]:[MADRE_TELEFONO]],2,0)</f>
        <v>#REF!</v>
      </c>
      <c r="G54" s="202" t="e">
        <f>VLOOKUP(Tabla3[[#This Row],[Nombre de la Madre]],[1]!Tabla1[[MADRE]:[MADRE_TELEFONO]],3,0)</f>
        <v>#REF!</v>
      </c>
      <c r="H54" s="230"/>
      <c r="I54" s="204">
        <v>2122</v>
      </c>
      <c r="J54" s="204" t="s">
        <v>487</v>
      </c>
      <c r="K54" s="204" t="s">
        <v>273</v>
      </c>
      <c r="L54" s="204" t="s">
        <v>492</v>
      </c>
      <c r="M54" s="205"/>
      <c r="N54" s="204"/>
      <c r="O54" s="206"/>
      <c r="P54" s="206"/>
      <c r="Q54" s="206"/>
      <c r="R54" s="207"/>
      <c r="S54" s="206">
        <f>Tabla3[[#This Row],[Monto Colegiatura]]*Tabla3[[#This Row],[% Beca Colegio 16-17]]</f>
        <v>0</v>
      </c>
      <c r="T54" s="206"/>
      <c r="U54" s="206">
        <f>Tabla3[[#This Row],[Monto Colegiatura]]*Tabla3[[#This Row],[% Beca Prestación 16-17]]</f>
        <v>0</v>
      </c>
      <c r="V54" s="208"/>
      <c r="W54" s="206">
        <f>Tabla3[[#This Row],[Monto Colegiatura]]*Tabla3[[#This Row],[% Beca Comunidad 16-17]]</f>
        <v>0</v>
      </c>
      <c r="X54" s="206">
        <f>Tabla3[[#This Row],[Cantidad Beca Comunidad 16-17]]*25%</f>
        <v>0</v>
      </c>
      <c r="Y54" s="206"/>
      <c r="Z54" s="206">
        <f>Tabla3[[#This Row],[Monto Colegiatura]]*Tabla3[[#This Row],[% Beca UNAM 16-17]]</f>
        <v>0</v>
      </c>
      <c r="AA54" s="208"/>
      <c r="AB54" s="206"/>
      <c r="AC54" s="206"/>
      <c r="AD54" s="206"/>
      <c r="AE54" s="206"/>
      <c r="AF54" s="206"/>
      <c r="AG54" s="209" t="s">
        <v>289</v>
      </c>
      <c r="AH54" s="210" t="s">
        <v>489</v>
      </c>
      <c r="AI54" s="211" t="s">
        <v>332</v>
      </c>
      <c r="AJ54" s="206" t="e">
        <f>VLOOKUP(Tabla3[[#This Row],[Grado 17-18]],[2]Cuotas!$H:$L,2,0)</f>
        <v>#N/A</v>
      </c>
      <c r="AK54" s="206" t="e">
        <f>VLOOKUP(Tabla3[[#This Row],[Grado 17-18]],[2]Cuotas!$H:$L,3,0)</f>
        <v>#N/A</v>
      </c>
      <c r="AL54" s="206" t="e">
        <f>VLOOKUP(Tabla3[[#This Row],[Grado 17-18]],[2]Cuotas!$H:$L,4,0)</f>
        <v>#N/A</v>
      </c>
      <c r="AM54" s="229"/>
      <c r="AN54" s="242">
        <v>0.65</v>
      </c>
      <c r="AO54" s="243" t="e">
        <f>Tabla3[[#This Row],[Monto Colegiatura ]]*Tabla3[[#This Row],[% AutorizadoBeca Colegiatura 17-18]]</f>
        <v>#N/A</v>
      </c>
      <c r="AP54" s="208"/>
      <c r="AQ54" s="206" t="e">
        <f>Tabla3[[#This Row],[Monto Colegiatura ]]*Tabla3[[#This Row],[% Beca Prestacion 17-18]]</f>
        <v>#N/A</v>
      </c>
      <c r="AR54" s="208"/>
      <c r="AS54" s="206" t="e">
        <f>Tabla3[[#This Row],[Canasta]]*Tabla3[[#This Row],[% Beca Canasta 17-18]]</f>
        <v>#N/A</v>
      </c>
      <c r="AT54" s="208"/>
      <c r="AU54" s="214"/>
      <c r="AV54" s="206" t="e">
        <f>Tabla3[[#This Row],[Cantidad Beca Comunidad Colegiatura 17-18]]*25%</f>
        <v>#N/A</v>
      </c>
      <c r="AW54" s="206"/>
      <c r="AX54" s="215"/>
      <c r="AY54" s="206" t="e">
        <f>Tabla3[[#This Row],[Monto Colegiatura ]]*Tabla3[[#This Row],[% Beca UNAM 17-18]]</f>
        <v>#N/A</v>
      </c>
      <c r="AZ54" s="206"/>
      <c r="BA54" s="216">
        <f>3200*Tabla3[[#This Row],[% Beca Reinscripciones UNAM 17-18]]</f>
        <v>0</v>
      </c>
      <c r="BB54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54" s="231"/>
      <c r="BD54" s="218" t="e">
        <f>Tabla3[[#This Row],[Monto Colegiatura ]]*Tabla3[[#This Row],[% Beca Comunidad 17-18]]</f>
        <v>#N/A</v>
      </c>
      <c r="BE54" s="218" t="e">
        <f>Tabla3[[#This Row],[Cantidad Beca Comunidad Colegiatura 17-18]]*75%</f>
        <v>#N/A</v>
      </c>
      <c r="BF54" s="219"/>
      <c r="BG54" s="218" t="e">
        <f>Tabla3[[#This Row],[Reinscripción]]*Tabla3[[#This Row],[% Beca Reinscripciones Comunidad 18-19]]</f>
        <v>#N/A</v>
      </c>
      <c r="BH54" s="218" t="e">
        <f>Tabla3[[#This Row],[Cantidad Beca Reinscripciones Comunidad 18-19]]*70%</f>
        <v>#N/A</v>
      </c>
      <c r="BI54" s="216" t="e">
        <f>Tabla3[[#This Row],[75% Cantidad Beca Comunidad Colegiatura 17-18]]+Tabla3[[#This Row],[70% Cantidad Beca Reinscripciones 18-19]]</f>
        <v>#N/A</v>
      </c>
      <c r="BJ54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54" s="243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54" s="220"/>
      <c r="BM54" s="204"/>
      <c r="BN54" s="221"/>
      <c r="BO54" s="245"/>
      <c r="BP54" s="107">
        <f>Tabla3[[#This Row],[% AutorizadoBeca Colegiatura 17-18]]+Tabla3[[#This Row],[% Beca Prestacion 17-18]]+Tabla3[[#This Row],[% Beca UNAM 17-18]]</f>
        <v>0.65</v>
      </c>
      <c r="BQ54" s="108">
        <f t="shared" si="0"/>
        <v>745.55000000000007</v>
      </c>
      <c r="BR54" s="107">
        <f>Tabla3[[#This Row],[% Beca Comunidad 17-18]]</f>
        <v>0</v>
      </c>
      <c r="BS54" s="108">
        <f t="shared" si="1"/>
        <v>0</v>
      </c>
      <c r="BT54" s="108">
        <f t="shared" si="2"/>
        <v>0</v>
      </c>
      <c r="BU54" s="108">
        <f>Tabla3[[#This Row],[Monto3]]*75%</f>
        <v>0</v>
      </c>
      <c r="BV54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54" s="107" t="e">
        <f>VLOOKUP(Tabla3[[#This Row],[Nombre del Alumno]],'[3]BECAS COLEGIATURAS'!$I:$N,6,0)</f>
        <v>#N/A</v>
      </c>
      <c r="BX54" s="107" t="e">
        <f>VLOOKUP(Tabla3[[#This Row],[Nombre del Alumno]],[1]!Tabla1[[NOMBRE DEL ALUMNO]:[MATRIZ]],6,0)</f>
        <v>#REF!</v>
      </c>
      <c r="BY54" s="107" t="e">
        <f>VLOOKUP(Tabla3[[#This Row],[Nombre del Alumno]],'[3]BECAS COLEGIATURAS'!$I:$L,4,0)</f>
        <v>#N/A</v>
      </c>
      <c r="BZ54" s="108" t="e">
        <f>VLOOKUP(Tabla3[[#This Row],[Grado 18-19]],[2]Cuotas!$Q:$U,2,0)</f>
        <v>#N/A</v>
      </c>
      <c r="CA54" s="108" t="e">
        <f>VLOOKUP(Tabla3[[#This Row],[Grado 18-19]],[2]Cuotas!$Q:$U,3,0)</f>
        <v>#N/A</v>
      </c>
      <c r="CB54" s="108" t="e">
        <f>VLOOKUP(Tabla3[[#This Row],[Grado 18-19]],[2]Cuotas!$Q:$U,4,0)</f>
        <v>#N/A</v>
      </c>
      <c r="CC54" s="107">
        <v>0</v>
      </c>
      <c r="CD54" s="222">
        <v>0.5</v>
      </c>
      <c r="CE54" s="218" t="e">
        <f>Tabla3[[#This Row],[Monto Colegiatura 2018-2019]]*Tabla3[[#This Row],[% AutorizadoBeca Colegiatura 18-19]]</f>
        <v>#N/A</v>
      </c>
      <c r="CF54" s="223"/>
      <c r="CG54" s="218" t="e">
        <f>Tabla3[[#This Row],[Monto Colegiatura 2018-2019]]*Tabla3[[#This Row],[% Beca Prestacion 18-19]]</f>
        <v>#N/A</v>
      </c>
      <c r="CH54" s="223"/>
      <c r="CI54" s="218" t="e">
        <f>Tabla3[[#This Row],[Canasta 2018-2019]]*Tabla3[[#This Row],[% Beca Canasta 18-19]]</f>
        <v>#N/A</v>
      </c>
      <c r="CJ54" s="223"/>
      <c r="CK54" s="218" t="e">
        <f>Tabla3[[#This Row],[Reinscripción 2019-2020]]*Tabla3[[#This Row],[% Beca Reinscripciones 19-20]]</f>
        <v>#N/A</v>
      </c>
      <c r="CL54" s="218" t="e">
        <f>Tabla3[[#This Row],[Cantidad Beca Comunidad Colegiatura 18-19]]*25%</f>
        <v>#N/A</v>
      </c>
      <c r="CM54" s="224" t="e">
        <f>Tabla3[[#This Row],[Cantidad Beca Reinscripciones Comunidad 19-20]]*25%</f>
        <v>#N/A</v>
      </c>
      <c r="CN54" s="222"/>
      <c r="CO54" s="218" t="e">
        <f>Tabla3[[#This Row],[Monto Colegiatura 2018-2019]]*Tabla3[[#This Row],[% Beca UNAM 18-19]]</f>
        <v>#N/A</v>
      </c>
      <c r="CP54" s="225"/>
      <c r="CQ54" s="224">
        <f>3328*Tabla3[[#This Row],[% Beca Reinscripciones UNAM 18-19]]</f>
        <v>0</v>
      </c>
      <c r="CR54" s="226" t="e">
        <f>Tabla3[[#This Row],[Cantidad Beca Colegiatura 18-19]]+Tabla3[[#This Row],[Cantidad Beca Canasta 18-19]]+Tabla3[[#This Row],[Cantidad Beca Reinscripciones 19-20]]</f>
        <v>#N/A</v>
      </c>
      <c r="CS54" s="222"/>
      <c r="CT54" s="218" t="e">
        <f>Tabla3[[#This Row],[Monto Colegiatura 2018-2019]]*Tabla3[[#This Row],[% Beca Comunidad 18-19]]</f>
        <v>#N/A</v>
      </c>
      <c r="CU54" s="218" t="e">
        <f>Tabla3[[#This Row],[Cantidad Beca Comunidad Colegiatura 18-19]]*75%</f>
        <v>#N/A</v>
      </c>
      <c r="CV54" s="223"/>
      <c r="CW54" s="218" t="e">
        <f>Tabla3[[#This Row],[Reinscripción 2019-2020]]*Tabla3[[#This Row],[% Beca Reinscripciones Comunidad 19-20]]</f>
        <v>#N/A</v>
      </c>
      <c r="CX54" s="218" t="e">
        <f>Tabla3[[#This Row],[Cantidad Beca Reinscripciones Comunidad 19-20]]*75%</f>
        <v>#N/A</v>
      </c>
      <c r="CY54" s="227" t="e">
        <f>Tabla3[[#This Row],[75% Cantidad Beca Comunidad Colegiatura 18-19]]+Tabla3[[#This Row],[75% Cantidad Beca Reinscripciones 19-20]]</f>
        <v>#N/A</v>
      </c>
      <c r="CZ54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54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54" s="108">
        <f>1440*(Tabla3[[#This Row],[% AutorizadoBeca Colegiatura 18-19]]+Tabla3[[#This Row],[% Beca Prestacion 18-19]]+Tabla3[[#This Row],[% Beca UNAM 18-19]]+Tabla3[[#This Row],[% Beca Comunidad 18-19]])</f>
        <v>720</v>
      </c>
    </row>
    <row r="55" spans="2:106" ht="15" customHeight="1" x14ac:dyDescent="0.2">
      <c r="B55" s="107" t="s">
        <v>493</v>
      </c>
      <c r="C55" s="107" t="e">
        <f>VLOOKUP(Tabla3[[#This Row],[Nombre del Padre]],[1]!Tabla1[[PADRE]:[PADRE_CELULAR]],2,0)</f>
        <v>#REF!</v>
      </c>
      <c r="D55" s="107" t="e">
        <f>VLOOKUP(Tabla3[[#This Row],[Nombre del Padre]],[1]!Tabla1[[PADRE]:[PADRE_CELULAR]],3,0)</f>
        <v>#REF!</v>
      </c>
      <c r="E55" s="107" t="s">
        <v>494</v>
      </c>
      <c r="F55" s="107" t="e">
        <f>VLOOKUP(Tabla3[[#This Row],[Nombre de la Madre]],[1]!Tabla1[[MADRE]:[MADRE_TELEFONO]],2,0)</f>
        <v>#REF!</v>
      </c>
      <c r="G55" s="202" t="e">
        <f>VLOOKUP(Tabla3[[#This Row],[Nombre de la Madre]],[1]!Tabla1[[MADRE]:[MADRE_TELEFONO]],3,0)</f>
        <v>#REF!</v>
      </c>
      <c r="H55" s="230">
        <v>33</v>
      </c>
      <c r="I55" s="204">
        <v>2601</v>
      </c>
      <c r="J55" s="204" t="s">
        <v>495</v>
      </c>
      <c r="K55" s="204" t="s">
        <v>420</v>
      </c>
      <c r="L55" s="204" t="s">
        <v>496</v>
      </c>
      <c r="M55" s="205"/>
      <c r="N55" s="204"/>
      <c r="O55" s="206"/>
      <c r="P55" s="206"/>
      <c r="Q55" s="206"/>
      <c r="R55" s="207"/>
      <c r="S55" s="206">
        <f>Tabla3[[#This Row],[Monto Colegiatura]]*Tabla3[[#This Row],[% Beca Colegio 16-17]]</f>
        <v>0</v>
      </c>
      <c r="T55" s="206"/>
      <c r="U55" s="206">
        <f>Tabla3[[#This Row],[Monto Colegiatura]]*Tabla3[[#This Row],[% Beca Prestación 16-17]]</f>
        <v>0</v>
      </c>
      <c r="V55" s="208"/>
      <c r="W55" s="206">
        <f>Tabla3[[#This Row],[Monto Colegiatura]]*Tabla3[[#This Row],[% Beca Comunidad 16-17]]</f>
        <v>0</v>
      </c>
      <c r="X55" s="206">
        <f>Tabla3[[#This Row],[Cantidad Beca Comunidad 16-17]]*25%</f>
        <v>0</v>
      </c>
      <c r="Y55" s="206"/>
      <c r="Z55" s="206">
        <f>Tabla3[[#This Row],[Monto Colegiatura]]*Tabla3[[#This Row],[% Beca UNAM 16-17]]</f>
        <v>0</v>
      </c>
      <c r="AA55" s="208"/>
      <c r="AB55" s="206"/>
      <c r="AC55" s="206"/>
      <c r="AD55" s="206"/>
      <c r="AE55" s="206"/>
      <c r="AF55" s="206"/>
      <c r="AG55" s="209" t="s">
        <v>289</v>
      </c>
      <c r="AH55" s="210" t="s">
        <v>497</v>
      </c>
      <c r="AI55" s="211" t="s">
        <v>498</v>
      </c>
      <c r="AJ55" s="206" t="e">
        <f>VLOOKUP(Tabla3[[#This Row],[Grado 17-18]],[2]Cuotas!$H:$L,2,0)</f>
        <v>#N/A</v>
      </c>
      <c r="AK55" s="206" t="e">
        <f>VLOOKUP(Tabla3[[#This Row],[Grado 17-18]],[2]Cuotas!$H:$L,3,0)</f>
        <v>#N/A</v>
      </c>
      <c r="AL55" s="206" t="e">
        <f>VLOOKUP(Tabla3[[#This Row],[Grado 17-18]],[2]Cuotas!$H:$L,4,0)</f>
        <v>#N/A</v>
      </c>
      <c r="AM55" s="212"/>
      <c r="AN55" s="213"/>
      <c r="AO55" s="206" t="e">
        <f>Tabla3[[#This Row],[Monto Colegiatura ]]*Tabla3[[#This Row],[% AutorizadoBeca Colegiatura 17-18]]</f>
        <v>#N/A</v>
      </c>
      <c r="AP55" s="208"/>
      <c r="AQ55" s="206" t="e">
        <f>Tabla3[[#This Row],[Monto Colegiatura ]]*Tabla3[[#This Row],[% Beca Prestacion 17-18]]</f>
        <v>#N/A</v>
      </c>
      <c r="AR55" s="208"/>
      <c r="AS55" s="206" t="e">
        <f>Tabla3[[#This Row],[Canasta]]*Tabla3[[#This Row],[% Beca Canasta 17-18]]</f>
        <v>#N/A</v>
      </c>
      <c r="AT55" s="208"/>
      <c r="AU55" s="214"/>
      <c r="AV55" s="206" t="e">
        <f>Tabla3[[#This Row],[Cantidad Beca Comunidad Colegiatura 17-18]]*25%</f>
        <v>#N/A</v>
      </c>
      <c r="AW55" s="206" t="e">
        <f>Tabla3[[#This Row],[Cantidad Beca Reinscripciones Comunidad 18-19]]*30%</f>
        <v>#N/A</v>
      </c>
      <c r="AX55" s="215"/>
      <c r="AY55" s="206" t="e">
        <f>Tabla3[[#This Row],[Monto Colegiatura ]]*Tabla3[[#This Row],[% Beca UNAM 17-18]]</f>
        <v>#N/A</v>
      </c>
      <c r="AZ55" s="206"/>
      <c r="BA55" s="216">
        <f>3200*Tabla3[[#This Row],[% Beca Reinscripciones UNAM 17-18]]</f>
        <v>0</v>
      </c>
      <c r="BB55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55" s="217">
        <v>1</v>
      </c>
      <c r="BD55" s="218" t="e">
        <f>Tabla3[[#This Row],[Monto Colegiatura ]]*Tabla3[[#This Row],[% Beca Comunidad 17-18]]</f>
        <v>#N/A</v>
      </c>
      <c r="BE55" s="218" t="e">
        <f>Tabla3[[#This Row],[Cantidad Beca Comunidad Colegiatura 17-18]]*75%</f>
        <v>#N/A</v>
      </c>
      <c r="BF55" s="219">
        <v>1</v>
      </c>
      <c r="BG55" s="218" t="e">
        <f>Tabla3[[#This Row],[Reinscripción]]*Tabla3[[#This Row],[% Beca Reinscripciones Comunidad 18-19]]</f>
        <v>#N/A</v>
      </c>
      <c r="BH55" s="218" t="e">
        <f>Tabla3[[#This Row],[Cantidad Beca Reinscripciones Comunidad 18-19]]*70%</f>
        <v>#N/A</v>
      </c>
      <c r="BI55" s="216" t="e">
        <f>Tabla3[[#This Row],[75% Cantidad Beca Comunidad Colegiatura 17-18]]+Tabla3[[#This Row],[70% Cantidad Beca Reinscripciones 18-19]]</f>
        <v>#N/A</v>
      </c>
      <c r="BJ55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55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17-18]]-Tabla3[[#This Row],[Cantidad Beca Reinscripciones Comunidad 18-19]]</f>
        <v>#N/A</v>
      </c>
      <c r="BL55" s="220"/>
      <c r="BM55" s="204"/>
      <c r="BN55" s="221"/>
      <c r="BO55" s="107"/>
      <c r="BP55" s="107">
        <f>Tabla3[[#This Row],[% AutorizadoBeca Colegiatura 17-18]]+Tabla3[[#This Row],[% Beca Prestacion 17-18]]+Tabla3[[#This Row],[% Beca UNAM 17-18]]</f>
        <v>0</v>
      </c>
      <c r="BQ55" s="108">
        <f t="shared" si="0"/>
        <v>0</v>
      </c>
      <c r="BR55" s="107">
        <f>Tabla3[[#This Row],[% Beca Comunidad 17-18]]</f>
        <v>1</v>
      </c>
      <c r="BS55" s="108">
        <f t="shared" si="1"/>
        <v>1147</v>
      </c>
      <c r="BT55" s="108">
        <f t="shared" si="2"/>
        <v>286.75</v>
      </c>
      <c r="BU55" s="108">
        <f>Tabla3[[#This Row],[Monto3]]*75%</f>
        <v>860.25</v>
      </c>
      <c r="BV55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55" s="107" t="e">
        <f>VLOOKUP(Tabla3[[#This Row],[Nombre del Alumno]],'[3]BECAS COLEGIATURAS'!$I:$N,6,0)</f>
        <v>#N/A</v>
      </c>
      <c r="BX55" s="107" t="e">
        <f>VLOOKUP(Tabla3[[#This Row],[Nombre del Alumno]],[1]!Tabla1[[NOMBRE DEL ALUMNO]:[MATRIZ]],6,0)</f>
        <v>#REF!</v>
      </c>
      <c r="BY55" s="107" t="e">
        <f>VLOOKUP(Tabla3[[#This Row],[Nombre del Alumno]],'[3]BECAS COLEGIATURAS'!$I:$L,4,0)</f>
        <v>#N/A</v>
      </c>
      <c r="BZ55" s="108" t="e">
        <f>VLOOKUP(Tabla3[[#This Row],[Grado 18-19]],[2]Cuotas!$Q:$U,2,0)</f>
        <v>#N/A</v>
      </c>
      <c r="CA55" s="108" t="e">
        <f>VLOOKUP(Tabla3[[#This Row],[Grado 18-19]],[2]Cuotas!$Q:$U,3,0)</f>
        <v>#N/A</v>
      </c>
      <c r="CB55" s="108" t="e">
        <f>VLOOKUP(Tabla3[[#This Row],[Grado 18-19]],[2]Cuotas!$Q:$U,4,0)</f>
        <v>#N/A</v>
      </c>
      <c r="CC55" s="107">
        <v>0</v>
      </c>
      <c r="CD55" s="222"/>
      <c r="CE55" s="218" t="e">
        <f>Tabla3[[#This Row],[Monto Colegiatura 2018-2019]]*Tabla3[[#This Row],[% AutorizadoBeca Colegiatura 18-19]]</f>
        <v>#N/A</v>
      </c>
      <c r="CF55" s="223"/>
      <c r="CG55" s="218" t="e">
        <f>Tabla3[[#This Row],[Monto Colegiatura 2018-2019]]*Tabla3[[#This Row],[% Beca Prestacion 18-19]]</f>
        <v>#N/A</v>
      </c>
      <c r="CH55" s="223"/>
      <c r="CI55" s="218" t="e">
        <f>Tabla3[[#This Row],[Canasta 2018-2019]]*Tabla3[[#This Row],[% Beca Canasta 18-19]]</f>
        <v>#N/A</v>
      </c>
      <c r="CJ55" s="223"/>
      <c r="CK55" s="218" t="e">
        <f>Tabla3[[#This Row],[Reinscripción 2019-2020]]*Tabla3[[#This Row],[% Beca Reinscripciones 19-20]]</f>
        <v>#N/A</v>
      </c>
      <c r="CL55" s="218" t="e">
        <f>Tabla3[[#This Row],[Cantidad Beca Comunidad Colegiatura 18-19]]*25%</f>
        <v>#N/A</v>
      </c>
      <c r="CM55" s="224" t="e">
        <f>Tabla3[[#This Row],[Cantidad Beca Reinscripciones Comunidad 19-20]]*25%</f>
        <v>#N/A</v>
      </c>
      <c r="CN55" s="222"/>
      <c r="CO55" s="218" t="e">
        <f>Tabla3[[#This Row],[Monto Colegiatura 2018-2019]]*Tabla3[[#This Row],[% Beca UNAM 18-19]]</f>
        <v>#N/A</v>
      </c>
      <c r="CP55" s="225"/>
      <c r="CQ55" s="224">
        <f>3328*Tabla3[[#This Row],[% Beca Reinscripciones UNAM 18-19]]</f>
        <v>0</v>
      </c>
      <c r="CR55" s="226" t="e">
        <f>Tabla3[[#This Row],[Cantidad Beca Colegiatura 18-19]]+Tabla3[[#This Row],[Cantidad Beca Canasta 18-19]]+Tabla3[[#This Row],[Cantidad Beca Reinscripciones 19-20]]</f>
        <v>#N/A</v>
      </c>
      <c r="CS55" s="222">
        <v>1</v>
      </c>
      <c r="CT55" s="218" t="e">
        <f>Tabla3[[#This Row],[Monto Colegiatura 2018-2019]]*Tabla3[[#This Row],[% Beca Comunidad 18-19]]</f>
        <v>#N/A</v>
      </c>
      <c r="CU55" s="218" t="e">
        <f>Tabla3[[#This Row],[Cantidad Beca Comunidad Colegiatura 18-19]]*75%</f>
        <v>#N/A</v>
      </c>
      <c r="CV55" s="223">
        <v>1</v>
      </c>
      <c r="CW55" s="218" t="e">
        <f>Tabla3[[#This Row],[Reinscripción 2019-2020]]*Tabla3[[#This Row],[% Beca Reinscripciones Comunidad 19-20]]</f>
        <v>#N/A</v>
      </c>
      <c r="CX55" s="218" t="e">
        <f>Tabla3[[#This Row],[Cantidad Beca Reinscripciones Comunidad 19-20]]*75%</f>
        <v>#N/A</v>
      </c>
      <c r="CY55" s="227" t="e">
        <f>Tabla3[[#This Row],[75% Cantidad Beca Comunidad Colegiatura 18-19]]+Tabla3[[#This Row],[75% Cantidad Beca Reinscripciones 19-20]]</f>
        <v>#N/A</v>
      </c>
      <c r="CZ55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55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55" s="108">
        <f>1440*(Tabla3[[#This Row],[% AutorizadoBeca Colegiatura 18-19]]+Tabla3[[#This Row],[% Beca Prestacion 18-19]]+Tabla3[[#This Row],[% Beca UNAM 18-19]]+Tabla3[[#This Row],[% Beca Comunidad 18-19]])</f>
        <v>1440</v>
      </c>
    </row>
    <row r="56" spans="2:106" ht="15" customHeight="1" x14ac:dyDescent="0.2">
      <c r="B56" s="107" t="s">
        <v>493</v>
      </c>
      <c r="C56" s="107" t="e">
        <f>VLOOKUP(Tabla3[[#This Row],[Nombre del Padre]],[1]!Tabla1[[PADRE]:[PADRE_CELULAR]],2,0)</f>
        <v>#REF!</v>
      </c>
      <c r="D56" s="107" t="e">
        <f>VLOOKUP(Tabla3[[#This Row],[Nombre del Padre]],[1]!Tabla1[[PADRE]:[PADRE_CELULAR]],3,0)</f>
        <v>#REF!</v>
      </c>
      <c r="E56" s="107" t="s">
        <v>494</v>
      </c>
      <c r="F56" s="107" t="e">
        <f>VLOOKUP(Tabla3[[#This Row],[Nombre de la Madre]],[1]!Tabla1[[MADRE]:[MADRE_TELEFONO]],2,0)</f>
        <v>#REF!</v>
      </c>
      <c r="G56" s="202" t="e">
        <f>VLOOKUP(Tabla3[[#This Row],[Nombre de la Madre]],[1]!Tabla1[[MADRE]:[MADRE_TELEFONO]],3,0)</f>
        <v>#REF!</v>
      </c>
      <c r="H56" s="230"/>
      <c r="I56" s="204">
        <v>2601</v>
      </c>
      <c r="J56" s="204" t="s">
        <v>495</v>
      </c>
      <c r="K56" s="204" t="s">
        <v>420</v>
      </c>
      <c r="L56" s="204" t="s">
        <v>499</v>
      </c>
      <c r="M56" s="205" t="s">
        <v>500</v>
      </c>
      <c r="N56" s="204" t="s">
        <v>299</v>
      </c>
      <c r="O56" s="206" t="e">
        <f>VLOOKUP(Tabla3[[#This Row],[Grado]],[2]Cuotas!$A:$E,2,0)</f>
        <v>#N/A</v>
      </c>
      <c r="P56" s="206" t="e">
        <f>VLOOKUP(Tabla3[[#This Row],[Grado]],[2]Cuotas!$A:$E,4,0)</f>
        <v>#N/A</v>
      </c>
      <c r="Q56" s="206" t="e">
        <f>VLOOKUP(Tabla3[[#This Row],[Grado]],[2]Cuotas!$A:$E,3,0)</f>
        <v>#N/A</v>
      </c>
      <c r="R56" s="207"/>
      <c r="S56" s="206" t="e">
        <f>Tabla3[[#This Row],[Monto Colegiatura]]*Tabla3[[#This Row],[% Beca Colegio 16-17]]</f>
        <v>#N/A</v>
      </c>
      <c r="T56" s="206"/>
      <c r="U56" s="206" t="e">
        <f>Tabla3[[#This Row],[Monto Colegiatura]]*Tabla3[[#This Row],[% Beca Prestación 16-17]]</f>
        <v>#N/A</v>
      </c>
      <c r="V56" s="208">
        <v>1</v>
      </c>
      <c r="W56" s="206" t="e">
        <f>Tabla3[[#This Row],[Monto Colegiatura]]*Tabla3[[#This Row],[% Beca Comunidad 16-17]]</f>
        <v>#N/A</v>
      </c>
      <c r="X56" s="206" t="e">
        <f>Tabla3[[#This Row],[Cantidad Beca Comunidad 16-17]]*25%</f>
        <v>#N/A</v>
      </c>
      <c r="Y56" s="206"/>
      <c r="Z56" s="206" t="e">
        <f>Tabla3[[#This Row],[Monto Colegiatura]]*Tabla3[[#This Row],[% Beca UNAM 16-17]]</f>
        <v>#N/A</v>
      </c>
      <c r="AA56" s="208" t="e">
        <f>VLOOKUP(Tabla3[[#This Row],[Nombre del Alumno]],'[4]BECAS REINSCRIPCIONES'!$B$9:$D$31,3,0)</f>
        <v>#N/A</v>
      </c>
      <c r="AB56" s="206" t="e">
        <f>Tabla3[[#This Row],[Monto Reinscripción]]*Tabla3[[#This Row],[% Beca Reinscripción 16-17]]</f>
        <v>#N/A</v>
      </c>
      <c r="AC56" s="206"/>
      <c r="AD56" s="206" t="e">
        <f>Tabla3[[#This Row],[Monto Canasta]]*Tabla3[[#This Row],[% Beca Canasta 16-17]]</f>
        <v>#N/A</v>
      </c>
      <c r="AE56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56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56" s="209" t="e">
        <f>VLOOKUP(Tabla3[[#This Row],[Nombre del Alumno]],[2]!Tabla1[[Alumno]:[Cuenta Ciclos]],2,0)</f>
        <v>#REF!</v>
      </c>
      <c r="AH56" s="210" t="s">
        <v>501</v>
      </c>
      <c r="AI56" s="211" t="s">
        <v>306</v>
      </c>
      <c r="AJ56" s="206" t="e">
        <f>VLOOKUP(Tabla3[[#This Row],[Grado 17-18]],[2]Cuotas!$H:$L,2,0)</f>
        <v>#N/A</v>
      </c>
      <c r="AK56" s="206" t="e">
        <f>VLOOKUP(Tabla3[[#This Row],[Grado 17-18]],[2]Cuotas!$H:$L,3,0)</f>
        <v>#N/A</v>
      </c>
      <c r="AL56" s="206" t="e">
        <f>VLOOKUP(Tabla3[[#This Row],[Grado 17-18]],[2]Cuotas!$H:$L,4,0)</f>
        <v>#N/A</v>
      </c>
      <c r="AM56" s="212"/>
      <c r="AN56" s="213"/>
      <c r="AO56" s="206" t="e">
        <f>Tabla3[[#This Row],[Monto Colegiatura ]]*Tabla3[[#This Row],[% AutorizadoBeca Colegiatura 17-18]]</f>
        <v>#N/A</v>
      </c>
      <c r="AP56" s="208"/>
      <c r="AQ56" s="206" t="e">
        <f>Tabla3[[#This Row],[Monto Colegiatura ]]*Tabla3[[#This Row],[% Beca Prestacion 17-18]]</f>
        <v>#N/A</v>
      </c>
      <c r="AR56" s="208"/>
      <c r="AS56" s="206" t="e">
        <f>Tabla3[[#This Row],[Canasta]]*Tabla3[[#This Row],[% Beca Canasta 17-18]]</f>
        <v>#N/A</v>
      </c>
      <c r="AT56" s="208"/>
      <c r="AU56" s="214"/>
      <c r="AV56" s="206" t="e">
        <f>Tabla3[[#This Row],[Cantidad Beca Comunidad Colegiatura 17-18]]*25%</f>
        <v>#N/A</v>
      </c>
      <c r="AW56" s="206" t="e">
        <f>Tabla3[[#This Row],[Cantidad Beca Reinscripciones Comunidad 18-19]]*30%</f>
        <v>#N/A</v>
      </c>
      <c r="AX56" s="215"/>
      <c r="AY56" s="206" t="e">
        <f>Tabla3[[#This Row],[Monto Colegiatura ]]*Tabla3[[#This Row],[% Beca UNAM 17-18]]</f>
        <v>#N/A</v>
      </c>
      <c r="AZ56" s="206"/>
      <c r="BA56" s="216">
        <f>3200*Tabla3[[#This Row],[% Beca Reinscripciones UNAM 17-18]]</f>
        <v>0</v>
      </c>
      <c r="BB56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56" s="217">
        <v>1</v>
      </c>
      <c r="BD56" s="218" t="e">
        <f>Tabla3[[#This Row],[Monto Colegiatura ]]*Tabla3[[#This Row],[% Beca Comunidad 17-18]]</f>
        <v>#N/A</v>
      </c>
      <c r="BE56" s="218" t="e">
        <f>Tabla3[[#This Row],[Cantidad Beca Comunidad Colegiatura 17-18]]*75%</f>
        <v>#N/A</v>
      </c>
      <c r="BF56" s="219" t="e">
        <f>VLOOKUP(Tabla3[[#This Row],[Nombre del Alumno]],[5]Hoja2!$B:$O,14,0)</f>
        <v>#N/A</v>
      </c>
      <c r="BG56" s="218" t="e">
        <f>Tabla3[[#This Row],[Reinscripción]]*Tabla3[[#This Row],[% Beca Reinscripciones Comunidad 18-19]]</f>
        <v>#N/A</v>
      </c>
      <c r="BH56" s="218" t="e">
        <f>Tabla3[[#This Row],[Cantidad Beca Reinscripciones Comunidad 18-19]]*70%</f>
        <v>#N/A</v>
      </c>
      <c r="BI56" s="216" t="e">
        <f>Tabla3[[#This Row],[75% Cantidad Beca Comunidad Colegiatura 17-18]]+Tabla3[[#This Row],[70% Cantidad Beca Reinscripciones 18-19]]</f>
        <v>#N/A</v>
      </c>
      <c r="BJ56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56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17-18]]-Tabla3[[#This Row],[Cantidad Beca Reinscripciones Comunidad 18-19]]</f>
        <v>#N/A</v>
      </c>
      <c r="BL56" s="220"/>
      <c r="BM56" s="204"/>
      <c r="BN56" s="221"/>
      <c r="BO56" s="107"/>
      <c r="BP56" s="107">
        <f>Tabla3[[#This Row],[% AutorizadoBeca Colegiatura 17-18]]+Tabla3[[#This Row],[% Beca Prestacion 17-18]]+Tabla3[[#This Row],[% Beca UNAM 17-18]]</f>
        <v>0</v>
      </c>
      <c r="BQ56" s="108">
        <f t="shared" si="0"/>
        <v>0</v>
      </c>
      <c r="BR56" s="107">
        <f>Tabla3[[#This Row],[% Beca Comunidad 17-18]]</f>
        <v>1</v>
      </c>
      <c r="BS56" s="108">
        <f t="shared" si="1"/>
        <v>1147</v>
      </c>
      <c r="BT56" s="108">
        <f t="shared" si="2"/>
        <v>286.75</v>
      </c>
      <c r="BU56" s="108">
        <f>Tabla3[[#This Row],[Monto3]]*75%</f>
        <v>860.25</v>
      </c>
      <c r="BV56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56" s="107" t="e">
        <f>VLOOKUP(Tabla3[[#This Row],[Nombre del Alumno]],'[3]BECAS COLEGIATURAS'!$I:$N,6,0)</f>
        <v>#N/A</v>
      </c>
      <c r="BX56" s="107" t="e">
        <f>VLOOKUP(Tabla3[[#This Row],[Nombre del Alumno]],[1]!Tabla1[[NOMBRE DEL ALUMNO]:[MATRIZ]],6,0)</f>
        <v>#REF!</v>
      </c>
      <c r="BY56" s="107" t="e">
        <f>VLOOKUP(Tabla3[[#This Row],[Nombre del Alumno]],'[3]BECAS COLEGIATURAS'!$I:$L,4,0)</f>
        <v>#N/A</v>
      </c>
      <c r="BZ56" s="108" t="e">
        <f>VLOOKUP(Tabla3[[#This Row],[Grado 18-19]],[2]Cuotas!$Q:$U,2,0)</f>
        <v>#N/A</v>
      </c>
      <c r="CA56" s="108" t="e">
        <f>VLOOKUP(Tabla3[[#This Row],[Grado 18-19]],[2]Cuotas!$Q:$U,3,0)</f>
        <v>#N/A</v>
      </c>
      <c r="CB56" s="108" t="e">
        <f>VLOOKUP(Tabla3[[#This Row],[Grado 18-19]],[2]Cuotas!$Q:$U,4,0)</f>
        <v>#N/A</v>
      </c>
      <c r="CC56" s="107">
        <v>0</v>
      </c>
      <c r="CD56" s="222"/>
      <c r="CE56" s="218" t="e">
        <f>Tabla3[[#This Row],[Monto Colegiatura 2018-2019]]*Tabla3[[#This Row],[% AutorizadoBeca Colegiatura 18-19]]</f>
        <v>#N/A</v>
      </c>
      <c r="CF56" s="223"/>
      <c r="CG56" s="218" t="e">
        <f>Tabla3[[#This Row],[Monto Colegiatura 2018-2019]]*Tabla3[[#This Row],[% Beca Prestacion 18-19]]</f>
        <v>#N/A</v>
      </c>
      <c r="CH56" s="223"/>
      <c r="CI56" s="218" t="e">
        <f>Tabla3[[#This Row],[Canasta 2018-2019]]*Tabla3[[#This Row],[% Beca Canasta 18-19]]</f>
        <v>#N/A</v>
      </c>
      <c r="CJ56" s="223"/>
      <c r="CK56" s="218" t="e">
        <f>Tabla3[[#This Row],[Reinscripción 2019-2020]]*Tabla3[[#This Row],[% Beca Reinscripciones 19-20]]</f>
        <v>#N/A</v>
      </c>
      <c r="CL56" s="218" t="e">
        <f>Tabla3[[#This Row],[Cantidad Beca Comunidad Colegiatura 18-19]]*25%</f>
        <v>#N/A</v>
      </c>
      <c r="CM56" s="224" t="e">
        <f>Tabla3[[#This Row],[Cantidad Beca Reinscripciones Comunidad 19-20]]*25%</f>
        <v>#N/A</v>
      </c>
      <c r="CN56" s="222"/>
      <c r="CO56" s="218" t="e">
        <f>Tabla3[[#This Row],[Monto Colegiatura 2018-2019]]*Tabla3[[#This Row],[% Beca UNAM 18-19]]</f>
        <v>#N/A</v>
      </c>
      <c r="CP56" s="225"/>
      <c r="CQ56" s="224">
        <f>3328*Tabla3[[#This Row],[% Beca Reinscripciones UNAM 18-19]]</f>
        <v>0</v>
      </c>
      <c r="CR56" s="226" t="e">
        <f>Tabla3[[#This Row],[Cantidad Beca Colegiatura 18-19]]+Tabla3[[#This Row],[Cantidad Beca Canasta 18-19]]+Tabla3[[#This Row],[Cantidad Beca Reinscripciones 19-20]]</f>
        <v>#N/A</v>
      </c>
      <c r="CS56" s="222">
        <v>1</v>
      </c>
      <c r="CT56" s="218" t="e">
        <f>Tabla3[[#This Row],[Monto Colegiatura 2018-2019]]*Tabla3[[#This Row],[% Beca Comunidad 18-19]]</f>
        <v>#N/A</v>
      </c>
      <c r="CU56" s="218" t="e">
        <f>Tabla3[[#This Row],[Cantidad Beca Comunidad Colegiatura 18-19]]*75%</f>
        <v>#N/A</v>
      </c>
      <c r="CV56" s="223">
        <v>1</v>
      </c>
      <c r="CW56" s="218" t="e">
        <f>Tabla3[[#This Row],[Reinscripción 2019-2020]]*Tabla3[[#This Row],[% Beca Reinscripciones Comunidad 19-20]]</f>
        <v>#N/A</v>
      </c>
      <c r="CX56" s="218" t="e">
        <f>Tabla3[[#This Row],[Cantidad Beca Reinscripciones Comunidad 19-20]]*75%</f>
        <v>#N/A</v>
      </c>
      <c r="CY56" s="227" t="e">
        <f>Tabla3[[#This Row],[75% Cantidad Beca Comunidad Colegiatura 18-19]]+Tabla3[[#This Row],[75% Cantidad Beca Reinscripciones 19-20]]</f>
        <v>#N/A</v>
      </c>
      <c r="CZ56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56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56" s="108">
        <f>1440*(Tabla3[[#This Row],[% AutorizadoBeca Colegiatura 18-19]]+Tabla3[[#This Row],[% Beca Prestacion 18-19]]+Tabla3[[#This Row],[% Beca UNAM 18-19]]+Tabla3[[#This Row],[% Beca Comunidad 18-19]])</f>
        <v>1440</v>
      </c>
    </row>
    <row r="57" spans="2:106" ht="15" customHeight="1" x14ac:dyDescent="0.2">
      <c r="B57" s="107" t="s">
        <v>502</v>
      </c>
      <c r="C57" s="107" t="e">
        <f>VLOOKUP(Tabla3[[#This Row],[Nombre del Padre]],[1]!Tabla1[[PADRE]:[PADRE_CELULAR]],2,0)</f>
        <v>#REF!</v>
      </c>
      <c r="D57" s="107" t="e">
        <f>VLOOKUP(Tabla3[[#This Row],[Nombre del Padre]],[1]!Tabla1[[PADRE]:[PADRE_CELULAR]],3,0)</f>
        <v>#REF!</v>
      </c>
      <c r="E57" s="107" t="s">
        <v>503</v>
      </c>
      <c r="F57" s="107" t="e">
        <f>VLOOKUP(Tabla3[[#This Row],[Nombre de la Madre]],[1]!Tabla1[[MADRE]:[MADRE_TELEFONO]],2,0)</f>
        <v>#REF!</v>
      </c>
      <c r="G57" s="202" t="e">
        <f>VLOOKUP(Tabla3[[#This Row],[Nombre de la Madre]],[1]!Tabla1[[MADRE]:[MADRE_TELEFONO]],3,0)</f>
        <v>#REF!</v>
      </c>
      <c r="H57" s="230">
        <v>34</v>
      </c>
      <c r="I57" s="204">
        <v>2100</v>
      </c>
      <c r="J57" s="204" t="s">
        <v>504</v>
      </c>
      <c r="K57" s="204" t="s">
        <v>420</v>
      </c>
      <c r="L57" s="204" t="s">
        <v>505</v>
      </c>
      <c r="M57" s="205" t="s">
        <v>506</v>
      </c>
      <c r="N57" s="204" t="s">
        <v>284</v>
      </c>
      <c r="O57" s="206" t="e">
        <f>VLOOKUP(Tabla3[[#This Row],[Grado]],[2]Cuotas!$A:$E,2,0)</f>
        <v>#N/A</v>
      </c>
      <c r="P57" s="206" t="e">
        <f>VLOOKUP(Tabla3[[#This Row],[Grado]],[2]Cuotas!$A:$E,4,0)</f>
        <v>#N/A</v>
      </c>
      <c r="Q57" s="206" t="e">
        <f>VLOOKUP(Tabla3[[#This Row],[Grado]],[2]Cuotas!$A:$E,3,0)</f>
        <v>#N/A</v>
      </c>
      <c r="R57" s="207">
        <v>0.37880000000000003</v>
      </c>
      <c r="S57" s="206" t="e">
        <f>Tabla3[[#This Row],[Monto Colegiatura]]*Tabla3[[#This Row],[% Beca Colegio 16-17]]</f>
        <v>#N/A</v>
      </c>
      <c r="T57" s="206"/>
      <c r="U57" s="206" t="e">
        <f>Tabla3[[#This Row],[Monto Colegiatura]]*Tabla3[[#This Row],[% Beca Prestación 16-17]]</f>
        <v>#N/A</v>
      </c>
      <c r="V57" s="208"/>
      <c r="W57" s="206" t="e">
        <f>Tabla3[[#This Row],[Monto Colegiatura]]*Tabla3[[#This Row],[% Beca Comunidad 16-17]]</f>
        <v>#N/A</v>
      </c>
      <c r="X57" s="206" t="e">
        <f>Tabla3[[#This Row],[Cantidad Beca Comunidad 16-17]]*25%</f>
        <v>#N/A</v>
      </c>
      <c r="Y57" s="206"/>
      <c r="Z57" s="206" t="e">
        <f>Tabla3[[#This Row],[Monto Colegiatura]]*Tabla3[[#This Row],[% Beca UNAM 16-17]]</f>
        <v>#N/A</v>
      </c>
      <c r="AA57" s="208"/>
      <c r="AB57" s="206" t="e">
        <f>Tabla3[[#This Row],[Monto Reinscripción]]*Tabla3[[#This Row],[% Beca Reinscripción 16-17]]</f>
        <v>#N/A</v>
      </c>
      <c r="AC57" s="206"/>
      <c r="AD57" s="206" t="e">
        <f>Tabla3[[#This Row],[Monto Canasta]]*Tabla3[[#This Row],[% Beca Canasta 16-17]]</f>
        <v>#N/A</v>
      </c>
      <c r="AE57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57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57" s="209" t="e">
        <f>VLOOKUP(Tabla3[[#This Row],[Nombre del Alumno]],[2]!Tabla1[[Alumno]:[Cuenta Ciclos]],2,0)</f>
        <v>#REF!</v>
      </c>
      <c r="AH57" s="210" t="s">
        <v>507</v>
      </c>
      <c r="AI57" s="211" t="s">
        <v>330</v>
      </c>
      <c r="AJ57" s="206" t="e">
        <f>VLOOKUP(Tabla3[[#This Row],[Grado 17-18]],[2]Cuotas!$H:$L,2,0)</f>
        <v>#N/A</v>
      </c>
      <c r="AK57" s="206" t="e">
        <f>VLOOKUP(Tabla3[[#This Row],[Grado 17-18]],[2]Cuotas!$H:$L,3,0)</f>
        <v>#N/A</v>
      </c>
      <c r="AL57" s="206" t="e">
        <f>VLOOKUP(Tabla3[[#This Row],[Grado 17-18]],[2]Cuotas!$H:$L,4,0)</f>
        <v>#N/A</v>
      </c>
      <c r="AM57" s="229">
        <v>0.4</v>
      </c>
      <c r="AN57" s="213">
        <v>0.2</v>
      </c>
      <c r="AO57" s="206" t="e">
        <f>Tabla3[[#This Row],[Monto Colegiatura ]]*Tabla3[[#This Row],[% AutorizadoBeca Colegiatura 17-18]]</f>
        <v>#N/A</v>
      </c>
      <c r="AP57" s="208"/>
      <c r="AQ57" s="206" t="e">
        <f>Tabla3[[#This Row],[Monto Colegiatura ]]*Tabla3[[#This Row],[% Beca Prestacion 17-18]]</f>
        <v>#N/A</v>
      </c>
      <c r="AR57" s="208"/>
      <c r="AS57" s="206" t="e">
        <f>Tabla3[[#This Row],[Canasta]]*Tabla3[[#This Row],[% Beca Canasta 17-18]]</f>
        <v>#N/A</v>
      </c>
      <c r="AT57" s="208"/>
      <c r="AU57" s="214">
        <v>0</v>
      </c>
      <c r="AV57" s="206" t="e">
        <f>Tabla3[[#This Row],[Cantidad Beca Comunidad Colegiatura 17-18]]*25%</f>
        <v>#N/A</v>
      </c>
      <c r="AW57" s="206"/>
      <c r="AX57" s="215"/>
      <c r="AY57" s="206" t="e">
        <f>Tabla3[[#This Row],[Monto Colegiatura ]]*Tabla3[[#This Row],[% Beca UNAM 17-18]]</f>
        <v>#N/A</v>
      </c>
      <c r="AZ57" s="206"/>
      <c r="BA57" s="216">
        <f>3200*Tabla3[[#This Row],[% Beca Reinscripciones UNAM 17-18]]</f>
        <v>0</v>
      </c>
      <c r="BB57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57" s="231"/>
      <c r="BD57" s="218" t="e">
        <f>Tabla3[[#This Row],[Monto Colegiatura ]]*Tabla3[[#This Row],[% Beca Comunidad 17-18]]</f>
        <v>#N/A</v>
      </c>
      <c r="BE57" s="218" t="e">
        <f>Tabla3[[#This Row],[Cantidad Beca Comunidad Colegiatura 17-18]]*75%</f>
        <v>#N/A</v>
      </c>
      <c r="BF57" s="219"/>
      <c r="BG57" s="218" t="e">
        <f>Tabla3[[#This Row],[Reinscripción]]*Tabla3[[#This Row],[% Beca Reinscripciones Comunidad 18-19]]</f>
        <v>#N/A</v>
      </c>
      <c r="BH57" s="218" t="e">
        <f>Tabla3[[#This Row],[Cantidad Beca Reinscripciones Comunidad 18-19]]*70%</f>
        <v>#N/A</v>
      </c>
      <c r="BI57" s="216" t="e">
        <f>Tabla3[[#This Row],[75% Cantidad Beca Comunidad Colegiatura 17-18]]+Tabla3[[#This Row],[70% Cantidad Beca Reinscripciones 18-19]]</f>
        <v>#N/A</v>
      </c>
      <c r="BJ57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57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57" s="220"/>
      <c r="BM57" s="204"/>
      <c r="BN57" s="221"/>
      <c r="BO57" s="107"/>
      <c r="BP57" s="107">
        <f>Tabla3[[#This Row],[% AutorizadoBeca Colegiatura 17-18]]+Tabla3[[#This Row],[% Beca Prestacion 17-18]]+Tabla3[[#This Row],[% Beca UNAM 17-18]]</f>
        <v>0.2</v>
      </c>
      <c r="BQ57" s="108">
        <f t="shared" si="0"/>
        <v>229.4</v>
      </c>
      <c r="BR57" s="107">
        <f>Tabla3[[#This Row],[% Beca Comunidad 17-18]]</f>
        <v>0</v>
      </c>
      <c r="BS57" s="108">
        <f t="shared" si="1"/>
        <v>0</v>
      </c>
      <c r="BT57" s="108">
        <f t="shared" si="2"/>
        <v>0</v>
      </c>
      <c r="BU57" s="108">
        <f>Tabla3[[#This Row],[Monto3]]*75%</f>
        <v>0</v>
      </c>
      <c r="BV57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57" s="107" t="e">
        <f>VLOOKUP(Tabla3[[#This Row],[Nombre del Alumno]],'[3]BECAS COLEGIATURAS'!$I:$N,6,0)</f>
        <v>#N/A</v>
      </c>
      <c r="BX57" s="107" t="e">
        <f>VLOOKUP(Tabla3[[#This Row],[Nombre del Alumno]],[1]!Tabla1[[NOMBRE DEL ALUMNO]:[MATRIZ]],6,0)</f>
        <v>#REF!</v>
      </c>
      <c r="BY57" s="107" t="e">
        <f>VLOOKUP(Tabla3[[#This Row],[Nombre del Alumno]],'[3]BECAS COLEGIATURAS'!$I:$L,4,0)</f>
        <v>#N/A</v>
      </c>
      <c r="BZ57" s="108" t="e">
        <f>VLOOKUP(Tabla3[[#This Row],[Grado 18-19]],[2]Cuotas!$Q:$U,2,0)</f>
        <v>#N/A</v>
      </c>
      <c r="CA57" s="108" t="e">
        <f>VLOOKUP(Tabla3[[#This Row],[Grado 18-19]],[2]Cuotas!$Q:$U,3,0)</f>
        <v>#N/A</v>
      </c>
      <c r="CB57" s="108" t="e">
        <f>VLOOKUP(Tabla3[[#This Row],[Grado 18-19]],[2]Cuotas!$Q:$U,4,0)</f>
        <v>#N/A</v>
      </c>
      <c r="CC57" s="107">
        <v>0</v>
      </c>
      <c r="CD57" s="222">
        <v>0.2</v>
      </c>
      <c r="CE57" s="218" t="e">
        <f>Tabla3[[#This Row],[Monto Colegiatura 2018-2019]]*Tabla3[[#This Row],[% AutorizadoBeca Colegiatura 18-19]]</f>
        <v>#N/A</v>
      </c>
      <c r="CF57" s="223"/>
      <c r="CG57" s="218" t="e">
        <f>Tabla3[[#This Row],[Monto Colegiatura 2018-2019]]*Tabla3[[#This Row],[% Beca Prestacion 18-19]]</f>
        <v>#N/A</v>
      </c>
      <c r="CH57" s="223"/>
      <c r="CI57" s="218" t="e">
        <f>Tabla3[[#This Row],[Canasta 2018-2019]]*Tabla3[[#This Row],[% Beca Canasta 18-19]]</f>
        <v>#N/A</v>
      </c>
      <c r="CJ57" s="223"/>
      <c r="CK57" s="218" t="e">
        <f>Tabla3[[#This Row],[Reinscripción 2019-2020]]*Tabla3[[#This Row],[% Beca Reinscripciones 19-20]]</f>
        <v>#N/A</v>
      </c>
      <c r="CL57" s="218" t="e">
        <f>Tabla3[[#This Row],[Cantidad Beca Comunidad Colegiatura 18-19]]*25%</f>
        <v>#N/A</v>
      </c>
      <c r="CM57" s="224" t="e">
        <f>Tabla3[[#This Row],[Cantidad Beca Reinscripciones Comunidad 19-20]]*25%</f>
        <v>#N/A</v>
      </c>
      <c r="CN57" s="222"/>
      <c r="CO57" s="218" t="e">
        <f>Tabla3[[#This Row],[Monto Colegiatura 2018-2019]]*Tabla3[[#This Row],[% Beca UNAM 18-19]]</f>
        <v>#N/A</v>
      </c>
      <c r="CP57" s="225"/>
      <c r="CQ57" s="224">
        <f>3328*Tabla3[[#This Row],[% Beca Reinscripciones UNAM 18-19]]</f>
        <v>0</v>
      </c>
      <c r="CR57" s="226" t="e">
        <f>Tabla3[[#This Row],[Cantidad Beca Colegiatura 18-19]]+Tabla3[[#This Row],[Cantidad Beca Canasta 18-19]]+Tabla3[[#This Row],[Cantidad Beca Reinscripciones 19-20]]</f>
        <v>#N/A</v>
      </c>
      <c r="CS57" s="222"/>
      <c r="CT57" s="218" t="e">
        <f>Tabla3[[#This Row],[Monto Colegiatura 2018-2019]]*Tabla3[[#This Row],[% Beca Comunidad 18-19]]</f>
        <v>#N/A</v>
      </c>
      <c r="CU57" s="218" t="e">
        <f>Tabla3[[#This Row],[Cantidad Beca Comunidad Colegiatura 18-19]]*75%</f>
        <v>#N/A</v>
      </c>
      <c r="CV57" s="223"/>
      <c r="CW57" s="218" t="e">
        <f>Tabla3[[#This Row],[Reinscripción 2019-2020]]*Tabla3[[#This Row],[% Beca Reinscripciones Comunidad 19-20]]</f>
        <v>#N/A</v>
      </c>
      <c r="CX57" s="218" t="e">
        <f>Tabla3[[#This Row],[Cantidad Beca Reinscripciones Comunidad 19-20]]*75%</f>
        <v>#N/A</v>
      </c>
      <c r="CY57" s="227" t="e">
        <f>Tabla3[[#This Row],[75% Cantidad Beca Comunidad Colegiatura 18-19]]+Tabla3[[#This Row],[75% Cantidad Beca Reinscripciones 19-20]]</f>
        <v>#N/A</v>
      </c>
      <c r="CZ57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57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57" s="108">
        <f>1440*(Tabla3[[#This Row],[% AutorizadoBeca Colegiatura 18-19]]+Tabla3[[#This Row],[% Beca Prestacion 18-19]]+Tabla3[[#This Row],[% Beca UNAM 18-19]]+Tabla3[[#This Row],[% Beca Comunidad 18-19]])</f>
        <v>288</v>
      </c>
    </row>
    <row r="58" spans="2:106" ht="15" customHeight="1" x14ac:dyDescent="0.2">
      <c r="B58" s="107" t="s">
        <v>502</v>
      </c>
      <c r="C58" s="107" t="e">
        <f>VLOOKUP(Tabla3[[#This Row],[Nombre del Padre]],[1]!Tabla1[[PADRE]:[PADRE_CELULAR]],2,0)</f>
        <v>#REF!</v>
      </c>
      <c r="D58" s="107" t="e">
        <f>VLOOKUP(Tabla3[[#This Row],[Nombre del Padre]],[1]!Tabla1[[PADRE]:[PADRE_CELULAR]],3,0)</f>
        <v>#REF!</v>
      </c>
      <c r="E58" s="107" t="s">
        <v>503</v>
      </c>
      <c r="F58" s="107" t="e">
        <f>VLOOKUP(Tabla3[[#This Row],[Nombre de la Madre]],[1]!Tabla1[[MADRE]:[MADRE_TELEFONO]],2,0)</f>
        <v>#REF!</v>
      </c>
      <c r="G58" s="202" t="e">
        <f>VLOOKUP(Tabla3[[#This Row],[Nombre de la Madre]],[1]!Tabla1[[MADRE]:[MADRE_TELEFONO]],3,0)</f>
        <v>#REF!</v>
      </c>
      <c r="H58" s="233"/>
      <c r="I58" s="246">
        <v>2100</v>
      </c>
      <c r="J58" s="246" t="s">
        <v>504</v>
      </c>
      <c r="K58" s="246" t="s">
        <v>420</v>
      </c>
      <c r="L58" s="204" t="s">
        <v>508</v>
      </c>
      <c r="M58" s="205" t="s">
        <v>509</v>
      </c>
      <c r="N58" s="204" t="s">
        <v>336</v>
      </c>
      <c r="O58" s="206" t="e">
        <f>VLOOKUP(Tabla3[[#This Row],[Grado]],[2]Cuotas!$A:$E,2,0)</f>
        <v>#N/A</v>
      </c>
      <c r="P58" s="206" t="e">
        <f>VLOOKUP(Tabla3[[#This Row],[Grado]],[2]Cuotas!$A:$E,4,0)</f>
        <v>#N/A</v>
      </c>
      <c r="Q58" s="206" t="e">
        <f>VLOOKUP(Tabla3[[#This Row],[Grado]],[2]Cuotas!$A:$E,3,0)</f>
        <v>#N/A</v>
      </c>
      <c r="R58" s="207">
        <v>0.37880000000000003</v>
      </c>
      <c r="S58" s="206" t="e">
        <f>Tabla3[[#This Row],[Monto Colegiatura]]*Tabla3[[#This Row],[% Beca Colegio 16-17]]</f>
        <v>#N/A</v>
      </c>
      <c r="T58" s="206"/>
      <c r="U58" s="206" t="e">
        <f>Tabla3[[#This Row],[Monto Colegiatura]]*Tabla3[[#This Row],[% Beca Prestación 16-17]]</f>
        <v>#N/A</v>
      </c>
      <c r="V58" s="208"/>
      <c r="W58" s="206" t="e">
        <f>Tabla3[[#This Row],[Monto Colegiatura]]*Tabla3[[#This Row],[% Beca Comunidad 16-17]]</f>
        <v>#N/A</v>
      </c>
      <c r="X58" s="206" t="e">
        <f>Tabla3[[#This Row],[Cantidad Beca Comunidad 16-17]]*25%</f>
        <v>#N/A</v>
      </c>
      <c r="Y58" s="206"/>
      <c r="Z58" s="206" t="e">
        <f>Tabla3[[#This Row],[Monto Colegiatura]]*Tabla3[[#This Row],[% Beca UNAM 16-17]]</f>
        <v>#N/A</v>
      </c>
      <c r="AA58" s="208"/>
      <c r="AB58" s="206" t="e">
        <f>Tabla3[[#This Row],[Monto Reinscripción]]*Tabla3[[#This Row],[% Beca Reinscripción 16-17]]</f>
        <v>#N/A</v>
      </c>
      <c r="AC58" s="206"/>
      <c r="AD58" s="206" t="e">
        <f>Tabla3[[#This Row],[Monto Canasta]]*Tabla3[[#This Row],[% Beca Canasta 16-17]]</f>
        <v>#N/A</v>
      </c>
      <c r="AE58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58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58" s="209" t="e">
        <f>VLOOKUP(Tabla3[[#This Row],[Nombre del Alumno]],[2]!Tabla1[[Alumno]:[Cuenta Ciclos]],2,0)</f>
        <v>#REF!</v>
      </c>
      <c r="AH58" s="210" t="s">
        <v>510</v>
      </c>
      <c r="AI58" s="211" t="s">
        <v>338</v>
      </c>
      <c r="AJ58" s="206" t="e">
        <f>VLOOKUP(Tabla3[[#This Row],[Grado 17-18]],[2]Cuotas!$H:$L,2,0)</f>
        <v>#N/A</v>
      </c>
      <c r="AK58" s="206" t="e">
        <f>VLOOKUP(Tabla3[[#This Row],[Grado 17-18]],[2]Cuotas!$H:$L,3,0)</f>
        <v>#N/A</v>
      </c>
      <c r="AL58" s="206" t="e">
        <f>VLOOKUP(Tabla3[[#This Row],[Grado 17-18]],[2]Cuotas!$H:$L,4,0)</f>
        <v>#N/A</v>
      </c>
      <c r="AM58" s="229">
        <v>0.4</v>
      </c>
      <c r="AN58" s="213">
        <v>0.2</v>
      </c>
      <c r="AO58" s="206" t="e">
        <f>Tabla3[[#This Row],[Monto Colegiatura ]]*Tabla3[[#This Row],[% AutorizadoBeca Colegiatura 17-18]]</f>
        <v>#N/A</v>
      </c>
      <c r="AP58" s="208"/>
      <c r="AQ58" s="206" t="e">
        <f>Tabla3[[#This Row],[Monto Colegiatura ]]*Tabla3[[#This Row],[% Beca Prestacion 17-18]]</f>
        <v>#N/A</v>
      </c>
      <c r="AR58" s="208"/>
      <c r="AS58" s="206" t="e">
        <f>Tabla3[[#This Row],[Canasta]]*Tabla3[[#This Row],[% Beca Canasta 17-18]]</f>
        <v>#N/A</v>
      </c>
      <c r="AT58" s="208"/>
      <c r="AU58" s="214">
        <v>0</v>
      </c>
      <c r="AV58" s="206" t="e">
        <f>Tabla3[[#This Row],[Cantidad Beca Comunidad Colegiatura 17-18]]*25%</f>
        <v>#N/A</v>
      </c>
      <c r="AW58" s="206"/>
      <c r="AX58" s="215"/>
      <c r="AY58" s="206" t="e">
        <f>Tabla3[[#This Row],[Monto Colegiatura ]]*Tabla3[[#This Row],[% Beca UNAM 17-18]]</f>
        <v>#N/A</v>
      </c>
      <c r="AZ58" s="206"/>
      <c r="BA58" s="216">
        <f>3200*Tabla3[[#This Row],[% Beca Reinscripciones UNAM 17-18]]</f>
        <v>0</v>
      </c>
      <c r="BB58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58" s="231"/>
      <c r="BD58" s="218" t="e">
        <f>Tabla3[[#This Row],[Monto Colegiatura ]]*Tabla3[[#This Row],[% Beca Comunidad 17-18]]</f>
        <v>#N/A</v>
      </c>
      <c r="BE58" s="218" t="e">
        <f>Tabla3[[#This Row],[Cantidad Beca Comunidad Colegiatura 17-18]]*75%</f>
        <v>#N/A</v>
      </c>
      <c r="BF58" s="219"/>
      <c r="BG58" s="218" t="e">
        <f>Tabla3[[#This Row],[Reinscripción]]*Tabla3[[#This Row],[% Beca Reinscripciones Comunidad 18-19]]</f>
        <v>#N/A</v>
      </c>
      <c r="BH58" s="218" t="e">
        <f>Tabla3[[#This Row],[Cantidad Beca Reinscripciones Comunidad 18-19]]*70%</f>
        <v>#N/A</v>
      </c>
      <c r="BI58" s="216" t="e">
        <f>Tabla3[[#This Row],[75% Cantidad Beca Comunidad Colegiatura 17-18]]+Tabla3[[#This Row],[70% Cantidad Beca Reinscripciones 18-19]]</f>
        <v>#N/A</v>
      </c>
      <c r="BJ58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58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58" s="220"/>
      <c r="BM58" s="204"/>
      <c r="BN58" s="221"/>
      <c r="BO58" s="107"/>
      <c r="BP58" s="107">
        <f>Tabla3[[#This Row],[% AutorizadoBeca Colegiatura 17-18]]+Tabla3[[#This Row],[% Beca Prestacion 17-18]]+Tabla3[[#This Row],[% Beca UNAM 17-18]]</f>
        <v>0.2</v>
      </c>
      <c r="BQ58" s="108">
        <f t="shared" si="0"/>
        <v>229.4</v>
      </c>
      <c r="BR58" s="107">
        <f>Tabla3[[#This Row],[% Beca Comunidad 17-18]]</f>
        <v>0</v>
      </c>
      <c r="BS58" s="108">
        <f t="shared" si="1"/>
        <v>0</v>
      </c>
      <c r="BT58" s="108">
        <f t="shared" si="2"/>
        <v>0</v>
      </c>
      <c r="BU58" s="108">
        <f>Tabla3[[#This Row],[Monto3]]*75%</f>
        <v>0</v>
      </c>
      <c r="BV58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58" s="107" t="e">
        <f>VLOOKUP(Tabla3[[#This Row],[Nombre del Alumno]],'[3]BECAS COLEGIATURAS'!$I:$N,6,0)</f>
        <v>#N/A</v>
      </c>
      <c r="BX58" s="107" t="e">
        <f>VLOOKUP(Tabla3[[#This Row],[Nombre del Alumno]],[1]!Tabla1[[NOMBRE DEL ALUMNO]:[MATRIZ]],6,0)</f>
        <v>#REF!</v>
      </c>
      <c r="BY58" s="107" t="e">
        <f>VLOOKUP(Tabla3[[#This Row],[Nombre del Alumno]],'[3]BECAS COLEGIATURAS'!$I:$L,4,0)</f>
        <v>#N/A</v>
      </c>
      <c r="BZ58" s="108" t="e">
        <f>VLOOKUP(Tabla3[[#This Row],[Grado 18-19]],[2]Cuotas!$Q:$U,2,0)</f>
        <v>#N/A</v>
      </c>
      <c r="CA58" s="108" t="e">
        <f>VLOOKUP(Tabla3[[#This Row],[Grado 18-19]],[2]Cuotas!$Q:$U,3,0)</f>
        <v>#N/A</v>
      </c>
      <c r="CB58" s="108" t="e">
        <f>VLOOKUP(Tabla3[[#This Row],[Grado 18-19]],[2]Cuotas!$Q:$U,4,0)</f>
        <v>#N/A</v>
      </c>
      <c r="CC58" s="107">
        <v>0</v>
      </c>
      <c r="CD58" s="222">
        <v>0.2</v>
      </c>
      <c r="CE58" s="218" t="e">
        <f>Tabla3[[#This Row],[Monto Colegiatura 2018-2019]]*Tabla3[[#This Row],[% AutorizadoBeca Colegiatura 18-19]]</f>
        <v>#N/A</v>
      </c>
      <c r="CF58" s="223"/>
      <c r="CG58" s="218" t="e">
        <f>Tabla3[[#This Row],[Monto Colegiatura 2018-2019]]*Tabla3[[#This Row],[% Beca Prestacion 18-19]]</f>
        <v>#N/A</v>
      </c>
      <c r="CH58" s="223"/>
      <c r="CI58" s="218" t="e">
        <f>Tabla3[[#This Row],[Canasta 2018-2019]]*Tabla3[[#This Row],[% Beca Canasta 18-19]]</f>
        <v>#N/A</v>
      </c>
      <c r="CJ58" s="223"/>
      <c r="CK58" s="218" t="e">
        <f>Tabla3[[#This Row],[Reinscripción 2019-2020]]*Tabla3[[#This Row],[% Beca Reinscripciones 19-20]]</f>
        <v>#N/A</v>
      </c>
      <c r="CL58" s="218" t="e">
        <f>Tabla3[[#This Row],[Cantidad Beca Comunidad Colegiatura 18-19]]*25%</f>
        <v>#N/A</v>
      </c>
      <c r="CM58" s="224" t="e">
        <f>Tabla3[[#This Row],[Cantidad Beca Reinscripciones Comunidad 19-20]]*25%</f>
        <v>#N/A</v>
      </c>
      <c r="CN58" s="222"/>
      <c r="CO58" s="218" t="e">
        <f>Tabla3[[#This Row],[Monto Colegiatura 2018-2019]]*Tabla3[[#This Row],[% Beca UNAM 18-19]]</f>
        <v>#N/A</v>
      </c>
      <c r="CP58" s="225"/>
      <c r="CQ58" s="224">
        <f>3328*Tabla3[[#This Row],[% Beca Reinscripciones UNAM 18-19]]</f>
        <v>0</v>
      </c>
      <c r="CR58" s="226" t="e">
        <f>Tabla3[[#This Row],[Cantidad Beca Colegiatura 18-19]]+Tabla3[[#This Row],[Cantidad Beca Canasta 18-19]]+Tabla3[[#This Row],[Cantidad Beca Reinscripciones 19-20]]</f>
        <v>#N/A</v>
      </c>
      <c r="CS58" s="222"/>
      <c r="CT58" s="218" t="e">
        <f>Tabla3[[#This Row],[Monto Colegiatura 2018-2019]]*Tabla3[[#This Row],[% Beca Comunidad 18-19]]</f>
        <v>#N/A</v>
      </c>
      <c r="CU58" s="218" t="e">
        <f>Tabla3[[#This Row],[Cantidad Beca Comunidad Colegiatura 18-19]]*75%</f>
        <v>#N/A</v>
      </c>
      <c r="CV58" s="223"/>
      <c r="CW58" s="218" t="e">
        <f>Tabla3[[#This Row],[Reinscripción 2019-2020]]*Tabla3[[#This Row],[% Beca Reinscripciones Comunidad 19-20]]</f>
        <v>#N/A</v>
      </c>
      <c r="CX58" s="218" t="e">
        <f>Tabla3[[#This Row],[Cantidad Beca Reinscripciones Comunidad 19-20]]*75%</f>
        <v>#N/A</v>
      </c>
      <c r="CY58" s="227" t="e">
        <f>Tabla3[[#This Row],[75% Cantidad Beca Comunidad Colegiatura 18-19]]+Tabla3[[#This Row],[75% Cantidad Beca Reinscripciones 19-20]]</f>
        <v>#N/A</v>
      </c>
      <c r="CZ58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58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58" s="108">
        <f>1440*(Tabla3[[#This Row],[% AutorizadoBeca Colegiatura 18-19]]+Tabla3[[#This Row],[% Beca Prestacion 18-19]]+Tabla3[[#This Row],[% Beca UNAM 18-19]]+Tabla3[[#This Row],[% Beca Comunidad 18-19]])</f>
        <v>288</v>
      </c>
    </row>
    <row r="59" spans="2:106" ht="15" customHeight="1" x14ac:dyDescent="0.2">
      <c r="B59" s="107" t="s">
        <v>502</v>
      </c>
      <c r="C59" s="107" t="e">
        <f>VLOOKUP(Tabla3[[#This Row],[Nombre del Padre]],[1]!Tabla1[[PADRE]:[PADRE_CELULAR]],2,0)</f>
        <v>#REF!</v>
      </c>
      <c r="D59" s="107" t="e">
        <f>VLOOKUP(Tabla3[[#This Row],[Nombre del Padre]],[1]!Tabla1[[PADRE]:[PADRE_CELULAR]],3,0)</f>
        <v>#REF!</v>
      </c>
      <c r="E59" s="107" t="s">
        <v>503</v>
      </c>
      <c r="F59" s="107" t="e">
        <f>VLOOKUP(Tabla3[[#This Row],[Nombre de la Madre]],[1]!Tabla1[[MADRE]:[MADRE_TELEFONO]],2,0)</f>
        <v>#REF!</v>
      </c>
      <c r="G59" s="202" t="e">
        <f>VLOOKUP(Tabla3[[#This Row],[Nombre de la Madre]],[1]!Tabla1[[MADRE]:[MADRE_TELEFONO]],3,0)</f>
        <v>#REF!</v>
      </c>
      <c r="H59" s="228"/>
      <c r="I59" s="225">
        <v>2100</v>
      </c>
      <c r="J59" s="225" t="s">
        <v>504</v>
      </c>
      <c r="K59" s="225" t="s">
        <v>420</v>
      </c>
      <c r="L59" s="204" t="s">
        <v>511</v>
      </c>
      <c r="M59" s="205" t="s">
        <v>506</v>
      </c>
      <c r="N59" s="204" t="s">
        <v>284</v>
      </c>
      <c r="O59" s="206" t="e">
        <f>VLOOKUP(Tabla3[[#This Row],[Grado]],[2]Cuotas!$A:$E,2,0)</f>
        <v>#N/A</v>
      </c>
      <c r="P59" s="206" t="e">
        <f>VLOOKUP(Tabla3[[#This Row],[Grado]],[2]Cuotas!$A:$E,4,0)</f>
        <v>#N/A</v>
      </c>
      <c r="Q59" s="206" t="e">
        <f>VLOOKUP(Tabla3[[#This Row],[Grado]],[2]Cuotas!$A:$E,3,0)</f>
        <v>#N/A</v>
      </c>
      <c r="R59" s="207">
        <v>0.37880000000000003</v>
      </c>
      <c r="S59" s="206" t="e">
        <f>Tabla3[[#This Row],[Monto Colegiatura]]*Tabla3[[#This Row],[% Beca Colegio 16-17]]</f>
        <v>#N/A</v>
      </c>
      <c r="T59" s="206"/>
      <c r="U59" s="206" t="e">
        <f>Tabla3[[#This Row],[Monto Colegiatura]]*Tabla3[[#This Row],[% Beca Prestación 16-17]]</f>
        <v>#N/A</v>
      </c>
      <c r="V59" s="208"/>
      <c r="W59" s="206" t="e">
        <f>Tabla3[[#This Row],[Monto Colegiatura]]*Tabla3[[#This Row],[% Beca Comunidad 16-17]]</f>
        <v>#N/A</v>
      </c>
      <c r="X59" s="206" t="e">
        <f>Tabla3[[#This Row],[Cantidad Beca Comunidad 16-17]]*25%</f>
        <v>#N/A</v>
      </c>
      <c r="Y59" s="206"/>
      <c r="Z59" s="206" t="e">
        <f>Tabla3[[#This Row],[Monto Colegiatura]]*Tabla3[[#This Row],[% Beca UNAM 16-17]]</f>
        <v>#N/A</v>
      </c>
      <c r="AA59" s="208"/>
      <c r="AB59" s="206" t="e">
        <f>Tabla3[[#This Row],[Monto Reinscripción]]*Tabla3[[#This Row],[% Beca Reinscripción 16-17]]</f>
        <v>#N/A</v>
      </c>
      <c r="AC59" s="206"/>
      <c r="AD59" s="206" t="e">
        <f>Tabla3[[#This Row],[Monto Canasta]]*Tabla3[[#This Row],[% Beca Canasta 16-17]]</f>
        <v>#N/A</v>
      </c>
      <c r="AE59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59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59" s="209" t="e">
        <f>VLOOKUP(Tabla3[[#This Row],[Nombre del Alumno]],[2]!Tabla1[[Alumno]:[Cuenta Ciclos]],2,0)</f>
        <v>#REF!</v>
      </c>
      <c r="AH59" s="210" t="s">
        <v>507</v>
      </c>
      <c r="AI59" s="211" t="s">
        <v>330</v>
      </c>
      <c r="AJ59" s="206" t="e">
        <f>VLOOKUP(Tabla3[[#This Row],[Grado 17-18]],[2]Cuotas!$H:$L,2,0)</f>
        <v>#N/A</v>
      </c>
      <c r="AK59" s="206" t="e">
        <f>VLOOKUP(Tabla3[[#This Row],[Grado 17-18]],[2]Cuotas!$H:$L,3,0)</f>
        <v>#N/A</v>
      </c>
      <c r="AL59" s="206" t="e">
        <f>VLOOKUP(Tabla3[[#This Row],[Grado 17-18]],[2]Cuotas!$H:$L,4,0)</f>
        <v>#N/A</v>
      </c>
      <c r="AM59" s="229">
        <v>0.4</v>
      </c>
      <c r="AN59" s="213">
        <v>0.2</v>
      </c>
      <c r="AO59" s="206" t="e">
        <f>Tabla3[[#This Row],[Monto Colegiatura ]]*Tabla3[[#This Row],[% AutorizadoBeca Colegiatura 17-18]]</f>
        <v>#N/A</v>
      </c>
      <c r="AP59" s="208"/>
      <c r="AQ59" s="206" t="e">
        <f>Tabla3[[#This Row],[Monto Colegiatura ]]*Tabla3[[#This Row],[% Beca Prestacion 17-18]]</f>
        <v>#N/A</v>
      </c>
      <c r="AR59" s="208"/>
      <c r="AS59" s="206" t="e">
        <f>Tabla3[[#This Row],[Canasta]]*Tabla3[[#This Row],[% Beca Canasta 17-18]]</f>
        <v>#N/A</v>
      </c>
      <c r="AT59" s="208"/>
      <c r="AU59" s="214">
        <v>0</v>
      </c>
      <c r="AV59" s="206" t="e">
        <f>Tabla3[[#This Row],[Cantidad Beca Comunidad Colegiatura 17-18]]*25%</f>
        <v>#N/A</v>
      </c>
      <c r="AW59" s="206"/>
      <c r="AX59" s="215"/>
      <c r="AY59" s="206" t="e">
        <f>Tabla3[[#This Row],[Monto Colegiatura ]]*Tabla3[[#This Row],[% Beca UNAM 17-18]]</f>
        <v>#N/A</v>
      </c>
      <c r="AZ59" s="206"/>
      <c r="BA59" s="216">
        <f>3200*Tabla3[[#This Row],[% Beca Reinscripciones UNAM 17-18]]</f>
        <v>0</v>
      </c>
      <c r="BB59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59" s="231"/>
      <c r="BD59" s="218" t="e">
        <f>Tabla3[[#This Row],[Monto Colegiatura ]]*Tabla3[[#This Row],[% Beca Comunidad 17-18]]</f>
        <v>#N/A</v>
      </c>
      <c r="BE59" s="218" t="e">
        <f>Tabla3[[#This Row],[Cantidad Beca Comunidad Colegiatura 17-18]]*75%</f>
        <v>#N/A</v>
      </c>
      <c r="BF59" s="219"/>
      <c r="BG59" s="218" t="e">
        <f>Tabla3[[#This Row],[Reinscripción]]*Tabla3[[#This Row],[% Beca Reinscripciones Comunidad 18-19]]</f>
        <v>#N/A</v>
      </c>
      <c r="BH59" s="218" t="e">
        <f>Tabla3[[#This Row],[Cantidad Beca Reinscripciones Comunidad 18-19]]*70%</f>
        <v>#N/A</v>
      </c>
      <c r="BI59" s="216" t="e">
        <f>Tabla3[[#This Row],[75% Cantidad Beca Comunidad Colegiatura 17-18]]+Tabla3[[#This Row],[70% Cantidad Beca Reinscripciones 18-19]]</f>
        <v>#N/A</v>
      </c>
      <c r="BJ59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59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59" s="220"/>
      <c r="BM59" s="204"/>
      <c r="BN59" s="221"/>
      <c r="BO59" s="107"/>
      <c r="BP59" s="107">
        <f>Tabla3[[#This Row],[% AutorizadoBeca Colegiatura 17-18]]+Tabla3[[#This Row],[% Beca Prestacion 17-18]]+Tabla3[[#This Row],[% Beca UNAM 17-18]]</f>
        <v>0.2</v>
      </c>
      <c r="BQ59" s="108">
        <f t="shared" si="0"/>
        <v>229.4</v>
      </c>
      <c r="BR59" s="107">
        <f>Tabla3[[#This Row],[% Beca Comunidad 17-18]]</f>
        <v>0</v>
      </c>
      <c r="BS59" s="108">
        <f t="shared" si="1"/>
        <v>0</v>
      </c>
      <c r="BT59" s="108">
        <f t="shared" si="2"/>
        <v>0</v>
      </c>
      <c r="BU59" s="108">
        <f>Tabla3[[#This Row],[Monto3]]*75%</f>
        <v>0</v>
      </c>
      <c r="BV59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59" s="107" t="e">
        <f>VLOOKUP(Tabla3[[#This Row],[Nombre del Alumno]],'[3]BECAS COLEGIATURAS'!$I:$N,6,0)</f>
        <v>#N/A</v>
      </c>
      <c r="BX59" s="107" t="e">
        <f>VLOOKUP(Tabla3[[#This Row],[Nombre del Alumno]],[1]!Tabla1[[NOMBRE DEL ALUMNO]:[MATRIZ]],6,0)</f>
        <v>#REF!</v>
      </c>
      <c r="BY59" s="107" t="e">
        <f>VLOOKUP(Tabla3[[#This Row],[Nombre del Alumno]],'[3]BECAS COLEGIATURAS'!$I:$L,4,0)</f>
        <v>#N/A</v>
      </c>
      <c r="BZ59" s="108" t="e">
        <f>VLOOKUP(Tabla3[[#This Row],[Grado 18-19]],[2]Cuotas!$Q:$U,2,0)</f>
        <v>#N/A</v>
      </c>
      <c r="CA59" s="108" t="e">
        <f>VLOOKUP(Tabla3[[#This Row],[Grado 18-19]],[2]Cuotas!$Q:$U,3,0)</f>
        <v>#N/A</v>
      </c>
      <c r="CB59" s="108" t="e">
        <f>VLOOKUP(Tabla3[[#This Row],[Grado 18-19]],[2]Cuotas!$Q:$U,4,0)</f>
        <v>#N/A</v>
      </c>
      <c r="CC59" s="107">
        <v>0</v>
      </c>
      <c r="CD59" s="222">
        <v>0.2</v>
      </c>
      <c r="CE59" s="218" t="e">
        <f>Tabla3[[#This Row],[Monto Colegiatura 2018-2019]]*Tabla3[[#This Row],[% AutorizadoBeca Colegiatura 18-19]]</f>
        <v>#N/A</v>
      </c>
      <c r="CF59" s="223"/>
      <c r="CG59" s="218" t="e">
        <f>Tabla3[[#This Row],[Monto Colegiatura 2018-2019]]*Tabla3[[#This Row],[% Beca Prestacion 18-19]]</f>
        <v>#N/A</v>
      </c>
      <c r="CH59" s="223"/>
      <c r="CI59" s="218" t="e">
        <f>Tabla3[[#This Row],[Canasta 2018-2019]]*Tabla3[[#This Row],[% Beca Canasta 18-19]]</f>
        <v>#N/A</v>
      </c>
      <c r="CJ59" s="223"/>
      <c r="CK59" s="218" t="e">
        <f>Tabla3[[#This Row],[Reinscripción 2019-2020]]*Tabla3[[#This Row],[% Beca Reinscripciones 19-20]]</f>
        <v>#N/A</v>
      </c>
      <c r="CL59" s="218" t="e">
        <f>Tabla3[[#This Row],[Cantidad Beca Comunidad Colegiatura 18-19]]*25%</f>
        <v>#N/A</v>
      </c>
      <c r="CM59" s="224" t="e">
        <f>Tabla3[[#This Row],[Cantidad Beca Reinscripciones Comunidad 19-20]]*25%</f>
        <v>#N/A</v>
      </c>
      <c r="CN59" s="222"/>
      <c r="CO59" s="218" t="e">
        <f>Tabla3[[#This Row],[Monto Colegiatura 2018-2019]]*Tabla3[[#This Row],[% Beca UNAM 18-19]]</f>
        <v>#N/A</v>
      </c>
      <c r="CP59" s="225"/>
      <c r="CQ59" s="224">
        <f>3328*Tabla3[[#This Row],[% Beca Reinscripciones UNAM 18-19]]</f>
        <v>0</v>
      </c>
      <c r="CR59" s="226" t="e">
        <f>Tabla3[[#This Row],[Cantidad Beca Colegiatura 18-19]]+Tabla3[[#This Row],[Cantidad Beca Canasta 18-19]]+Tabla3[[#This Row],[Cantidad Beca Reinscripciones 19-20]]</f>
        <v>#N/A</v>
      </c>
      <c r="CS59" s="222"/>
      <c r="CT59" s="218" t="e">
        <f>Tabla3[[#This Row],[Monto Colegiatura 2018-2019]]*Tabla3[[#This Row],[% Beca Comunidad 18-19]]</f>
        <v>#N/A</v>
      </c>
      <c r="CU59" s="218" t="e">
        <f>Tabla3[[#This Row],[Cantidad Beca Comunidad Colegiatura 18-19]]*75%</f>
        <v>#N/A</v>
      </c>
      <c r="CV59" s="223"/>
      <c r="CW59" s="218" t="e">
        <f>Tabla3[[#This Row],[Reinscripción 2019-2020]]*Tabla3[[#This Row],[% Beca Reinscripciones Comunidad 19-20]]</f>
        <v>#N/A</v>
      </c>
      <c r="CX59" s="218" t="e">
        <f>Tabla3[[#This Row],[Cantidad Beca Reinscripciones Comunidad 19-20]]*75%</f>
        <v>#N/A</v>
      </c>
      <c r="CY59" s="227" t="e">
        <f>Tabla3[[#This Row],[75% Cantidad Beca Comunidad Colegiatura 18-19]]+Tabla3[[#This Row],[75% Cantidad Beca Reinscripciones 19-20]]</f>
        <v>#N/A</v>
      </c>
      <c r="CZ59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59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59" s="108">
        <f>1440*(Tabla3[[#This Row],[% AutorizadoBeca Colegiatura 18-19]]+Tabla3[[#This Row],[% Beca Prestacion 18-19]]+Tabla3[[#This Row],[% Beca UNAM 18-19]]+Tabla3[[#This Row],[% Beca Comunidad 18-19]])</f>
        <v>288</v>
      </c>
    </row>
    <row r="60" spans="2:106" ht="15" customHeight="1" x14ac:dyDescent="0.2">
      <c r="B60" s="107" t="s">
        <v>502</v>
      </c>
      <c r="C60" s="107" t="e">
        <f>VLOOKUP(Tabla3[[#This Row],[Nombre del Padre]],[1]!Tabla1[[PADRE]:[PADRE_CELULAR]],2,0)</f>
        <v>#REF!</v>
      </c>
      <c r="D60" s="107" t="e">
        <f>VLOOKUP(Tabla3[[#This Row],[Nombre del Padre]],[1]!Tabla1[[PADRE]:[PADRE_CELULAR]],3,0)</f>
        <v>#REF!</v>
      </c>
      <c r="E60" s="107" t="s">
        <v>503</v>
      </c>
      <c r="F60" s="107" t="e">
        <f>VLOOKUP(Tabla3[[#This Row],[Nombre de la Madre]],[1]!Tabla1[[MADRE]:[MADRE_TELEFONO]],2,0)</f>
        <v>#REF!</v>
      </c>
      <c r="G60" s="202" t="e">
        <f>VLOOKUP(Tabla3[[#This Row],[Nombre de la Madre]],[1]!Tabla1[[MADRE]:[MADRE_TELEFONO]],3,0)</f>
        <v>#REF!</v>
      </c>
      <c r="H60" s="230"/>
      <c r="I60" s="225">
        <v>2100</v>
      </c>
      <c r="J60" s="225" t="s">
        <v>504</v>
      </c>
      <c r="K60" s="225" t="s">
        <v>420</v>
      </c>
      <c r="L60" s="204" t="s">
        <v>512</v>
      </c>
      <c r="M60" s="205" t="s">
        <v>506</v>
      </c>
      <c r="N60" s="204" t="s">
        <v>284</v>
      </c>
      <c r="O60" s="206" t="e">
        <f>VLOOKUP(Tabla3[[#This Row],[Grado]],[2]Cuotas!$A:$E,2,0)</f>
        <v>#N/A</v>
      </c>
      <c r="P60" s="206" t="e">
        <f>VLOOKUP(Tabla3[[#This Row],[Grado]],[2]Cuotas!$A:$E,4,0)</f>
        <v>#N/A</v>
      </c>
      <c r="Q60" s="206" t="e">
        <f>VLOOKUP(Tabla3[[#This Row],[Grado]],[2]Cuotas!$A:$E,3,0)</f>
        <v>#N/A</v>
      </c>
      <c r="R60" s="207">
        <v>0.37880000000000003</v>
      </c>
      <c r="S60" s="206" t="e">
        <f>Tabla3[[#This Row],[Monto Colegiatura]]*Tabla3[[#This Row],[% Beca Colegio 16-17]]</f>
        <v>#N/A</v>
      </c>
      <c r="T60" s="206"/>
      <c r="U60" s="206" t="e">
        <f>Tabla3[[#This Row],[Monto Colegiatura]]*Tabla3[[#This Row],[% Beca Prestación 16-17]]</f>
        <v>#N/A</v>
      </c>
      <c r="V60" s="208"/>
      <c r="W60" s="206" t="e">
        <f>Tabla3[[#This Row],[Monto Colegiatura]]*Tabla3[[#This Row],[% Beca Comunidad 16-17]]</f>
        <v>#N/A</v>
      </c>
      <c r="X60" s="206" t="e">
        <f>Tabla3[[#This Row],[Cantidad Beca Comunidad 16-17]]*25%</f>
        <v>#N/A</v>
      </c>
      <c r="Y60" s="206"/>
      <c r="Z60" s="206" t="e">
        <f>Tabla3[[#This Row],[Monto Colegiatura]]*Tabla3[[#This Row],[% Beca UNAM 16-17]]</f>
        <v>#N/A</v>
      </c>
      <c r="AA60" s="208"/>
      <c r="AB60" s="206" t="e">
        <f>Tabla3[[#This Row],[Monto Reinscripción]]*Tabla3[[#This Row],[% Beca Reinscripción 16-17]]</f>
        <v>#N/A</v>
      </c>
      <c r="AC60" s="206"/>
      <c r="AD60" s="206" t="e">
        <f>Tabla3[[#This Row],[Monto Canasta]]*Tabla3[[#This Row],[% Beca Canasta 16-17]]</f>
        <v>#N/A</v>
      </c>
      <c r="AE60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60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60" s="209" t="e">
        <f>VLOOKUP(Tabla3[[#This Row],[Nombre del Alumno]],[2]!Tabla1[[Alumno]:[Cuenta Ciclos]],2,0)</f>
        <v>#REF!</v>
      </c>
      <c r="AH60" s="210" t="s">
        <v>507</v>
      </c>
      <c r="AI60" s="211" t="s">
        <v>330</v>
      </c>
      <c r="AJ60" s="206" t="e">
        <f>VLOOKUP(Tabla3[[#This Row],[Grado 17-18]],[2]Cuotas!$H:$L,2,0)</f>
        <v>#N/A</v>
      </c>
      <c r="AK60" s="206" t="e">
        <f>VLOOKUP(Tabla3[[#This Row],[Grado 17-18]],[2]Cuotas!$H:$L,3,0)</f>
        <v>#N/A</v>
      </c>
      <c r="AL60" s="206" t="e">
        <f>VLOOKUP(Tabla3[[#This Row],[Grado 17-18]],[2]Cuotas!$H:$L,4,0)</f>
        <v>#N/A</v>
      </c>
      <c r="AM60" s="229">
        <v>0.4</v>
      </c>
      <c r="AN60" s="213">
        <v>0.2</v>
      </c>
      <c r="AO60" s="206" t="e">
        <f>Tabla3[[#This Row],[Monto Colegiatura ]]*Tabla3[[#This Row],[% AutorizadoBeca Colegiatura 17-18]]</f>
        <v>#N/A</v>
      </c>
      <c r="AP60" s="208"/>
      <c r="AQ60" s="206" t="e">
        <f>Tabla3[[#This Row],[Monto Colegiatura ]]*Tabla3[[#This Row],[% Beca Prestacion 17-18]]</f>
        <v>#N/A</v>
      </c>
      <c r="AR60" s="208"/>
      <c r="AS60" s="206" t="e">
        <f>Tabla3[[#This Row],[Canasta]]*Tabla3[[#This Row],[% Beca Canasta 17-18]]</f>
        <v>#N/A</v>
      </c>
      <c r="AT60" s="208"/>
      <c r="AU60" s="214">
        <v>0</v>
      </c>
      <c r="AV60" s="206" t="e">
        <f>Tabla3[[#This Row],[Cantidad Beca Comunidad Colegiatura 17-18]]*25%</f>
        <v>#N/A</v>
      </c>
      <c r="AW60" s="206"/>
      <c r="AX60" s="215"/>
      <c r="AY60" s="206" t="e">
        <f>Tabla3[[#This Row],[Monto Colegiatura ]]*Tabla3[[#This Row],[% Beca UNAM 17-18]]</f>
        <v>#N/A</v>
      </c>
      <c r="AZ60" s="206"/>
      <c r="BA60" s="216">
        <f>3200*Tabla3[[#This Row],[% Beca Reinscripciones UNAM 17-18]]</f>
        <v>0</v>
      </c>
      <c r="BB60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60" s="231"/>
      <c r="BD60" s="218" t="e">
        <f>Tabla3[[#This Row],[Monto Colegiatura ]]*Tabla3[[#This Row],[% Beca Comunidad 17-18]]</f>
        <v>#N/A</v>
      </c>
      <c r="BE60" s="218" t="e">
        <f>Tabla3[[#This Row],[Cantidad Beca Comunidad Colegiatura 17-18]]*75%</f>
        <v>#N/A</v>
      </c>
      <c r="BF60" s="219"/>
      <c r="BG60" s="218" t="e">
        <f>Tabla3[[#This Row],[Reinscripción]]*Tabla3[[#This Row],[% Beca Reinscripciones Comunidad 18-19]]</f>
        <v>#N/A</v>
      </c>
      <c r="BH60" s="218" t="e">
        <f>Tabla3[[#This Row],[Cantidad Beca Reinscripciones Comunidad 18-19]]*70%</f>
        <v>#N/A</v>
      </c>
      <c r="BI60" s="216" t="e">
        <f>Tabla3[[#This Row],[75% Cantidad Beca Comunidad Colegiatura 17-18]]+Tabla3[[#This Row],[70% Cantidad Beca Reinscripciones 18-19]]</f>
        <v>#N/A</v>
      </c>
      <c r="BJ60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60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60" s="220"/>
      <c r="BM60" s="204"/>
      <c r="BN60" s="221"/>
      <c r="BO60" s="107"/>
      <c r="BP60" s="107">
        <f>Tabla3[[#This Row],[% AutorizadoBeca Colegiatura 17-18]]+Tabla3[[#This Row],[% Beca Prestacion 17-18]]+Tabla3[[#This Row],[% Beca UNAM 17-18]]</f>
        <v>0.2</v>
      </c>
      <c r="BQ60" s="108">
        <f t="shared" si="0"/>
        <v>229.4</v>
      </c>
      <c r="BR60" s="107">
        <f>Tabla3[[#This Row],[% Beca Comunidad 17-18]]</f>
        <v>0</v>
      </c>
      <c r="BS60" s="108">
        <f t="shared" si="1"/>
        <v>0</v>
      </c>
      <c r="BT60" s="108">
        <f t="shared" si="2"/>
        <v>0</v>
      </c>
      <c r="BU60" s="108">
        <f>Tabla3[[#This Row],[Monto3]]*75%</f>
        <v>0</v>
      </c>
      <c r="BV60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60" s="107" t="e">
        <f>VLOOKUP(Tabla3[[#This Row],[Nombre del Alumno]],'[3]BECAS COLEGIATURAS'!$I:$N,6,0)</f>
        <v>#N/A</v>
      </c>
      <c r="BX60" s="107" t="e">
        <f>VLOOKUP(Tabla3[[#This Row],[Nombre del Alumno]],[1]!Tabla1[[NOMBRE DEL ALUMNO]:[MATRIZ]],6,0)</f>
        <v>#REF!</v>
      </c>
      <c r="BY60" s="107" t="e">
        <f>VLOOKUP(Tabla3[[#This Row],[Nombre del Alumno]],'[3]BECAS COLEGIATURAS'!$I:$L,4,0)</f>
        <v>#N/A</v>
      </c>
      <c r="BZ60" s="108" t="e">
        <f>VLOOKUP(Tabla3[[#This Row],[Grado 18-19]],[2]Cuotas!$Q:$U,2,0)</f>
        <v>#N/A</v>
      </c>
      <c r="CA60" s="108" t="e">
        <f>VLOOKUP(Tabla3[[#This Row],[Grado 18-19]],[2]Cuotas!$Q:$U,3,0)</f>
        <v>#N/A</v>
      </c>
      <c r="CB60" s="108" t="e">
        <f>VLOOKUP(Tabla3[[#This Row],[Grado 18-19]],[2]Cuotas!$Q:$U,4,0)</f>
        <v>#N/A</v>
      </c>
      <c r="CC60" s="107">
        <v>0</v>
      </c>
      <c r="CD60" s="222">
        <v>0.2</v>
      </c>
      <c r="CE60" s="218" t="e">
        <f>Tabla3[[#This Row],[Monto Colegiatura 2018-2019]]*Tabla3[[#This Row],[% AutorizadoBeca Colegiatura 18-19]]</f>
        <v>#N/A</v>
      </c>
      <c r="CF60" s="223"/>
      <c r="CG60" s="218" t="e">
        <f>Tabla3[[#This Row],[Monto Colegiatura 2018-2019]]*Tabla3[[#This Row],[% Beca Prestacion 18-19]]</f>
        <v>#N/A</v>
      </c>
      <c r="CH60" s="223"/>
      <c r="CI60" s="218" t="e">
        <f>Tabla3[[#This Row],[Canasta 2018-2019]]*Tabla3[[#This Row],[% Beca Canasta 18-19]]</f>
        <v>#N/A</v>
      </c>
      <c r="CJ60" s="223"/>
      <c r="CK60" s="218" t="e">
        <f>Tabla3[[#This Row],[Reinscripción 2019-2020]]*Tabla3[[#This Row],[% Beca Reinscripciones 19-20]]</f>
        <v>#N/A</v>
      </c>
      <c r="CL60" s="218" t="e">
        <f>Tabla3[[#This Row],[Cantidad Beca Comunidad Colegiatura 18-19]]*25%</f>
        <v>#N/A</v>
      </c>
      <c r="CM60" s="224" t="e">
        <f>Tabla3[[#This Row],[Cantidad Beca Reinscripciones Comunidad 19-20]]*25%</f>
        <v>#N/A</v>
      </c>
      <c r="CN60" s="222"/>
      <c r="CO60" s="218" t="e">
        <f>Tabla3[[#This Row],[Monto Colegiatura 2018-2019]]*Tabla3[[#This Row],[% Beca UNAM 18-19]]</f>
        <v>#N/A</v>
      </c>
      <c r="CP60" s="225"/>
      <c r="CQ60" s="224">
        <f>3328*Tabla3[[#This Row],[% Beca Reinscripciones UNAM 18-19]]</f>
        <v>0</v>
      </c>
      <c r="CR60" s="226" t="e">
        <f>Tabla3[[#This Row],[Cantidad Beca Colegiatura 18-19]]+Tabla3[[#This Row],[Cantidad Beca Canasta 18-19]]+Tabla3[[#This Row],[Cantidad Beca Reinscripciones 19-20]]</f>
        <v>#N/A</v>
      </c>
      <c r="CS60" s="222"/>
      <c r="CT60" s="218" t="e">
        <f>Tabla3[[#This Row],[Monto Colegiatura 2018-2019]]*Tabla3[[#This Row],[% Beca Comunidad 18-19]]</f>
        <v>#N/A</v>
      </c>
      <c r="CU60" s="218" t="e">
        <f>Tabla3[[#This Row],[Cantidad Beca Comunidad Colegiatura 18-19]]*75%</f>
        <v>#N/A</v>
      </c>
      <c r="CV60" s="223"/>
      <c r="CW60" s="218" t="e">
        <f>Tabla3[[#This Row],[Reinscripción 2019-2020]]*Tabla3[[#This Row],[% Beca Reinscripciones Comunidad 19-20]]</f>
        <v>#N/A</v>
      </c>
      <c r="CX60" s="218" t="e">
        <f>Tabla3[[#This Row],[Cantidad Beca Reinscripciones Comunidad 19-20]]*75%</f>
        <v>#N/A</v>
      </c>
      <c r="CY60" s="227" t="e">
        <f>Tabla3[[#This Row],[75% Cantidad Beca Comunidad Colegiatura 18-19]]+Tabla3[[#This Row],[75% Cantidad Beca Reinscripciones 19-20]]</f>
        <v>#N/A</v>
      </c>
      <c r="CZ60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60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60" s="108">
        <f>1440*(Tabla3[[#This Row],[% AutorizadoBeca Colegiatura 18-19]]+Tabla3[[#This Row],[% Beca Prestacion 18-19]]+Tabla3[[#This Row],[% Beca UNAM 18-19]]+Tabla3[[#This Row],[% Beca Comunidad 18-19]])</f>
        <v>288</v>
      </c>
    </row>
    <row r="61" spans="2:106" ht="15" customHeight="1" x14ac:dyDescent="0.2">
      <c r="B61" s="107" t="s">
        <v>502</v>
      </c>
      <c r="C61" s="107" t="e">
        <f>VLOOKUP(Tabla3[[#This Row],[Nombre del Padre]],[1]!Tabla1[[PADRE]:[PADRE_CELULAR]],2,0)</f>
        <v>#REF!</v>
      </c>
      <c r="D61" s="107" t="e">
        <f>VLOOKUP(Tabla3[[#This Row],[Nombre del Padre]],[1]!Tabla1[[PADRE]:[PADRE_CELULAR]],3,0)</f>
        <v>#REF!</v>
      </c>
      <c r="E61" s="107" t="s">
        <v>503</v>
      </c>
      <c r="F61" s="107" t="e">
        <f>VLOOKUP(Tabla3[[#This Row],[Nombre de la Madre]],[1]!Tabla1[[MADRE]:[MADRE_TELEFONO]],2,0)</f>
        <v>#REF!</v>
      </c>
      <c r="G61" s="202" t="e">
        <f>VLOOKUP(Tabla3[[#This Row],[Nombre de la Madre]],[1]!Tabla1[[MADRE]:[MADRE_TELEFONO]],3,0)</f>
        <v>#REF!</v>
      </c>
      <c r="H61" s="228"/>
      <c r="I61" s="225">
        <v>2100</v>
      </c>
      <c r="J61" s="225" t="s">
        <v>504</v>
      </c>
      <c r="K61" s="225" t="s">
        <v>420</v>
      </c>
      <c r="L61" s="204" t="s">
        <v>513</v>
      </c>
      <c r="M61" s="205" t="s">
        <v>514</v>
      </c>
      <c r="N61" s="204" t="s">
        <v>276</v>
      </c>
      <c r="O61" s="206" t="e">
        <f>VLOOKUP(Tabla3[[#This Row],[Grado]],[2]Cuotas!$A:$E,2,0)</f>
        <v>#N/A</v>
      </c>
      <c r="P61" s="206" t="e">
        <f>VLOOKUP(Tabla3[[#This Row],[Grado]],[2]Cuotas!$A:$E,4,0)</f>
        <v>#N/A</v>
      </c>
      <c r="Q61" s="206" t="e">
        <f>VLOOKUP(Tabla3[[#This Row],[Grado]],[2]Cuotas!$A:$E,3,0)</f>
        <v>#N/A</v>
      </c>
      <c r="R61" s="207">
        <v>0.37880000000000003</v>
      </c>
      <c r="S61" s="206" t="e">
        <f>Tabla3[[#This Row],[Monto Colegiatura]]*Tabla3[[#This Row],[% Beca Colegio 16-17]]</f>
        <v>#N/A</v>
      </c>
      <c r="T61" s="206"/>
      <c r="U61" s="206" t="e">
        <f>Tabla3[[#This Row],[Monto Colegiatura]]*Tabla3[[#This Row],[% Beca Prestación 16-17]]</f>
        <v>#N/A</v>
      </c>
      <c r="V61" s="208"/>
      <c r="W61" s="206" t="e">
        <f>Tabla3[[#This Row],[Monto Colegiatura]]*Tabla3[[#This Row],[% Beca Comunidad 16-17]]</f>
        <v>#N/A</v>
      </c>
      <c r="X61" s="206" t="e">
        <f>Tabla3[[#This Row],[Cantidad Beca Comunidad 16-17]]*25%</f>
        <v>#N/A</v>
      </c>
      <c r="Y61" s="206"/>
      <c r="Z61" s="206" t="e">
        <f>Tabla3[[#This Row],[Monto Colegiatura]]*Tabla3[[#This Row],[% Beca UNAM 16-17]]</f>
        <v>#N/A</v>
      </c>
      <c r="AA61" s="208"/>
      <c r="AB61" s="206" t="e">
        <f>Tabla3[[#This Row],[Monto Reinscripción]]*Tabla3[[#This Row],[% Beca Reinscripción 16-17]]</f>
        <v>#N/A</v>
      </c>
      <c r="AC61" s="206"/>
      <c r="AD61" s="206" t="e">
        <f>Tabla3[[#This Row],[Monto Canasta]]*Tabla3[[#This Row],[% Beca Canasta 16-17]]</f>
        <v>#N/A</v>
      </c>
      <c r="AE61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61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61" s="209" t="e">
        <f>VLOOKUP(Tabla3[[#This Row],[Nombre del Alumno]],[2]!Tabla1[[Alumno]:[Cuenta Ciclos]],2,0)</f>
        <v>#REF!</v>
      </c>
      <c r="AH61" s="210" t="s">
        <v>515</v>
      </c>
      <c r="AI61" s="211" t="s">
        <v>278</v>
      </c>
      <c r="AJ61" s="206" t="e">
        <f>VLOOKUP(Tabla3[[#This Row],[Grado 17-18]],[2]Cuotas!$H:$L,2,0)</f>
        <v>#N/A</v>
      </c>
      <c r="AK61" s="206" t="e">
        <f>VLOOKUP(Tabla3[[#This Row],[Grado 17-18]],[2]Cuotas!$H:$L,3,0)</f>
        <v>#N/A</v>
      </c>
      <c r="AL61" s="206" t="e">
        <f>VLOOKUP(Tabla3[[#This Row],[Grado 17-18]],[2]Cuotas!$H:$L,4,0)</f>
        <v>#N/A</v>
      </c>
      <c r="AM61" s="229">
        <v>0.4</v>
      </c>
      <c r="AN61" s="213">
        <v>0.2</v>
      </c>
      <c r="AO61" s="206" t="e">
        <f>Tabla3[[#This Row],[Monto Colegiatura ]]*Tabla3[[#This Row],[% AutorizadoBeca Colegiatura 17-18]]</f>
        <v>#N/A</v>
      </c>
      <c r="AP61" s="208"/>
      <c r="AQ61" s="206" t="e">
        <f>Tabla3[[#This Row],[Monto Colegiatura ]]*Tabla3[[#This Row],[% Beca Prestacion 17-18]]</f>
        <v>#N/A</v>
      </c>
      <c r="AR61" s="208"/>
      <c r="AS61" s="206" t="e">
        <f>Tabla3[[#This Row],[Canasta]]*Tabla3[[#This Row],[% Beca Canasta 17-18]]</f>
        <v>#N/A</v>
      </c>
      <c r="AT61" s="208"/>
      <c r="AU61" s="214">
        <v>0</v>
      </c>
      <c r="AV61" s="206" t="e">
        <f>Tabla3[[#This Row],[Cantidad Beca Comunidad Colegiatura 17-18]]*25%</f>
        <v>#N/A</v>
      </c>
      <c r="AW61" s="206"/>
      <c r="AX61" s="215"/>
      <c r="AY61" s="206" t="e">
        <f>Tabla3[[#This Row],[Monto Colegiatura ]]*Tabla3[[#This Row],[% Beca UNAM 17-18]]</f>
        <v>#N/A</v>
      </c>
      <c r="AZ61" s="206"/>
      <c r="BA61" s="216">
        <f>3200*Tabla3[[#This Row],[% Beca Reinscripciones UNAM 17-18]]</f>
        <v>0</v>
      </c>
      <c r="BB61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61" s="231"/>
      <c r="BD61" s="218" t="e">
        <f>Tabla3[[#This Row],[Monto Colegiatura ]]*Tabla3[[#This Row],[% Beca Comunidad 17-18]]</f>
        <v>#N/A</v>
      </c>
      <c r="BE61" s="218" t="e">
        <f>Tabla3[[#This Row],[Cantidad Beca Comunidad Colegiatura 17-18]]*75%</f>
        <v>#N/A</v>
      </c>
      <c r="BF61" s="219"/>
      <c r="BG61" s="218" t="e">
        <f>Tabla3[[#This Row],[Reinscripción]]*Tabla3[[#This Row],[% Beca Reinscripciones Comunidad 18-19]]</f>
        <v>#N/A</v>
      </c>
      <c r="BH61" s="218" t="e">
        <f>Tabla3[[#This Row],[Cantidad Beca Reinscripciones Comunidad 18-19]]*70%</f>
        <v>#N/A</v>
      </c>
      <c r="BI61" s="216" t="e">
        <f>Tabla3[[#This Row],[75% Cantidad Beca Comunidad Colegiatura 17-18]]+Tabla3[[#This Row],[70% Cantidad Beca Reinscripciones 18-19]]</f>
        <v>#N/A</v>
      </c>
      <c r="BJ61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61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61" s="220"/>
      <c r="BM61" s="204"/>
      <c r="BN61" s="221" t="s">
        <v>516</v>
      </c>
      <c r="BO61" s="107"/>
      <c r="BP61" s="107">
        <f>Tabla3[[#This Row],[% AutorizadoBeca Colegiatura 17-18]]+Tabla3[[#This Row],[% Beca Prestacion 17-18]]+Tabla3[[#This Row],[% Beca UNAM 17-18]]</f>
        <v>0.2</v>
      </c>
      <c r="BQ61" s="108">
        <f t="shared" si="0"/>
        <v>229.4</v>
      </c>
      <c r="BR61" s="107">
        <f>Tabla3[[#This Row],[% Beca Comunidad 17-18]]</f>
        <v>0</v>
      </c>
      <c r="BS61" s="108">
        <f t="shared" si="1"/>
        <v>0</v>
      </c>
      <c r="BT61" s="108">
        <f t="shared" si="2"/>
        <v>0</v>
      </c>
      <c r="BU61" s="108">
        <f>Tabla3[[#This Row],[Monto3]]*75%</f>
        <v>0</v>
      </c>
      <c r="BV61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61" s="107" t="e">
        <f>VLOOKUP(Tabla3[[#This Row],[Nombre del Alumno]],'[3]BECAS COLEGIATURAS'!$I:$N,6,0)</f>
        <v>#N/A</v>
      </c>
      <c r="BX61" s="107" t="e">
        <f>VLOOKUP(Tabla3[[#This Row],[Nombre del Alumno]],[1]!Tabla1[[NOMBRE DEL ALUMNO]:[MATRIZ]],6,0)</f>
        <v>#REF!</v>
      </c>
      <c r="BY61" s="107" t="e">
        <f>VLOOKUP(Tabla3[[#This Row],[Nombre del Alumno]],'[3]BECAS COLEGIATURAS'!$I:$L,4,0)</f>
        <v>#N/A</v>
      </c>
      <c r="BZ61" s="108" t="e">
        <f>VLOOKUP(Tabla3[[#This Row],[Grado 18-19]],[2]Cuotas!$Q:$U,2,0)</f>
        <v>#N/A</v>
      </c>
      <c r="CA61" s="108" t="e">
        <f>VLOOKUP(Tabla3[[#This Row],[Grado 18-19]],[2]Cuotas!$Q:$U,3,0)</f>
        <v>#N/A</v>
      </c>
      <c r="CB61" s="108" t="e">
        <f>VLOOKUP(Tabla3[[#This Row],[Grado 18-19]],[2]Cuotas!$Q:$U,4,0)</f>
        <v>#N/A</v>
      </c>
      <c r="CC61" s="107">
        <v>0</v>
      </c>
      <c r="CD61" s="222">
        <v>0.2</v>
      </c>
      <c r="CE61" s="218" t="e">
        <f>Tabla3[[#This Row],[Monto Colegiatura 2018-2019]]*Tabla3[[#This Row],[% AutorizadoBeca Colegiatura 18-19]]</f>
        <v>#N/A</v>
      </c>
      <c r="CF61" s="223"/>
      <c r="CG61" s="218" t="e">
        <f>Tabla3[[#This Row],[Monto Colegiatura 2018-2019]]*Tabla3[[#This Row],[% Beca Prestacion 18-19]]</f>
        <v>#N/A</v>
      </c>
      <c r="CH61" s="223"/>
      <c r="CI61" s="218" t="e">
        <f>Tabla3[[#This Row],[Canasta 2018-2019]]*Tabla3[[#This Row],[% Beca Canasta 18-19]]</f>
        <v>#N/A</v>
      </c>
      <c r="CJ61" s="223"/>
      <c r="CK61" s="218" t="e">
        <f>Tabla3[[#This Row],[Reinscripción 2019-2020]]*Tabla3[[#This Row],[% Beca Reinscripciones 19-20]]</f>
        <v>#N/A</v>
      </c>
      <c r="CL61" s="218" t="e">
        <f>Tabla3[[#This Row],[Cantidad Beca Comunidad Colegiatura 18-19]]*25%</f>
        <v>#N/A</v>
      </c>
      <c r="CM61" s="224" t="e">
        <f>Tabla3[[#This Row],[Cantidad Beca Reinscripciones Comunidad 19-20]]*25%</f>
        <v>#N/A</v>
      </c>
      <c r="CN61" s="222"/>
      <c r="CO61" s="218" t="e">
        <f>Tabla3[[#This Row],[Monto Colegiatura 2018-2019]]*Tabla3[[#This Row],[% Beca UNAM 18-19]]</f>
        <v>#N/A</v>
      </c>
      <c r="CP61" s="225"/>
      <c r="CQ61" s="224">
        <f>3328*Tabla3[[#This Row],[% Beca Reinscripciones UNAM 18-19]]</f>
        <v>0</v>
      </c>
      <c r="CR61" s="226" t="e">
        <f>Tabla3[[#This Row],[Cantidad Beca Colegiatura 18-19]]+Tabla3[[#This Row],[Cantidad Beca Canasta 18-19]]+Tabla3[[#This Row],[Cantidad Beca Reinscripciones 19-20]]</f>
        <v>#N/A</v>
      </c>
      <c r="CS61" s="222"/>
      <c r="CT61" s="218" t="e">
        <f>Tabla3[[#This Row],[Monto Colegiatura 2018-2019]]*Tabla3[[#This Row],[% Beca Comunidad 18-19]]</f>
        <v>#N/A</v>
      </c>
      <c r="CU61" s="218" t="e">
        <f>Tabla3[[#This Row],[Cantidad Beca Comunidad Colegiatura 18-19]]*75%</f>
        <v>#N/A</v>
      </c>
      <c r="CV61" s="223"/>
      <c r="CW61" s="218" t="e">
        <f>Tabla3[[#This Row],[Reinscripción 2019-2020]]*Tabla3[[#This Row],[% Beca Reinscripciones Comunidad 19-20]]</f>
        <v>#N/A</v>
      </c>
      <c r="CX61" s="218" t="e">
        <f>Tabla3[[#This Row],[Cantidad Beca Reinscripciones Comunidad 19-20]]*75%</f>
        <v>#N/A</v>
      </c>
      <c r="CY61" s="227" t="e">
        <f>Tabla3[[#This Row],[75% Cantidad Beca Comunidad Colegiatura 18-19]]+Tabla3[[#This Row],[75% Cantidad Beca Reinscripciones 19-20]]</f>
        <v>#N/A</v>
      </c>
      <c r="CZ61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61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61" s="108">
        <f>1440*(Tabla3[[#This Row],[% AutorizadoBeca Colegiatura 18-19]]+Tabla3[[#This Row],[% Beca Prestacion 18-19]]+Tabla3[[#This Row],[% Beca UNAM 18-19]]+Tabla3[[#This Row],[% Beca Comunidad 18-19]])</f>
        <v>288</v>
      </c>
    </row>
    <row r="62" spans="2:106" ht="15" customHeight="1" x14ac:dyDescent="0.2">
      <c r="B62" s="107" t="s">
        <v>517</v>
      </c>
      <c r="C62" s="107" t="e">
        <f>VLOOKUP(Tabla3[[#This Row],[Nombre del Padre]],[1]!Tabla1[[PADRE]:[PADRE_CELULAR]],2,0)</f>
        <v>#REF!</v>
      </c>
      <c r="D62" s="107" t="e">
        <f>VLOOKUP(Tabla3[[#This Row],[Nombre del Padre]],[1]!Tabla1[[PADRE]:[PADRE_CELULAR]],3,0)</f>
        <v>#REF!</v>
      </c>
      <c r="E62" s="107" t="s">
        <v>518</v>
      </c>
      <c r="F62" s="107" t="e">
        <f>VLOOKUP(Tabla3[[#This Row],[Nombre de la Madre]],[1]!Tabla1[[MADRE]:[MADRE_TELEFONO]],2,0)</f>
        <v>#REF!</v>
      </c>
      <c r="G62" s="202" t="e">
        <f>VLOOKUP(Tabla3[[#This Row],[Nombre de la Madre]],[1]!Tabla1[[MADRE]:[MADRE_TELEFONO]],3,0)</f>
        <v>#REF!</v>
      </c>
      <c r="H62" s="233">
        <v>35</v>
      </c>
      <c r="I62" s="204">
        <v>1803</v>
      </c>
      <c r="J62" s="204" t="s">
        <v>519</v>
      </c>
      <c r="K62" s="204" t="s">
        <v>273</v>
      </c>
      <c r="L62" s="204" t="s">
        <v>520</v>
      </c>
      <c r="M62" s="205"/>
      <c r="N62" s="204"/>
      <c r="O62" s="206"/>
      <c r="P62" s="206"/>
      <c r="Q62" s="206"/>
      <c r="R62" s="207"/>
      <c r="S62" s="206">
        <f>Tabla3[[#This Row],[Monto Colegiatura]]*Tabla3[[#This Row],[% Beca Colegio 16-17]]</f>
        <v>0</v>
      </c>
      <c r="T62" s="206"/>
      <c r="U62" s="206">
        <f>Tabla3[[#This Row],[Monto Colegiatura]]*Tabla3[[#This Row],[% Beca Prestación 16-17]]</f>
        <v>0</v>
      </c>
      <c r="V62" s="208"/>
      <c r="W62" s="206">
        <f>Tabla3[[#This Row],[Monto Colegiatura]]*Tabla3[[#This Row],[% Beca Comunidad 16-17]]</f>
        <v>0</v>
      </c>
      <c r="X62" s="206">
        <f>Tabla3[[#This Row],[Cantidad Beca Comunidad 16-17]]*25%</f>
        <v>0</v>
      </c>
      <c r="Y62" s="206"/>
      <c r="Z62" s="206">
        <f>Tabla3[[#This Row],[Monto Colegiatura]]*Tabla3[[#This Row],[% Beca UNAM 16-17]]</f>
        <v>0</v>
      </c>
      <c r="AA62" s="208"/>
      <c r="AB62" s="206"/>
      <c r="AC62" s="206"/>
      <c r="AD62" s="206"/>
      <c r="AE62" s="206"/>
      <c r="AF62" s="206"/>
      <c r="AG62" s="209" t="s">
        <v>289</v>
      </c>
      <c r="AH62" s="210" t="s">
        <v>521</v>
      </c>
      <c r="AI62" s="211" t="s">
        <v>291</v>
      </c>
      <c r="AJ62" s="206" t="e">
        <f>VLOOKUP(Tabla3[[#This Row],[Grado 17-18]],[2]Cuotas!$H:$L,2,0)</f>
        <v>#N/A</v>
      </c>
      <c r="AK62" s="206" t="e">
        <f>VLOOKUP(Tabla3[[#This Row],[Grado 17-18]],[2]Cuotas!$H:$L,3,0)</f>
        <v>#N/A</v>
      </c>
      <c r="AL62" s="206" t="e">
        <f>VLOOKUP(Tabla3[[#This Row],[Grado 17-18]],[2]Cuotas!$H:$L,4,0)</f>
        <v>#N/A</v>
      </c>
      <c r="AM62" s="229"/>
      <c r="AN62" s="213"/>
      <c r="AO62" s="206" t="e">
        <f>Tabla3[[#This Row],[Monto Colegiatura ]]*Tabla3[[#This Row],[% AutorizadoBeca Colegiatura 17-18]]</f>
        <v>#N/A</v>
      </c>
      <c r="AP62" s="208"/>
      <c r="AQ62" s="206" t="e">
        <f>Tabla3[[#This Row],[Monto Colegiatura ]]*Tabla3[[#This Row],[% Beca Prestacion 17-18]]</f>
        <v>#N/A</v>
      </c>
      <c r="AR62" s="208"/>
      <c r="AS62" s="206" t="e">
        <f>Tabla3[[#This Row],[Canasta]]*Tabla3[[#This Row],[% Beca Canasta 17-18]]</f>
        <v>#N/A</v>
      </c>
      <c r="AT62" s="208"/>
      <c r="AU62" s="214"/>
      <c r="AV62" s="206" t="e">
        <f>Tabla3[[#This Row],[Cantidad Beca Comunidad Colegiatura 17-18]]*25%</f>
        <v>#N/A</v>
      </c>
      <c r="AW62" s="206"/>
      <c r="AX62" s="215"/>
      <c r="AY62" s="206" t="e">
        <f>Tabla3[[#This Row],[Monto Colegiatura ]]*Tabla3[[#This Row],[% Beca UNAM 17-18]]</f>
        <v>#N/A</v>
      </c>
      <c r="AZ62" s="206"/>
      <c r="BA62" s="216">
        <f>3200*Tabla3[[#This Row],[% Beca Reinscripciones UNAM 17-18]]</f>
        <v>0</v>
      </c>
      <c r="BB62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62" s="231">
        <v>0.8</v>
      </c>
      <c r="BD62" s="218" t="e">
        <f>Tabla3[[#This Row],[Monto Colegiatura ]]*Tabla3[[#This Row],[% Beca Comunidad 17-18]]</f>
        <v>#N/A</v>
      </c>
      <c r="BE62" s="218" t="e">
        <f>Tabla3[[#This Row],[Cantidad Beca Comunidad Colegiatura 17-18]]*75%</f>
        <v>#N/A</v>
      </c>
      <c r="BF62" s="219"/>
      <c r="BG62" s="218" t="e">
        <f>Tabla3[[#This Row],[Reinscripción]]*Tabla3[[#This Row],[% Beca Reinscripciones Comunidad 18-19]]</f>
        <v>#N/A</v>
      </c>
      <c r="BH62" s="218" t="e">
        <f>Tabla3[[#This Row],[Cantidad Beca Reinscripciones Comunidad 18-19]]*70%</f>
        <v>#N/A</v>
      </c>
      <c r="BI62" s="216" t="e">
        <f>Tabla3[[#This Row],[75% Cantidad Beca Comunidad Colegiatura 17-18]]+Tabla3[[#This Row],[70% Cantidad Beca Reinscripciones 18-19]]</f>
        <v>#N/A</v>
      </c>
      <c r="BJ62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62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62" s="220"/>
      <c r="BM62" s="204"/>
      <c r="BN62" s="221" t="s">
        <v>522</v>
      </c>
      <c r="BO62" s="107"/>
      <c r="BP62" s="107">
        <f>Tabla3[[#This Row],[% AutorizadoBeca Colegiatura 17-18]]+Tabla3[[#This Row],[% Beca Prestacion 17-18]]+Tabla3[[#This Row],[% Beca UNAM 17-18]]</f>
        <v>0</v>
      </c>
      <c r="BQ62" s="108">
        <f t="shared" si="0"/>
        <v>0</v>
      </c>
      <c r="BR62" s="107">
        <f>Tabla3[[#This Row],[% Beca Comunidad 17-18]]</f>
        <v>0.8</v>
      </c>
      <c r="BS62" s="108">
        <f t="shared" si="1"/>
        <v>917.6</v>
      </c>
      <c r="BT62" s="108">
        <f t="shared" si="2"/>
        <v>229.4</v>
      </c>
      <c r="BU62" s="108">
        <f>Tabla3[[#This Row],[Monto3]]*75%</f>
        <v>688.2</v>
      </c>
      <c r="BV62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62" s="107" t="e">
        <f>VLOOKUP(Tabla3[[#This Row],[Nombre del Alumno]],'[3]BECAS COLEGIATURAS'!$I:$N,6,0)</f>
        <v>#N/A</v>
      </c>
      <c r="BX62" s="107" t="e">
        <f>VLOOKUP(Tabla3[[#This Row],[Nombre del Alumno]],[1]!Tabla1[[NOMBRE DEL ALUMNO]:[MATRIZ]],6,0)</f>
        <v>#REF!</v>
      </c>
      <c r="BY62" s="107" t="e">
        <f>VLOOKUP(Tabla3[[#This Row],[Nombre del Alumno]],'[3]BECAS COLEGIATURAS'!$I:$L,4,0)</f>
        <v>#N/A</v>
      </c>
      <c r="BZ62" s="108" t="e">
        <f>VLOOKUP(Tabla3[[#This Row],[Grado 18-19]],[2]Cuotas!$Q:$U,2,0)</f>
        <v>#N/A</v>
      </c>
      <c r="CA62" s="108" t="e">
        <f>VLOOKUP(Tabla3[[#This Row],[Grado 18-19]],[2]Cuotas!$Q:$U,3,0)</f>
        <v>#N/A</v>
      </c>
      <c r="CB62" s="108" t="e">
        <f>VLOOKUP(Tabla3[[#This Row],[Grado 18-19]],[2]Cuotas!$Q:$U,4,0)</f>
        <v>#N/A</v>
      </c>
      <c r="CC62" s="107">
        <v>40</v>
      </c>
      <c r="CD62" s="222"/>
      <c r="CE62" s="218" t="e">
        <f>Tabla3[[#This Row],[Monto Colegiatura 2018-2019]]*Tabla3[[#This Row],[% AutorizadoBeca Colegiatura 18-19]]</f>
        <v>#N/A</v>
      </c>
      <c r="CF62" s="223"/>
      <c r="CG62" s="218" t="e">
        <f>Tabla3[[#This Row],[Monto Colegiatura 2018-2019]]*Tabla3[[#This Row],[% Beca Prestacion 18-19]]</f>
        <v>#N/A</v>
      </c>
      <c r="CH62" s="223"/>
      <c r="CI62" s="218" t="e">
        <f>Tabla3[[#This Row],[Canasta 2018-2019]]*Tabla3[[#This Row],[% Beca Canasta 18-19]]</f>
        <v>#N/A</v>
      </c>
      <c r="CJ62" s="223"/>
      <c r="CK62" s="218" t="e">
        <f>Tabla3[[#This Row],[Reinscripción 2019-2020]]*Tabla3[[#This Row],[% Beca Reinscripciones 19-20]]</f>
        <v>#N/A</v>
      </c>
      <c r="CL62" s="218" t="e">
        <f>Tabla3[[#This Row],[Cantidad Beca Comunidad Colegiatura 18-19]]*25%</f>
        <v>#N/A</v>
      </c>
      <c r="CM62" s="224" t="e">
        <f>Tabla3[[#This Row],[Cantidad Beca Reinscripciones Comunidad 19-20]]*25%</f>
        <v>#N/A</v>
      </c>
      <c r="CN62" s="222"/>
      <c r="CO62" s="218" t="e">
        <f>Tabla3[[#This Row],[Monto Colegiatura 2018-2019]]*Tabla3[[#This Row],[% Beca UNAM 18-19]]</f>
        <v>#N/A</v>
      </c>
      <c r="CP62" s="225"/>
      <c r="CQ62" s="224">
        <f>3328*Tabla3[[#This Row],[% Beca Reinscripciones UNAM 18-19]]</f>
        <v>0</v>
      </c>
      <c r="CR62" s="226" t="e">
        <f>Tabla3[[#This Row],[Cantidad Beca Colegiatura 18-19]]+Tabla3[[#This Row],[Cantidad Beca Canasta 18-19]]+Tabla3[[#This Row],[Cantidad Beca Reinscripciones 19-20]]</f>
        <v>#N/A</v>
      </c>
      <c r="CS62" s="222">
        <v>0.8</v>
      </c>
      <c r="CT62" s="218" t="e">
        <f>Tabla3[[#This Row],[Monto Colegiatura 2018-2019]]*Tabla3[[#This Row],[% Beca Comunidad 18-19]]</f>
        <v>#N/A</v>
      </c>
      <c r="CU62" s="218" t="e">
        <f>Tabla3[[#This Row],[Cantidad Beca Comunidad Colegiatura 18-19]]*75%</f>
        <v>#N/A</v>
      </c>
      <c r="CV62" s="223"/>
      <c r="CW62" s="218" t="e">
        <f>Tabla3[[#This Row],[Reinscripción 2019-2020]]*Tabla3[[#This Row],[% Beca Reinscripciones Comunidad 19-20]]</f>
        <v>#N/A</v>
      </c>
      <c r="CX62" s="218" t="e">
        <f>Tabla3[[#This Row],[Cantidad Beca Reinscripciones Comunidad 19-20]]*75%</f>
        <v>#N/A</v>
      </c>
      <c r="CY62" s="227" t="e">
        <f>Tabla3[[#This Row],[75% Cantidad Beca Comunidad Colegiatura 18-19]]+Tabla3[[#This Row],[75% Cantidad Beca Reinscripciones 19-20]]</f>
        <v>#N/A</v>
      </c>
      <c r="CZ62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62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62" s="108">
        <f>1440*(Tabla3[[#This Row],[% AutorizadoBeca Colegiatura 18-19]]+Tabla3[[#This Row],[% Beca Prestacion 18-19]]+Tabla3[[#This Row],[% Beca UNAM 18-19]]+Tabla3[[#This Row],[% Beca Comunidad 18-19]])</f>
        <v>1152</v>
      </c>
    </row>
    <row r="63" spans="2:106" ht="15" customHeight="1" x14ac:dyDescent="0.2">
      <c r="B63" s="107" t="s">
        <v>523</v>
      </c>
      <c r="C63" s="107" t="e">
        <f>VLOOKUP(Tabla3[[#This Row],[Nombre del Padre]],[1]!Tabla1[[PADRE]:[PADRE_CELULAR]],2,0)</f>
        <v>#REF!</v>
      </c>
      <c r="D63" s="107" t="e">
        <f>VLOOKUP(Tabla3[[#This Row],[Nombre del Padre]],[1]!Tabla1[[PADRE]:[PADRE_CELULAR]],3,0)</f>
        <v>#REF!</v>
      </c>
      <c r="E63" s="225" t="s">
        <v>524</v>
      </c>
      <c r="F63" s="225" t="e">
        <f>VLOOKUP(Tabla3[[#This Row],[Nombre de la Madre]],[1]!Tabla1[[MADRE]:[MADRE_TELEFONO]],2,0)</f>
        <v>#REF!</v>
      </c>
      <c r="G63" s="202" t="e">
        <f>VLOOKUP(Tabla3[[#This Row],[Nombre de la Madre]],[1]!Tabla1[[MADRE]:[MADRE_TELEFONO]],3,0)</f>
        <v>#REF!</v>
      </c>
      <c r="H63" s="228">
        <v>36</v>
      </c>
      <c r="I63" s="204">
        <v>1703</v>
      </c>
      <c r="J63" s="204" t="s">
        <v>525</v>
      </c>
      <c r="K63" s="204" t="s">
        <v>273</v>
      </c>
      <c r="L63" s="204" t="s">
        <v>526</v>
      </c>
      <c r="M63" s="205"/>
      <c r="N63" s="204"/>
      <c r="O63" s="206" t="e">
        <f>VLOOKUP(Tabla3[[#This Row],[Grado]],[2]Cuotas!$A:$E,2,0)</f>
        <v>#N/A</v>
      </c>
      <c r="P63" s="206" t="e">
        <f>VLOOKUP(Tabla3[[#This Row],[Grado]],[2]Cuotas!$A:$E,4,0)</f>
        <v>#N/A</v>
      </c>
      <c r="Q63" s="206" t="e">
        <f>VLOOKUP(Tabla3[[#This Row],[Grado]],[2]Cuotas!$A:$E,3,0)</f>
        <v>#N/A</v>
      </c>
      <c r="R63" s="207"/>
      <c r="S63" s="206" t="e">
        <f>Tabla3[[#This Row],[Monto Colegiatura]]*Tabla3[[#This Row],[% Beca Colegio 16-17]]</f>
        <v>#N/A</v>
      </c>
      <c r="T63" s="206"/>
      <c r="U63" s="206" t="e">
        <f>Tabla3[[#This Row],[Monto Colegiatura]]*Tabla3[[#This Row],[% Beca Prestación 16-17]]</f>
        <v>#N/A</v>
      </c>
      <c r="V63" s="208"/>
      <c r="W63" s="206" t="e">
        <f>Tabla3[[#This Row],[Monto Colegiatura]]*Tabla3[[#This Row],[% Beca Comunidad 16-17]]</f>
        <v>#N/A</v>
      </c>
      <c r="X63" s="206" t="e">
        <f>Tabla3[[#This Row],[Cantidad Beca Comunidad 16-17]]*25%</f>
        <v>#N/A</v>
      </c>
      <c r="Y63" s="206"/>
      <c r="Z63" s="206" t="e">
        <f>Tabla3[[#This Row],[Monto Colegiatura]]*Tabla3[[#This Row],[% Beca UNAM 16-17]]</f>
        <v>#N/A</v>
      </c>
      <c r="AA63" s="208" t="e">
        <f>VLOOKUP(Tabla3[[#This Row],[Nombre del Alumno]],'[4]BECAS REINSCRIPCIONES'!$B$9:$D$31,3,0)</f>
        <v>#N/A</v>
      </c>
      <c r="AB63" s="206" t="e">
        <f>Tabla3[[#This Row],[Monto Reinscripción]]*Tabla3[[#This Row],[% Beca Reinscripción 16-17]]</f>
        <v>#N/A</v>
      </c>
      <c r="AC63" s="206" t="e">
        <f>VLOOKUP(Tabla3[[#This Row],[Nombre del Alumno]],[4]Hoja3!$H$3:$J$16,3,0)</f>
        <v>#N/A</v>
      </c>
      <c r="AD63" s="206" t="e">
        <f>Tabla3[[#This Row],[Monto Canasta]]*Tabla3[[#This Row],[% Beca Canasta 16-17]]</f>
        <v>#N/A</v>
      </c>
      <c r="AE63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63" s="206" t="e">
        <f>Tabla3[[#This Row],[Monto Colegiatura]]+Tabla3[[#This Row],[Monto Reinscripción]]+Tabla3[[#This Row],[Monto Canasta]]-Tabla3[[#This Row],[Monto Becado 16-17]]</f>
        <v>#N/A</v>
      </c>
      <c r="AG63" s="209"/>
      <c r="AH63" s="210"/>
      <c r="AI63" s="211"/>
      <c r="AJ63" s="206" t="e">
        <f>VLOOKUP(Tabla3[[#This Row],[Grado 17-18]],[2]Cuotas!$H:$L,2,0)</f>
        <v>#N/A</v>
      </c>
      <c r="AK63" s="206" t="e">
        <f>VLOOKUP(Tabla3[[#This Row],[Grado 17-18]],[2]Cuotas!$H:$L,3,0)</f>
        <v>#N/A</v>
      </c>
      <c r="AL63" s="206" t="e">
        <f>VLOOKUP(Tabla3[[#This Row],[Grado 17-18]],[2]Cuotas!$H:$L,4,0)</f>
        <v>#N/A</v>
      </c>
      <c r="AM63" s="229"/>
      <c r="AN63" s="213"/>
      <c r="AO63" s="206" t="e">
        <f>Tabla3[[#This Row],[Monto Colegiatura ]]*Tabla3[[#This Row],[% AutorizadoBeca Colegiatura 17-18]]</f>
        <v>#N/A</v>
      </c>
      <c r="AP63" s="208"/>
      <c r="AQ63" s="206" t="e">
        <f>Tabla3[[#This Row],[Monto Colegiatura ]]*Tabla3[[#This Row],[% Beca Prestacion 17-18]]</f>
        <v>#N/A</v>
      </c>
      <c r="AR63" s="208"/>
      <c r="AS63" s="206" t="e">
        <f>Tabla3[[#This Row],[Canasta]]*Tabla3[[#This Row],[% Beca Canasta 17-18]]</f>
        <v>#N/A</v>
      </c>
      <c r="AT63" s="208"/>
      <c r="AU63" s="214"/>
      <c r="AV63" s="206" t="e">
        <f>Tabla3[[#This Row],[Cantidad Beca Comunidad Colegiatura 17-18]]*25%</f>
        <v>#N/A</v>
      </c>
      <c r="AW63" s="206"/>
      <c r="AX63" s="215"/>
      <c r="AY63" s="206" t="e">
        <f>Tabla3[[#This Row],[Monto Colegiatura ]]*Tabla3[[#This Row],[% Beca UNAM 17-18]]</f>
        <v>#N/A</v>
      </c>
      <c r="AZ63" s="206"/>
      <c r="BA63" s="216">
        <f>3200*Tabla3[[#This Row],[% Beca Reinscripciones UNAM 17-18]]</f>
        <v>0</v>
      </c>
      <c r="BB63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63" s="231"/>
      <c r="BD63" s="218" t="e">
        <f>Tabla3[[#This Row],[Monto Colegiatura ]]*Tabla3[[#This Row],[% Beca Comunidad 17-18]]</f>
        <v>#N/A</v>
      </c>
      <c r="BE63" s="218" t="e">
        <f>Tabla3[[#This Row],[Cantidad Beca Comunidad Colegiatura 17-18]]*75%</f>
        <v>#N/A</v>
      </c>
      <c r="BF63" s="219" t="e">
        <f>VLOOKUP(Tabla3[[#This Row],[Nombre del Alumno]],[5]Hoja2!$B:$O,14,0)</f>
        <v>#N/A</v>
      </c>
      <c r="BG63" s="218" t="e">
        <f>Tabla3[[#This Row],[Reinscripción]]*Tabla3[[#This Row],[% Beca Reinscripciones Comunidad 18-19]]</f>
        <v>#N/A</v>
      </c>
      <c r="BH63" s="218" t="e">
        <f>Tabla3[[#This Row],[Cantidad Beca Reinscripciones Comunidad 18-19]]*70%</f>
        <v>#N/A</v>
      </c>
      <c r="BI63" s="216" t="e">
        <f>Tabla3[[#This Row],[75% Cantidad Beca Comunidad Colegiatura 17-18]]+Tabla3[[#This Row],[70% Cantidad Beca Reinscripciones 18-19]]</f>
        <v>#N/A</v>
      </c>
      <c r="BJ63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63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63" s="206"/>
      <c r="BM63" s="204"/>
      <c r="BN63" s="221"/>
      <c r="BO63" s="107"/>
      <c r="BP63" s="107">
        <f>Tabla3[[#This Row],[% AutorizadoBeca Colegiatura 17-18]]+Tabla3[[#This Row],[% Beca Prestacion 17-18]]+Tabla3[[#This Row],[% Beca UNAM 17-18]]</f>
        <v>0</v>
      </c>
      <c r="BQ63" s="108">
        <f t="shared" si="0"/>
        <v>0</v>
      </c>
      <c r="BR63" s="107">
        <f>Tabla3[[#This Row],[% Beca Comunidad 17-18]]</f>
        <v>0</v>
      </c>
      <c r="BS63" s="108">
        <f t="shared" si="1"/>
        <v>0</v>
      </c>
      <c r="BT63" s="108">
        <f t="shared" si="2"/>
        <v>0</v>
      </c>
      <c r="BU63" s="108">
        <f>Tabla3[[#This Row],[Monto3]]*75%</f>
        <v>0</v>
      </c>
      <c r="BV63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63" s="107" t="e">
        <f>VLOOKUP(Tabla3[[#This Row],[Nombre del Alumno]],'[3]BECAS COLEGIATURAS'!$I:$N,6,0)</f>
        <v>#N/A</v>
      </c>
      <c r="BX63" s="107" t="e">
        <f>VLOOKUP(Tabla3[[#This Row],[Nombre del Alumno]],[1]!Tabla1[[NOMBRE DEL ALUMNO]:[MATRIZ]],6,0)</f>
        <v>#REF!</v>
      </c>
      <c r="BY63" s="107" t="s">
        <v>291</v>
      </c>
      <c r="BZ63" s="108" t="e">
        <f>VLOOKUP(Tabla3[[#This Row],[Grado 18-19]],[2]Cuotas!$Q:$U,2,0)</f>
        <v>#N/A</v>
      </c>
      <c r="CA63" s="108" t="e">
        <f>VLOOKUP(Tabla3[[#This Row],[Grado 18-19]],[2]Cuotas!$Q:$U,3,0)</f>
        <v>#N/A</v>
      </c>
      <c r="CB63" s="108" t="e">
        <f>VLOOKUP(Tabla3[[#This Row],[Grado 18-19]],[2]Cuotas!$Q:$U,4,0)</f>
        <v>#N/A</v>
      </c>
      <c r="CC63" s="107">
        <v>0</v>
      </c>
      <c r="CD63" s="222">
        <v>0.15</v>
      </c>
      <c r="CE63" s="218" t="e">
        <f>Tabla3[[#This Row],[Monto Colegiatura 2018-2019]]*Tabla3[[#This Row],[% AutorizadoBeca Colegiatura 18-19]]</f>
        <v>#N/A</v>
      </c>
      <c r="CF63" s="223"/>
      <c r="CG63" s="218" t="e">
        <f>Tabla3[[#This Row],[Monto Colegiatura 2018-2019]]*Tabla3[[#This Row],[% Beca Prestacion 18-19]]</f>
        <v>#N/A</v>
      </c>
      <c r="CH63" s="223"/>
      <c r="CI63" s="218" t="e">
        <f>Tabla3[[#This Row],[Canasta 2018-2019]]*Tabla3[[#This Row],[% Beca Canasta 18-19]]</f>
        <v>#N/A</v>
      </c>
      <c r="CJ63" s="223"/>
      <c r="CK63" s="218" t="e">
        <f>Tabla3[[#This Row],[Reinscripción 2019-2020]]*Tabla3[[#This Row],[% Beca Reinscripciones 19-20]]</f>
        <v>#N/A</v>
      </c>
      <c r="CL63" s="218" t="e">
        <f>Tabla3[[#This Row],[Cantidad Beca Comunidad Colegiatura 18-19]]*25%</f>
        <v>#N/A</v>
      </c>
      <c r="CM63" s="224" t="e">
        <f>Tabla3[[#This Row],[Cantidad Beca Reinscripciones Comunidad 19-20]]*25%</f>
        <v>#N/A</v>
      </c>
      <c r="CN63" s="222"/>
      <c r="CO63" s="218" t="e">
        <f>Tabla3[[#This Row],[Monto Colegiatura 2018-2019]]*Tabla3[[#This Row],[% Beca UNAM 18-19]]</f>
        <v>#N/A</v>
      </c>
      <c r="CP63" s="225"/>
      <c r="CQ63" s="224">
        <f>3328*Tabla3[[#This Row],[% Beca Reinscripciones UNAM 18-19]]</f>
        <v>0</v>
      </c>
      <c r="CR63" s="226" t="e">
        <f>Tabla3[[#This Row],[Cantidad Beca Colegiatura 18-19]]+Tabla3[[#This Row],[Cantidad Beca Canasta 18-19]]+Tabla3[[#This Row],[Cantidad Beca Reinscripciones 19-20]]</f>
        <v>#N/A</v>
      </c>
      <c r="CS63" s="222"/>
      <c r="CT63" s="218" t="e">
        <f>Tabla3[[#This Row],[Monto Colegiatura 2018-2019]]*Tabla3[[#This Row],[% Beca Comunidad 18-19]]</f>
        <v>#N/A</v>
      </c>
      <c r="CU63" s="218" t="e">
        <f>Tabla3[[#This Row],[Cantidad Beca Comunidad Colegiatura 18-19]]*75%</f>
        <v>#N/A</v>
      </c>
      <c r="CV63" s="223"/>
      <c r="CW63" s="218" t="e">
        <f>Tabla3[[#This Row],[Reinscripción 2019-2020]]*Tabla3[[#This Row],[% Beca Reinscripciones Comunidad 19-20]]</f>
        <v>#N/A</v>
      </c>
      <c r="CX63" s="218" t="e">
        <f>Tabla3[[#This Row],[Cantidad Beca Reinscripciones Comunidad 19-20]]*75%</f>
        <v>#N/A</v>
      </c>
      <c r="CY63" s="227" t="e">
        <f>Tabla3[[#This Row],[75% Cantidad Beca Comunidad Colegiatura 18-19]]+Tabla3[[#This Row],[75% Cantidad Beca Reinscripciones 19-20]]</f>
        <v>#N/A</v>
      </c>
      <c r="CZ63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63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63" s="108">
        <f>1440*(Tabla3[[#This Row],[% AutorizadoBeca Colegiatura 18-19]]+Tabla3[[#This Row],[% Beca Prestacion 18-19]]+Tabla3[[#This Row],[% Beca UNAM 18-19]]+Tabla3[[#This Row],[% Beca Comunidad 18-19]])</f>
        <v>216</v>
      </c>
    </row>
    <row r="64" spans="2:106" ht="15" customHeight="1" x14ac:dyDescent="0.2">
      <c r="B64" s="107" t="s">
        <v>523</v>
      </c>
      <c r="C64" s="107" t="e">
        <f>VLOOKUP(Tabla3[[#This Row],[Nombre del Padre]],[1]!Tabla1[[PADRE]:[PADRE_CELULAR]],2,0)</f>
        <v>#REF!</v>
      </c>
      <c r="D64" s="107" t="e">
        <f>VLOOKUP(Tabla3[[#This Row],[Nombre del Padre]],[1]!Tabla1[[PADRE]:[PADRE_CELULAR]],3,0)</f>
        <v>#REF!</v>
      </c>
      <c r="E64" s="225" t="s">
        <v>524</v>
      </c>
      <c r="F64" s="225" t="e">
        <f>VLOOKUP(Tabla3[[#This Row],[Nombre de la Madre]],[1]!Tabla1[[MADRE]:[MADRE_TELEFONO]],2,0)</f>
        <v>#REF!</v>
      </c>
      <c r="G64" s="202" t="e">
        <f>VLOOKUP(Tabla3[[#This Row],[Nombre de la Madre]],[1]!Tabla1[[MADRE]:[MADRE_TELEFONO]],3,0)</f>
        <v>#REF!</v>
      </c>
      <c r="H64" s="230"/>
      <c r="I64" s="204">
        <v>1703</v>
      </c>
      <c r="J64" s="204" t="s">
        <v>525</v>
      </c>
      <c r="K64" s="204" t="s">
        <v>273</v>
      </c>
      <c r="L64" s="204" t="s">
        <v>527</v>
      </c>
      <c r="M64" s="205"/>
      <c r="N64" s="204"/>
      <c r="O64" s="206" t="e">
        <f>VLOOKUP(Tabla3[[#This Row],[Grado]],[2]Cuotas!$A:$E,2,0)</f>
        <v>#N/A</v>
      </c>
      <c r="P64" s="206" t="e">
        <f>VLOOKUP(Tabla3[[#This Row],[Grado]],[2]Cuotas!$A:$E,4,0)</f>
        <v>#N/A</v>
      </c>
      <c r="Q64" s="206" t="e">
        <f>VLOOKUP(Tabla3[[#This Row],[Grado]],[2]Cuotas!$A:$E,3,0)</f>
        <v>#N/A</v>
      </c>
      <c r="R64" s="207"/>
      <c r="S64" s="206" t="e">
        <f>Tabla3[[#This Row],[Monto Colegiatura]]*Tabla3[[#This Row],[% Beca Colegio 16-17]]</f>
        <v>#N/A</v>
      </c>
      <c r="T64" s="206"/>
      <c r="U64" s="206" t="e">
        <f>Tabla3[[#This Row],[Monto Colegiatura]]*Tabla3[[#This Row],[% Beca Prestación 16-17]]</f>
        <v>#N/A</v>
      </c>
      <c r="V64" s="208"/>
      <c r="W64" s="206" t="e">
        <f>Tabla3[[#This Row],[Monto Colegiatura]]*Tabla3[[#This Row],[% Beca Comunidad 16-17]]</f>
        <v>#N/A</v>
      </c>
      <c r="X64" s="206" t="e">
        <f>Tabla3[[#This Row],[Cantidad Beca Comunidad 16-17]]*25%</f>
        <v>#N/A</v>
      </c>
      <c r="Y64" s="206"/>
      <c r="Z64" s="206" t="e">
        <f>Tabla3[[#This Row],[Monto Colegiatura]]*Tabla3[[#This Row],[% Beca UNAM 16-17]]</f>
        <v>#N/A</v>
      </c>
      <c r="AA64" s="208" t="e">
        <f>VLOOKUP(Tabla3[[#This Row],[Nombre del Alumno]],'[4]BECAS REINSCRIPCIONES'!$B$9:$D$31,3,0)</f>
        <v>#N/A</v>
      </c>
      <c r="AB64" s="206" t="e">
        <f>Tabla3[[#This Row],[Monto Reinscripción]]*Tabla3[[#This Row],[% Beca Reinscripción 16-17]]</f>
        <v>#N/A</v>
      </c>
      <c r="AC64" s="206" t="e">
        <f>VLOOKUP(Tabla3[[#This Row],[Nombre del Alumno]],[4]Hoja3!$H$3:$J$16,3,0)</f>
        <v>#N/A</v>
      </c>
      <c r="AD64" s="206" t="e">
        <f>Tabla3[[#This Row],[Monto Canasta]]*Tabla3[[#This Row],[% Beca Canasta 16-17]]</f>
        <v>#N/A</v>
      </c>
      <c r="AE64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64" s="206" t="e">
        <f>Tabla3[[#This Row],[Monto Colegiatura]]+Tabla3[[#This Row],[Monto Reinscripción]]+Tabla3[[#This Row],[Monto Canasta]]-Tabla3[[#This Row],[Monto Becado 16-17]]</f>
        <v>#N/A</v>
      </c>
      <c r="AG64" s="209"/>
      <c r="AH64" s="210"/>
      <c r="AI64" s="211"/>
      <c r="AJ64" s="206" t="e">
        <f>VLOOKUP(Tabla3[[#This Row],[Grado 17-18]],[2]Cuotas!$H:$L,2,0)</f>
        <v>#N/A</v>
      </c>
      <c r="AK64" s="206" t="e">
        <f>VLOOKUP(Tabla3[[#This Row],[Grado 17-18]],[2]Cuotas!$H:$L,3,0)</f>
        <v>#N/A</v>
      </c>
      <c r="AL64" s="206" t="e">
        <f>VLOOKUP(Tabla3[[#This Row],[Grado 17-18]],[2]Cuotas!$H:$L,4,0)</f>
        <v>#N/A</v>
      </c>
      <c r="AM64" s="229"/>
      <c r="AN64" s="213"/>
      <c r="AO64" s="206" t="e">
        <f>Tabla3[[#This Row],[Monto Colegiatura ]]*Tabla3[[#This Row],[% AutorizadoBeca Colegiatura 17-18]]</f>
        <v>#N/A</v>
      </c>
      <c r="AP64" s="208"/>
      <c r="AQ64" s="206" t="e">
        <f>Tabla3[[#This Row],[Monto Colegiatura ]]*Tabla3[[#This Row],[% Beca Prestacion 17-18]]</f>
        <v>#N/A</v>
      </c>
      <c r="AR64" s="208"/>
      <c r="AS64" s="206" t="e">
        <f>Tabla3[[#This Row],[Canasta]]*Tabla3[[#This Row],[% Beca Canasta 17-18]]</f>
        <v>#N/A</v>
      </c>
      <c r="AT64" s="208"/>
      <c r="AU64" s="214"/>
      <c r="AV64" s="206" t="e">
        <f>Tabla3[[#This Row],[Cantidad Beca Comunidad Colegiatura 17-18]]*25%</f>
        <v>#N/A</v>
      </c>
      <c r="AW64" s="206"/>
      <c r="AX64" s="215"/>
      <c r="AY64" s="206" t="e">
        <f>Tabla3[[#This Row],[Monto Colegiatura ]]*Tabla3[[#This Row],[% Beca UNAM 17-18]]</f>
        <v>#N/A</v>
      </c>
      <c r="AZ64" s="206"/>
      <c r="BA64" s="216">
        <f>3200*Tabla3[[#This Row],[% Beca Reinscripciones UNAM 17-18]]</f>
        <v>0</v>
      </c>
      <c r="BB64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64" s="231"/>
      <c r="BD64" s="218" t="e">
        <f>Tabla3[[#This Row],[Monto Colegiatura ]]*Tabla3[[#This Row],[% Beca Comunidad 17-18]]</f>
        <v>#N/A</v>
      </c>
      <c r="BE64" s="218" t="e">
        <f>Tabla3[[#This Row],[Cantidad Beca Comunidad Colegiatura 17-18]]*75%</f>
        <v>#N/A</v>
      </c>
      <c r="BF64" s="219" t="e">
        <f>VLOOKUP(Tabla3[[#This Row],[Nombre del Alumno]],[5]Hoja2!$B:$O,14,0)</f>
        <v>#N/A</v>
      </c>
      <c r="BG64" s="218" t="e">
        <f>Tabla3[[#This Row],[Reinscripción]]*Tabla3[[#This Row],[% Beca Reinscripciones Comunidad 18-19]]</f>
        <v>#N/A</v>
      </c>
      <c r="BH64" s="218" t="e">
        <f>Tabla3[[#This Row],[Cantidad Beca Reinscripciones Comunidad 18-19]]*70%</f>
        <v>#N/A</v>
      </c>
      <c r="BI64" s="216" t="e">
        <f>Tabla3[[#This Row],[75% Cantidad Beca Comunidad Colegiatura 17-18]]+Tabla3[[#This Row],[70% Cantidad Beca Reinscripciones 18-19]]</f>
        <v>#N/A</v>
      </c>
      <c r="BJ64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64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64" s="206"/>
      <c r="BM64" s="204"/>
      <c r="BN64" s="221"/>
      <c r="BO64" s="107"/>
      <c r="BP64" s="107">
        <f>Tabla3[[#This Row],[% AutorizadoBeca Colegiatura 17-18]]+Tabla3[[#This Row],[% Beca Prestacion 17-18]]+Tabla3[[#This Row],[% Beca UNAM 17-18]]</f>
        <v>0</v>
      </c>
      <c r="BQ64" s="108">
        <f t="shared" si="0"/>
        <v>0</v>
      </c>
      <c r="BR64" s="107">
        <f>Tabla3[[#This Row],[% Beca Comunidad 17-18]]</f>
        <v>0</v>
      </c>
      <c r="BS64" s="108">
        <f t="shared" si="1"/>
        <v>0</v>
      </c>
      <c r="BT64" s="108">
        <f t="shared" si="2"/>
        <v>0</v>
      </c>
      <c r="BU64" s="108">
        <f>Tabla3[[#This Row],[Monto3]]*75%</f>
        <v>0</v>
      </c>
      <c r="BV64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64" s="107" t="e">
        <f>VLOOKUP(Tabla3[[#This Row],[Nombre del Alumno]],'[3]BECAS COLEGIATURAS'!$I:$N,6,0)</f>
        <v>#N/A</v>
      </c>
      <c r="BX64" s="107" t="e">
        <f>VLOOKUP(Tabla3[[#This Row],[Nombre del Alumno]],[1]!Tabla1[[NOMBRE DEL ALUMNO]:[MATRIZ]],6,0)</f>
        <v>#REF!</v>
      </c>
      <c r="BY64" s="107" t="s">
        <v>291</v>
      </c>
      <c r="BZ64" s="108" t="e">
        <f>VLOOKUP(Tabla3[[#This Row],[Grado 18-19]],[2]Cuotas!$Q:$U,2,0)</f>
        <v>#N/A</v>
      </c>
      <c r="CA64" s="108" t="e">
        <f>VLOOKUP(Tabla3[[#This Row],[Grado 18-19]],[2]Cuotas!$Q:$U,3,0)</f>
        <v>#N/A</v>
      </c>
      <c r="CB64" s="108" t="e">
        <f>VLOOKUP(Tabla3[[#This Row],[Grado 18-19]],[2]Cuotas!$Q:$U,4,0)</f>
        <v>#N/A</v>
      </c>
      <c r="CC64" s="107">
        <v>0</v>
      </c>
      <c r="CD64" s="222">
        <v>0.15</v>
      </c>
      <c r="CE64" s="218" t="e">
        <f>Tabla3[[#This Row],[Monto Colegiatura 2018-2019]]*Tabla3[[#This Row],[% AutorizadoBeca Colegiatura 18-19]]</f>
        <v>#N/A</v>
      </c>
      <c r="CF64" s="223"/>
      <c r="CG64" s="218" t="e">
        <f>Tabla3[[#This Row],[Monto Colegiatura 2018-2019]]*Tabla3[[#This Row],[% Beca Prestacion 18-19]]</f>
        <v>#N/A</v>
      </c>
      <c r="CH64" s="223"/>
      <c r="CI64" s="218" t="e">
        <f>Tabla3[[#This Row],[Canasta 2018-2019]]*Tabla3[[#This Row],[% Beca Canasta 18-19]]</f>
        <v>#N/A</v>
      </c>
      <c r="CJ64" s="223"/>
      <c r="CK64" s="218" t="e">
        <f>Tabla3[[#This Row],[Reinscripción 2019-2020]]*Tabla3[[#This Row],[% Beca Reinscripciones 19-20]]</f>
        <v>#N/A</v>
      </c>
      <c r="CL64" s="218" t="e">
        <f>Tabla3[[#This Row],[Cantidad Beca Comunidad Colegiatura 18-19]]*25%</f>
        <v>#N/A</v>
      </c>
      <c r="CM64" s="224" t="e">
        <f>Tabla3[[#This Row],[Cantidad Beca Reinscripciones Comunidad 19-20]]*25%</f>
        <v>#N/A</v>
      </c>
      <c r="CN64" s="222"/>
      <c r="CO64" s="218" t="e">
        <f>Tabla3[[#This Row],[Monto Colegiatura 2018-2019]]*Tabla3[[#This Row],[% Beca UNAM 18-19]]</f>
        <v>#N/A</v>
      </c>
      <c r="CP64" s="225"/>
      <c r="CQ64" s="224">
        <f>3328*Tabla3[[#This Row],[% Beca Reinscripciones UNAM 18-19]]</f>
        <v>0</v>
      </c>
      <c r="CR64" s="226" t="e">
        <f>Tabla3[[#This Row],[Cantidad Beca Colegiatura 18-19]]+Tabla3[[#This Row],[Cantidad Beca Canasta 18-19]]+Tabla3[[#This Row],[Cantidad Beca Reinscripciones 19-20]]</f>
        <v>#N/A</v>
      </c>
      <c r="CS64" s="222"/>
      <c r="CT64" s="218" t="e">
        <f>Tabla3[[#This Row],[Monto Colegiatura 2018-2019]]*Tabla3[[#This Row],[% Beca Comunidad 18-19]]</f>
        <v>#N/A</v>
      </c>
      <c r="CU64" s="218" t="e">
        <f>Tabla3[[#This Row],[Cantidad Beca Comunidad Colegiatura 18-19]]*75%</f>
        <v>#N/A</v>
      </c>
      <c r="CV64" s="223"/>
      <c r="CW64" s="218" t="e">
        <f>Tabla3[[#This Row],[Reinscripción 2019-2020]]*Tabla3[[#This Row],[% Beca Reinscripciones Comunidad 19-20]]</f>
        <v>#N/A</v>
      </c>
      <c r="CX64" s="218" t="e">
        <f>Tabla3[[#This Row],[Cantidad Beca Reinscripciones Comunidad 19-20]]*75%</f>
        <v>#N/A</v>
      </c>
      <c r="CY64" s="227" t="e">
        <f>Tabla3[[#This Row],[75% Cantidad Beca Comunidad Colegiatura 18-19]]+Tabla3[[#This Row],[75% Cantidad Beca Reinscripciones 19-20]]</f>
        <v>#N/A</v>
      </c>
      <c r="CZ64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64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64" s="108">
        <f>1440*(Tabla3[[#This Row],[% AutorizadoBeca Colegiatura 18-19]]+Tabla3[[#This Row],[% Beca Prestacion 18-19]]+Tabla3[[#This Row],[% Beca UNAM 18-19]]+Tabla3[[#This Row],[% Beca Comunidad 18-19]])</f>
        <v>216</v>
      </c>
    </row>
    <row r="65" spans="2:106" ht="15" customHeight="1" x14ac:dyDescent="0.2">
      <c r="B65" s="107" t="s">
        <v>528</v>
      </c>
      <c r="C65" s="107" t="e">
        <f>VLOOKUP(Tabla3[[#This Row],[Nombre del Padre]],[1]!Tabla1[[PADRE]:[PADRE_CELULAR]],2,0)</f>
        <v>#REF!</v>
      </c>
      <c r="D65" s="107" t="e">
        <f>VLOOKUP(Tabla3[[#This Row],[Nombre del Padre]],[1]!Tabla1[[PADRE]:[PADRE_CELULAR]],3,0)</f>
        <v>#REF!</v>
      </c>
      <c r="E65" s="107" t="s">
        <v>529</v>
      </c>
      <c r="F65" s="107" t="e">
        <f>VLOOKUP(Tabla3[[#This Row],[Nombre de la Madre]],[1]!Tabla1[[MADRE]:[MADRE_TELEFONO]],2,0)</f>
        <v>#REF!</v>
      </c>
      <c r="G65" s="202" t="e">
        <f>VLOOKUP(Tabla3[[#This Row],[Nombre de la Madre]],[1]!Tabla1[[MADRE]:[MADRE_TELEFONO]],3,0)</f>
        <v>#REF!</v>
      </c>
      <c r="H65" s="228">
        <v>4</v>
      </c>
      <c r="I65" s="225">
        <v>1649</v>
      </c>
      <c r="J65" s="204" t="s">
        <v>530</v>
      </c>
      <c r="K65" s="225" t="s">
        <v>273</v>
      </c>
      <c r="L65" s="225" t="s">
        <v>531</v>
      </c>
      <c r="M65" s="205"/>
      <c r="N65" s="204"/>
      <c r="O65" s="218"/>
      <c r="P65" s="218"/>
      <c r="Q65" s="218"/>
      <c r="R65" s="247"/>
      <c r="S65" s="206"/>
      <c r="T65" s="218"/>
      <c r="U65" s="218"/>
      <c r="V65" s="219"/>
      <c r="W65" s="206"/>
      <c r="X65" s="218"/>
      <c r="Y65" s="218"/>
      <c r="Z65" s="218"/>
      <c r="AA65" s="219"/>
      <c r="AB65" s="218"/>
      <c r="AC65" s="218"/>
      <c r="AD65" s="218"/>
      <c r="AE65" s="218"/>
      <c r="AF65" s="206"/>
      <c r="AG65" s="209" t="s">
        <v>289</v>
      </c>
      <c r="AH65" s="210" t="s">
        <v>460</v>
      </c>
      <c r="AI65" s="204" t="s">
        <v>409</v>
      </c>
      <c r="AJ65" s="206" t="e">
        <f>VLOOKUP(Tabla3[[#This Row],[Grado 17-18]],[2]Cuotas!$H:$L,2,0)</f>
        <v>#N/A</v>
      </c>
      <c r="AK65" s="206" t="e">
        <f>VLOOKUP(Tabla3[[#This Row],[Grado 17-18]],[2]Cuotas!$H:$L,3,0)</f>
        <v>#N/A</v>
      </c>
      <c r="AL65" s="206" t="e">
        <f>VLOOKUP(Tabla3[[#This Row],[Grado 17-18]],[2]Cuotas!$H:$L,4,0)</f>
        <v>#N/A</v>
      </c>
      <c r="AM65" s="229"/>
      <c r="AN65" s="213"/>
      <c r="AO65" s="206" t="e">
        <f>Tabla3[[#This Row],[Monto Colegiatura ]]*Tabla3[[#This Row],[% AutorizadoBeca Colegiatura 17-18]]</f>
        <v>#N/A</v>
      </c>
      <c r="AP65" s="208"/>
      <c r="AQ65" s="206" t="e">
        <f>Tabla3[[#This Row],[Monto Colegiatura ]]*Tabla3[[#This Row],[% Beca Prestacion 17-18]]</f>
        <v>#N/A</v>
      </c>
      <c r="AR65" s="208"/>
      <c r="AS65" s="206" t="e">
        <f>Tabla3[[#This Row],[Canasta]]*Tabla3[[#This Row],[% Beca Canasta 17-18]]</f>
        <v>#N/A</v>
      </c>
      <c r="AT65" s="208"/>
      <c r="AU65" s="214"/>
      <c r="AV65" s="206" t="e">
        <f>Tabla3[[#This Row],[Cantidad Beca Comunidad Colegiatura 17-18]]*25%</f>
        <v>#N/A</v>
      </c>
      <c r="AW65" s="206"/>
      <c r="AX65" s="213">
        <v>0.8</v>
      </c>
      <c r="AY65" s="206" t="e">
        <f>Tabla3[[#This Row],[Monto Colegiatura ]]*Tabla3[[#This Row],[% Beca UNAM 17-18]]</f>
        <v>#N/A</v>
      </c>
      <c r="AZ65" s="208">
        <v>0.8</v>
      </c>
      <c r="BA65" s="216">
        <f>3200*Tabla3[[#This Row],[% Beca Reinscripciones UNAM 17-18]]</f>
        <v>2560</v>
      </c>
      <c r="BB65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65" s="217"/>
      <c r="BD65" s="218" t="e">
        <f>Tabla3[[#This Row],[Monto Colegiatura ]]*Tabla3[[#This Row],[% Beca Comunidad 17-18]]</f>
        <v>#N/A</v>
      </c>
      <c r="BE65" s="218" t="e">
        <f>Tabla3[[#This Row],[Cantidad Beca Comunidad Colegiatura 17-18]]*75%</f>
        <v>#N/A</v>
      </c>
      <c r="BF65" s="219"/>
      <c r="BG65" s="218" t="e">
        <f>Tabla3[[#This Row],[Reinscripción]]*Tabla3[[#This Row],[% Beca Reinscripciones Comunidad 18-19]]</f>
        <v>#N/A</v>
      </c>
      <c r="BH65" s="218" t="e">
        <f>Tabla3[[#This Row],[Cantidad Beca Reinscripciones Comunidad 18-19]]*70%</f>
        <v>#N/A</v>
      </c>
      <c r="BI65" s="216" t="e">
        <f>Tabla3[[#This Row],[75% Cantidad Beca Comunidad Colegiatura 17-18]]+Tabla3[[#This Row],[70% Cantidad Beca Reinscripciones 18-19]]</f>
        <v>#N/A</v>
      </c>
      <c r="BJ65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65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65" s="220"/>
      <c r="BM65" s="204"/>
      <c r="BN65" s="221"/>
      <c r="BO65" s="107"/>
      <c r="BP65" s="107">
        <f>Tabla3[[#This Row],[% AutorizadoBeca Colegiatura 17-18]]+Tabla3[[#This Row],[% Beca Prestacion 17-18]]+Tabla3[[#This Row],[% Beca UNAM 17-18]]</f>
        <v>0.8</v>
      </c>
      <c r="BQ65" s="108">
        <f t="shared" si="0"/>
        <v>917.6</v>
      </c>
      <c r="BR65" s="107">
        <f>Tabla3[[#This Row],[% Beca Comunidad 17-18]]</f>
        <v>0</v>
      </c>
      <c r="BS65" s="108">
        <f t="shared" si="1"/>
        <v>0</v>
      </c>
      <c r="BT65" s="108">
        <f t="shared" si="2"/>
        <v>0</v>
      </c>
      <c r="BU65" s="108">
        <f>Tabla3[[#This Row],[Monto3]]*75%</f>
        <v>0</v>
      </c>
      <c r="BV65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65" s="107" t="e">
        <f>VLOOKUP(Tabla3[[#This Row],[Nombre del Alumno]],'[3]BECAS COLEGIATURAS'!$I:$N,6,0)</f>
        <v>#N/A</v>
      </c>
      <c r="BX65" s="107" t="e">
        <f>VLOOKUP(Tabla3[[#This Row],[Nombre del Alumno]],[1]!Tabla1[[NOMBRE DEL ALUMNO]:[MATRIZ]],6,0)</f>
        <v>#REF!</v>
      </c>
      <c r="BY65" s="107" t="e">
        <f>VLOOKUP(Tabla3[[#This Row],[Nombre del Alumno]],'[3]BECAS COLEGIATURAS'!$I:$L,4,0)</f>
        <v>#N/A</v>
      </c>
      <c r="BZ65" s="108" t="e">
        <f>VLOOKUP(Tabla3[[#This Row],[Grado 18-19]],[2]Cuotas!$Q:$U,2,0)</f>
        <v>#N/A</v>
      </c>
      <c r="CA65" s="108" t="e">
        <f>VLOOKUP(Tabla3[[#This Row],[Grado 18-19]],[2]Cuotas!$Q:$U,3,0)</f>
        <v>#N/A</v>
      </c>
      <c r="CB65" s="108" t="e">
        <f>VLOOKUP(Tabla3[[#This Row],[Grado 18-19]],[2]Cuotas!$Q:$U,4,0)</f>
        <v>#N/A</v>
      </c>
      <c r="CC65" s="107">
        <v>0</v>
      </c>
      <c r="CD65" s="222"/>
      <c r="CE65" s="218" t="e">
        <f>Tabla3[[#This Row],[Monto Colegiatura 2018-2019]]*Tabla3[[#This Row],[% AutorizadoBeca Colegiatura 18-19]]</f>
        <v>#N/A</v>
      </c>
      <c r="CF65" s="223"/>
      <c r="CG65" s="218" t="e">
        <f>Tabla3[[#This Row],[Monto Colegiatura 2018-2019]]*Tabla3[[#This Row],[% Beca Prestacion 18-19]]</f>
        <v>#N/A</v>
      </c>
      <c r="CH65" s="223"/>
      <c r="CI65" s="218" t="e">
        <f>Tabla3[[#This Row],[Canasta 2018-2019]]*Tabla3[[#This Row],[% Beca Canasta 18-19]]</f>
        <v>#N/A</v>
      </c>
      <c r="CJ65" s="223"/>
      <c r="CK65" s="218" t="e">
        <f>Tabla3[[#This Row],[Reinscripción 2019-2020]]*Tabla3[[#This Row],[% Beca Reinscripciones 19-20]]</f>
        <v>#N/A</v>
      </c>
      <c r="CL65" s="218" t="e">
        <f>Tabla3[[#This Row],[Cantidad Beca Comunidad Colegiatura 18-19]]*25%</f>
        <v>#N/A</v>
      </c>
      <c r="CM65" s="224" t="e">
        <f>Tabla3[[#This Row],[Cantidad Beca Reinscripciones Comunidad 19-20]]*25%</f>
        <v>#N/A</v>
      </c>
      <c r="CN65" s="222">
        <v>0.8</v>
      </c>
      <c r="CO65" s="218" t="e">
        <f>Tabla3[[#This Row],[Monto Colegiatura 2018-2019]]*Tabla3[[#This Row],[% Beca UNAM 18-19]]</f>
        <v>#N/A</v>
      </c>
      <c r="CP65" s="223">
        <v>0.8</v>
      </c>
      <c r="CQ65" s="224">
        <f>3328*Tabla3[[#This Row],[% Beca Reinscripciones UNAM 18-19]]</f>
        <v>2662.4</v>
      </c>
      <c r="CR65" s="226" t="e">
        <f>Tabla3[[#This Row],[Cantidad Beca Colegiatura 18-19]]+Tabla3[[#This Row],[Cantidad Beca Canasta 18-19]]+Tabla3[[#This Row],[Cantidad Beca Reinscripciones 19-20]]</f>
        <v>#N/A</v>
      </c>
      <c r="CS65" s="222"/>
      <c r="CT65" s="218" t="e">
        <f>Tabla3[[#This Row],[Monto Colegiatura 2018-2019]]*Tabla3[[#This Row],[% Beca Comunidad 18-19]]</f>
        <v>#N/A</v>
      </c>
      <c r="CU65" s="218" t="e">
        <f>Tabla3[[#This Row],[Cantidad Beca Comunidad Colegiatura 18-19]]*75%</f>
        <v>#N/A</v>
      </c>
      <c r="CV65" s="223"/>
      <c r="CW65" s="218" t="e">
        <f>Tabla3[[#This Row],[Reinscripción 2019-2020]]*Tabla3[[#This Row],[% Beca Reinscripciones Comunidad 19-20]]</f>
        <v>#N/A</v>
      </c>
      <c r="CX65" s="218" t="e">
        <f>Tabla3[[#This Row],[Cantidad Beca Reinscripciones Comunidad 19-20]]*75%</f>
        <v>#N/A</v>
      </c>
      <c r="CY65" s="227" t="e">
        <f>Tabla3[[#This Row],[75% Cantidad Beca Comunidad Colegiatura 18-19]]+Tabla3[[#This Row],[75% Cantidad Beca Reinscripciones 19-20]]</f>
        <v>#N/A</v>
      </c>
      <c r="CZ65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65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65" s="108">
        <f>1440*(Tabla3[[#This Row],[% AutorizadoBeca Colegiatura 18-19]]+Tabla3[[#This Row],[% Beca Prestacion 18-19]]+Tabla3[[#This Row],[% Beca UNAM 18-19]]+Tabla3[[#This Row],[% Beca Comunidad 18-19]])</f>
        <v>1152</v>
      </c>
    </row>
    <row r="66" spans="2:106" ht="15" customHeight="1" x14ac:dyDescent="0.2">
      <c r="B66" s="107" t="s">
        <v>532</v>
      </c>
      <c r="C66" s="107" t="e">
        <f>VLOOKUP(Tabla3[[#This Row],[Nombre del Padre]],[1]!Tabla1[[PADRE]:[PADRE_CELULAR]],2,0)</f>
        <v>#REF!</v>
      </c>
      <c r="D66" s="107" t="e">
        <f>VLOOKUP(Tabla3[[#This Row],[Nombre del Padre]],[1]!Tabla1[[PADRE]:[PADRE_CELULAR]],3,0)</f>
        <v>#REF!</v>
      </c>
      <c r="E66" s="107" t="s">
        <v>533</v>
      </c>
      <c r="F66" s="107" t="e">
        <f>VLOOKUP(Tabla3[[#This Row],[Nombre de la Madre]],[1]!Tabla1[[MADRE]:[MADRE_TELEFONO]],2,0)</f>
        <v>#REF!</v>
      </c>
      <c r="G66" s="202" t="e">
        <f>VLOOKUP(Tabla3[[#This Row],[Nombre de la Madre]],[1]!Tabla1[[MADRE]:[MADRE_TELEFONO]],3,0)</f>
        <v>#REF!</v>
      </c>
      <c r="H66" s="228">
        <v>37</v>
      </c>
      <c r="I66" s="204">
        <v>1909</v>
      </c>
      <c r="J66" s="204" t="s">
        <v>534</v>
      </c>
      <c r="K66" s="204" t="s">
        <v>420</v>
      </c>
      <c r="L66" s="204" t="s">
        <v>535</v>
      </c>
      <c r="M66" s="205"/>
      <c r="N66" s="204"/>
      <c r="O66" s="206"/>
      <c r="P66" s="206"/>
      <c r="Q66" s="206"/>
      <c r="R66" s="207"/>
      <c r="S66" s="206"/>
      <c r="T66" s="206"/>
      <c r="U66" s="206"/>
      <c r="V66" s="208"/>
      <c r="W66" s="206"/>
      <c r="X66" s="206"/>
      <c r="Y66" s="206"/>
      <c r="Z66" s="206"/>
      <c r="AA66" s="208"/>
      <c r="AB66" s="206"/>
      <c r="AC66" s="206"/>
      <c r="AD66" s="206"/>
      <c r="AE66" s="206"/>
      <c r="AF66" s="206"/>
      <c r="AG66" s="232" t="s">
        <v>289</v>
      </c>
      <c r="AH66" s="210" t="s">
        <v>536</v>
      </c>
      <c r="AI66" s="211" t="s">
        <v>338</v>
      </c>
      <c r="AJ66" s="206" t="e">
        <f>VLOOKUP(Tabla3[[#This Row],[Grado 17-18]],[2]Cuotas!$H:$L,2,0)</f>
        <v>#N/A</v>
      </c>
      <c r="AK66" s="206" t="e">
        <f>VLOOKUP(Tabla3[[#This Row],[Grado 17-18]],[2]Cuotas!$H:$L,3,0)</f>
        <v>#N/A</v>
      </c>
      <c r="AL66" s="206" t="e">
        <f>VLOOKUP(Tabla3[[#This Row],[Grado 17-18]],[2]Cuotas!$H:$L,4,0)</f>
        <v>#N/A</v>
      </c>
      <c r="AM66" s="229">
        <v>0.5</v>
      </c>
      <c r="AN66" s="213">
        <v>0.5</v>
      </c>
      <c r="AO66" s="206" t="e">
        <f>Tabla3[[#This Row],[Monto Colegiatura ]]*Tabla3[[#This Row],[% AutorizadoBeca Colegiatura 17-18]]</f>
        <v>#N/A</v>
      </c>
      <c r="AP66" s="208"/>
      <c r="AQ66" s="206" t="e">
        <f>Tabla3[[#This Row],[Monto Colegiatura ]]*Tabla3[[#This Row],[% Beca Prestacion 17-18]]</f>
        <v>#N/A</v>
      </c>
      <c r="AR66" s="208"/>
      <c r="AS66" s="206" t="e">
        <f>Tabla3[[#This Row],[Canasta]]*Tabla3[[#This Row],[% Beca Canasta 17-18]]</f>
        <v>#N/A</v>
      </c>
      <c r="AT66" s="208">
        <v>0.5</v>
      </c>
      <c r="AU66" s="214">
        <v>1586</v>
      </c>
      <c r="AV66" s="206" t="e">
        <f>Tabla3[[#This Row],[Cantidad Beca Comunidad Colegiatura 17-18]]*25%</f>
        <v>#N/A</v>
      </c>
      <c r="AW66" s="206"/>
      <c r="AX66" s="215"/>
      <c r="AY66" s="206" t="e">
        <f>Tabla3[[#This Row],[Monto Colegiatura ]]*Tabla3[[#This Row],[% Beca UNAM 17-18]]</f>
        <v>#N/A</v>
      </c>
      <c r="AZ66" s="206"/>
      <c r="BA66" s="216">
        <f>3200*Tabla3[[#This Row],[% Beca Reinscripciones UNAM 17-18]]</f>
        <v>0</v>
      </c>
      <c r="BB66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66" s="222"/>
      <c r="BD66" s="218" t="e">
        <f>Tabla3[[#This Row],[Monto Colegiatura ]]*Tabla3[[#This Row],[% Beca Comunidad 17-18]]</f>
        <v>#N/A</v>
      </c>
      <c r="BE66" s="218" t="e">
        <f>Tabla3[[#This Row],[Cantidad Beca Comunidad Colegiatura 17-18]]*75%</f>
        <v>#N/A</v>
      </c>
      <c r="BF66" s="219"/>
      <c r="BG66" s="218" t="e">
        <f>Tabla3[[#This Row],[Reinscripción]]*Tabla3[[#This Row],[% Beca Reinscripciones Comunidad 18-19]]</f>
        <v>#N/A</v>
      </c>
      <c r="BH66" s="218" t="e">
        <f>Tabla3[[#This Row],[Cantidad Beca Reinscripciones Comunidad 18-19]]*70%</f>
        <v>#N/A</v>
      </c>
      <c r="BI66" s="216" t="e">
        <f>Tabla3[[#This Row],[75% Cantidad Beca Comunidad Colegiatura 17-18]]+Tabla3[[#This Row],[70% Cantidad Beca Reinscripciones 18-19]]</f>
        <v>#N/A</v>
      </c>
      <c r="BJ66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66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66" s="220"/>
      <c r="BM66" s="204"/>
      <c r="BN66" s="221" t="s">
        <v>537</v>
      </c>
      <c r="BO66" s="107"/>
      <c r="BP66" s="107">
        <f>Tabla3[[#This Row],[% AutorizadoBeca Colegiatura 17-18]]+Tabla3[[#This Row],[% Beca Prestacion 17-18]]+Tabla3[[#This Row],[% Beca UNAM 17-18]]</f>
        <v>0.5</v>
      </c>
      <c r="BQ66" s="108">
        <f t="shared" si="0"/>
        <v>573.5</v>
      </c>
      <c r="BR66" s="107">
        <f>Tabla3[[#This Row],[% Beca Comunidad 17-18]]</f>
        <v>0</v>
      </c>
      <c r="BS66" s="108">
        <f t="shared" si="1"/>
        <v>0</v>
      </c>
      <c r="BT66" s="108">
        <f t="shared" si="2"/>
        <v>0</v>
      </c>
      <c r="BU66" s="108">
        <f>Tabla3[[#This Row],[Monto3]]*75%</f>
        <v>0</v>
      </c>
      <c r="BV66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66" s="107" t="e">
        <f>VLOOKUP(Tabla3[[#This Row],[Nombre del Alumno]],'[3]BECAS COLEGIATURAS'!$I:$N,6,0)</f>
        <v>#N/A</v>
      </c>
      <c r="BX66" s="107" t="e">
        <f>VLOOKUP(Tabla3[[#This Row],[Nombre del Alumno]],[1]!Tabla1[[NOMBRE DEL ALUMNO]:[MATRIZ]],6,0)</f>
        <v>#REF!</v>
      </c>
      <c r="BY66" s="107" t="e">
        <f>VLOOKUP(Tabla3[[#This Row],[Nombre del Alumno]],'[3]BECAS COLEGIATURAS'!$I:$L,4,0)</f>
        <v>#N/A</v>
      </c>
      <c r="BZ66" s="108" t="e">
        <f>VLOOKUP(Tabla3[[#This Row],[Grado 18-19]],[2]Cuotas!$Q:$U,2,0)</f>
        <v>#N/A</v>
      </c>
      <c r="CA66" s="108" t="e">
        <f>VLOOKUP(Tabla3[[#This Row],[Grado 18-19]],[2]Cuotas!$Q:$U,3,0)</f>
        <v>#N/A</v>
      </c>
      <c r="CB66" s="108" t="e">
        <f>VLOOKUP(Tabla3[[#This Row],[Grado 18-19]],[2]Cuotas!$Q:$U,4,0)</f>
        <v>#N/A</v>
      </c>
      <c r="CC66" s="107">
        <v>50</v>
      </c>
      <c r="CD66" s="222">
        <v>0.4</v>
      </c>
      <c r="CE66" s="218" t="e">
        <f>Tabla3[[#This Row],[Monto Colegiatura 2018-2019]]*Tabla3[[#This Row],[% AutorizadoBeca Colegiatura 18-19]]</f>
        <v>#N/A</v>
      </c>
      <c r="CF66" s="223"/>
      <c r="CG66" s="218" t="e">
        <f>Tabla3[[#This Row],[Monto Colegiatura 2018-2019]]*Tabla3[[#This Row],[% Beca Prestacion 18-19]]</f>
        <v>#N/A</v>
      </c>
      <c r="CH66" s="223"/>
      <c r="CI66" s="218" t="e">
        <f>Tabla3[[#This Row],[Canasta 2018-2019]]*Tabla3[[#This Row],[% Beca Canasta 18-19]]</f>
        <v>#N/A</v>
      </c>
      <c r="CJ66" s="223"/>
      <c r="CK66" s="218" t="e">
        <f>Tabla3[[#This Row],[Reinscripción 2019-2020]]*Tabla3[[#This Row],[% Beca Reinscripciones 19-20]]</f>
        <v>#N/A</v>
      </c>
      <c r="CL66" s="218" t="e">
        <f>Tabla3[[#This Row],[Cantidad Beca Comunidad Colegiatura 18-19]]*25%</f>
        <v>#N/A</v>
      </c>
      <c r="CM66" s="224" t="e">
        <f>Tabla3[[#This Row],[Cantidad Beca Reinscripciones Comunidad 19-20]]*25%</f>
        <v>#N/A</v>
      </c>
      <c r="CN66" s="222"/>
      <c r="CO66" s="218" t="e">
        <f>Tabla3[[#This Row],[Monto Colegiatura 2018-2019]]*Tabla3[[#This Row],[% Beca UNAM 18-19]]</f>
        <v>#N/A</v>
      </c>
      <c r="CP66" s="225"/>
      <c r="CQ66" s="224">
        <f>3328*Tabla3[[#This Row],[% Beca Reinscripciones UNAM 18-19]]</f>
        <v>0</v>
      </c>
      <c r="CR66" s="226" t="e">
        <f>Tabla3[[#This Row],[Cantidad Beca Colegiatura 18-19]]+Tabla3[[#This Row],[Cantidad Beca Canasta 18-19]]+Tabla3[[#This Row],[Cantidad Beca Reinscripciones 19-20]]</f>
        <v>#N/A</v>
      </c>
      <c r="CS66" s="222"/>
      <c r="CT66" s="218" t="e">
        <f>Tabla3[[#This Row],[Monto Colegiatura 2018-2019]]*Tabla3[[#This Row],[% Beca Comunidad 18-19]]</f>
        <v>#N/A</v>
      </c>
      <c r="CU66" s="218" t="e">
        <f>Tabla3[[#This Row],[Cantidad Beca Comunidad Colegiatura 18-19]]*75%</f>
        <v>#N/A</v>
      </c>
      <c r="CV66" s="223"/>
      <c r="CW66" s="218" t="e">
        <f>Tabla3[[#This Row],[Reinscripción 2019-2020]]*Tabla3[[#This Row],[% Beca Reinscripciones Comunidad 19-20]]</f>
        <v>#N/A</v>
      </c>
      <c r="CX66" s="218" t="e">
        <f>Tabla3[[#This Row],[Cantidad Beca Reinscripciones Comunidad 19-20]]*75%</f>
        <v>#N/A</v>
      </c>
      <c r="CY66" s="227" t="e">
        <f>Tabla3[[#This Row],[75% Cantidad Beca Comunidad Colegiatura 18-19]]+Tabla3[[#This Row],[75% Cantidad Beca Reinscripciones 19-20]]</f>
        <v>#N/A</v>
      </c>
      <c r="CZ66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66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66" s="108">
        <f>1440*(Tabla3[[#This Row],[% AutorizadoBeca Colegiatura 18-19]]+Tabla3[[#This Row],[% Beca Prestacion 18-19]]+Tabla3[[#This Row],[% Beca UNAM 18-19]]+Tabla3[[#This Row],[% Beca Comunidad 18-19]])</f>
        <v>576</v>
      </c>
    </row>
    <row r="67" spans="2:106" ht="15" customHeight="1" x14ac:dyDescent="0.2">
      <c r="B67" s="107" t="s">
        <v>538</v>
      </c>
      <c r="C67" s="107" t="e">
        <f>VLOOKUP(Tabla3[[#This Row],[Nombre del Padre]],[1]!Tabla1[[PADRE]:[PADRE_CELULAR]],2,0)</f>
        <v>#REF!</v>
      </c>
      <c r="D67" s="107" t="e">
        <f>VLOOKUP(Tabla3[[#This Row],[Nombre del Padre]],[1]!Tabla1[[PADRE]:[PADRE_CELULAR]],3,0)</f>
        <v>#REF!</v>
      </c>
      <c r="E67" s="225" t="s">
        <v>539</v>
      </c>
      <c r="F67" s="225" t="e">
        <f>VLOOKUP(Tabla3[[#This Row],[Nombre de la Madre]],[1]!Tabla1[[MADRE]:[MADRE_TELEFONO]],2,0)</f>
        <v>#REF!</v>
      </c>
      <c r="G67" s="202" t="e">
        <f>VLOOKUP(Tabla3[[#This Row],[Nombre de la Madre]],[1]!Tabla1[[MADRE]:[MADRE_TELEFONO]],3,0)</f>
        <v>#REF!</v>
      </c>
      <c r="H67" s="228">
        <v>5</v>
      </c>
      <c r="I67" s="204">
        <v>1644</v>
      </c>
      <c r="J67" s="204" t="s">
        <v>540</v>
      </c>
      <c r="K67" s="204" t="s">
        <v>273</v>
      </c>
      <c r="L67" s="204" t="s">
        <v>541</v>
      </c>
      <c r="M67" s="205"/>
      <c r="N67" s="204"/>
      <c r="O67" s="206" t="e">
        <f>VLOOKUP(Tabla3[[#This Row],[Grado]],[2]Cuotas!$A:$E,2,0)</f>
        <v>#N/A</v>
      </c>
      <c r="P67" s="206" t="e">
        <f>VLOOKUP(Tabla3[[#This Row],[Grado]],[2]Cuotas!$A:$E,4,0)</f>
        <v>#N/A</v>
      </c>
      <c r="Q67" s="206" t="e">
        <f>VLOOKUP(Tabla3[[#This Row],[Grado]],[2]Cuotas!$A:$E,3,0)</f>
        <v>#N/A</v>
      </c>
      <c r="R67" s="207"/>
      <c r="S67" s="206" t="e">
        <f>Tabla3[[#This Row],[Monto Colegiatura]]*Tabla3[[#This Row],[% Beca Colegio 16-17]]</f>
        <v>#N/A</v>
      </c>
      <c r="T67" s="206"/>
      <c r="U67" s="206" t="e">
        <f>Tabla3[[#This Row],[Monto Colegiatura]]*Tabla3[[#This Row],[% Beca Prestación 16-17]]</f>
        <v>#N/A</v>
      </c>
      <c r="V67" s="208"/>
      <c r="W67" s="206" t="e">
        <f>Tabla3[[#This Row],[Monto Colegiatura]]*Tabla3[[#This Row],[% Beca Comunidad 16-17]]</f>
        <v>#N/A</v>
      </c>
      <c r="X67" s="206" t="e">
        <f>Tabla3[[#This Row],[Cantidad Beca Comunidad 16-17]]*25%</f>
        <v>#N/A</v>
      </c>
      <c r="Y67" s="206"/>
      <c r="Z67" s="206" t="e">
        <f>Tabla3[[#This Row],[Monto Colegiatura]]*Tabla3[[#This Row],[% Beca UNAM 16-17]]</f>
        <v>#N/A</v>
      </c>
      <c r="AA67" s="208" t="e">
        <f>VLOOKUP(Tabla3[[#This Row],[Nombre del Alumno]],'[4]BECAS REINSCRIPCIONES'!$B$9:$D$31,3,0)</f>
        <v>#N/A</v>
      </c>
      <c r="AB67" s="206" t="e">
        <f>Tabla3[[#This Row],[Monto Reinscripción]]*Tabla3[[#This Row],[% Beca Reinscripción 16-17]]</f>
        <v>#N/A</v>
      </c>
      <c r="AC67" s="206" t="e">
        <f>VLOOKUP(Tabla3[[#This Row],[Nombre del Alumno]],[4]Hoja3!$H$3:$J$16,3,0)</f>
        <v>#N/A</v>
      </c>
      <c r="AD67" s="206" t="e">
        <f>Tabla3[[#This Row],[Monto Canasta]]*Tabla3[[#This Row],[% Beca Canasta 16-17]]</f>
        <v>#N/A</v>
      </c>
      <c r="AE67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67" s="206" t="e">
        <f>Tabla3[[#This Row],[Monto Colegiatura]]+Tabla3[[#This Row],[Monto Reinscripción]]+Tabla3[[#This Row],[Monto Canasta]]-Tabla3[[#This Row],[Monto Becado 16-17]]</f>
        <v>#N/A</v>
      </c>
      <c r="AG67" s="209"/>
      <c r="AH67" s="210"/>
      <c r="AI67" s="211"/>
      <c r="AJ67" s="206" t="e">
        <f>VLOOKUP(Tabla3[[#This Row],[Grado 17-18]],[2]Cuotas!$H:$L,2,0)</f>
        <v>#N/A</v>
      </c>
      <c r="AK67" s="206" t="e">
        <f>VLOOKUP(Tabla3[[#This Row],[Grado 17-18]],[2]Cuotas!$H:$L,3,0)</f>
        <v>#N/A</v>
      </c>
      <c r="AL67" s="206" t="e">
        <f>VLOOKUP(Tabla3[[#This Row],[Grado 17-18]],[2]Cuotas!$H:$L,4,0)</f>
        <v>#N/A</v>
      </c>
      <c r="AM67" s="229"/>
      <c r="AN67" s="213"/>
      <c r="AO67" s="206" t="e">
        <f>Tabla3[[#This Row],[Monto Colegiatura ]]*Tabla3[[#This Row],[% AutorizadoBeca Colegiatura 17-18]]</f>
        <v>#N/A</v>
      </c>
      <c r="AP67" s="208"/>
      <c r="AQ67" s="206" t="e">
        <f>Tabla3[[#This Row],[Monto Colegiatura ]]*Tabla3[[#This Row],[% Beca Prestacion 17-18]]</f>
        <v>#N/A</v>
      </c>
      <c r="AR67" s="208"/>
      <c r="AS67" s="206" t="e">
        <f>Tabla3[[#This Row],[Canasta]]*Tabla3[[#This Row],[% Beca Canasta 17-18]]</f>
        <v>#N/A</v>
      </c>
      <c r="AT67" s="208"/>
      <c r="AU67" s="214"/>
      <c r="AV67" s="206" t="e">
        <f>Tabla3[[#This Row],[Cantidad Beca Comunidad Colegiatura 17-18]]*25%</f>
        <v>#N/A</v>
      </c>
      <c r="AW67" s="206"/>
      <c r="AX67" s="215"/>
      <c r="AY67" s="206" t="e">
        <f>Tabla3[[#This Row],[Monto Colegiatura ]]*Tabla3[[#This Row],[% Beca UNAM 17-18]]</f>
        <v>#N/A</v>
      </c>
      <c r="AZ67" s="206"/>
      <c r="BA67" s="216">
        <f>3200*Tabla3[[#This Row],[% Beca Reinscripciones UNAM 17-18]]</f>
        <v>0</v>
      </c>
      <c r="BB67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67" s="231"/>
      <c r="BD67" s="218" t="e">
        <f>Tabla3[[#This Row],[Monto Colegiatura ]]*Tabla3[[#This Row],[% Beca Comunidad 17-18]]</f>
        <v>#N/A</v>
      </c>
      <c r="BE67" s="218" t="e">
        <f>Tabla3[[#This Row],[Cantidad Beca Comunidad Colegiatura 17-18]]*75%</f>
        <v>#N/A</v>
      </c>
      <c r="BF67" s="219" t="e">
        <f>VLOOKUP(Tabla3[[#This Row],[Nombre del Alumno]],[5]Hoja2!$B:$O,14,0)</f>
        <v>#N/A</v>
      </c>
      <c r="BG67" s="218" t="e">
        <f>Tabla3[[#This Row],[Reinscripción]]*Tabla3[[#This Row],[% Beca Reinscripciones Comunidad 18-19]]</f>
        <v>#N/A</v>
      </c>
      <c r="BH67" s="218" t="e">
        <f>Tabla3[[#This Row],[Cantidad Beca Reinscripciones Comunidad 18-19]]*70%</f>
        <v>#N/A</v>
      </c>
      <c r="BI67" s="216" t="e">
        <f>Tabla3[[#This Row],[75% Cantidad Beca Comunidad Colegiatura 17-18]]+Tabla3[[#This Row],[70% Cantidad Beca Reinscripciones 18-19]]</f>
        <v>#N/A</v>
      </c>
      <c r="BJ67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67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67" s="206"/>
      <c r="BM67" s="204"/>
      <c r="BN67" s="221"/>
      <c r="BO67" s="107"/>
      <c r="BP67" s="107">
        <f>Tabla3[[#This Row],[% AutorizadoBeca Colegiatura 17-18]]+Tabla3[[#This Row],[% Beca Prestacion 17-18]]+Tabla3[[#This Row],[% Beca UNAM 17-18]]</f>
        <v>0</v>
      </c>
      <c r="BQ67" s="108">
        <f t="shared" si="0"/>
        <v>0</v>
      </c>
      <c r="BR67" s="107">
        <f>Tabla3[[#This Row],[% Beca Comunidad 17-18]]</f>
        <v>0</v>
      </c>
      <c r="BS67" s="108">
        <f t="shared" si="1"/>
        <v>0</v>
      </c>
      <c r="BT67" s="108">
        <f t="shared" si="2"/>
        <v>0</v>
      </c>
      <c r="BU67" s="108">
        <f>Tabla3[[#This Row],[Monto3]]*75%</f>
        <v>0</v>
      </c>
      <c r="BV67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67" s="107" t="e">
        <f>VLOOKUP(Tabla3[[#This Row],[Nombre del Alumno]],'[3]BECAS COLEGIATURAS'!$I:$N,6,0)</f>
        <v>#N/A</v>
      </c>
      <c r="BX67" s="107" t="e">
        <f>VLOOKUP(Tabla3[[#This Row],[Nombre del Alumno]],[1]!Tabla1[[NOMBRE DEL ALUMNO]:[MATRIZ]],6,0)</f>
        <v>#REF!</v>
      </c>
      <c r="BY67" s="107" t="s">
        <v>542</v>
      </c>
      <c r="BZ67" s="108" t="e">
        <f>VLOOKUP(Tabla3[[#This Row],[Grado 18-19]],[2]Cuotas!$Q:$U,2,0)</f>
        <v>#N/A</v>
      </c>
      <c r="CA67" s="108" t="e">
        <f>VLOOKUP(Tabla3[[#This Row],[Grado 18-19]],[2]Cuotas!$Q:$U,3,0)</f>
        <v>#N/A</v>
      </c>
      <c r="CB67" s="108" t="e">
        <f>VLOOKUP(Tabla3[[#This Row],[Grado 18-19]],[2]Cuotas!$Q:$U,4,0)</f>
        <v>#N/A</v>
      </c>
      <c r="CC67" s="107">
        <v>0</v>
      </c>
      <c r="CD67" s="222"/>
      <c r="CE67" s="218" t="e">
        <f>Tabla3[[#This Row],[Monto Colegiatura 2018-2019]]*Tabla3[[#This Row],[% AutorizadoBeca Colegiatura 18-19]]</f>
        <v>#N/A</v>
      </c>
      <c r="CF67" s="223"/>
      <c r="CG67" s="218" t="e">
        <f>Tabla3[[#This Row],[Monto Colegiatura 2018-2019]]*Tabla3[[#This Row],[% Beca Prestacion 18-19]]</f>
        <v>#N/A</v>
      </c>
      <c r="CH67" s="223"/>
      <c r="CI67" s="218" t="e">
        <f>Tabla3[[#This Row],[Canasta 2018-2019]]*Tabla3[[#This Row],[% Beca Canasta 18-19]]</f>
        <v>#N/A</v>
      </c>
      <c r="CJ67" s="223"/>
      <c r="CK67" s="218" t="e">
        <f>Tabla3[[#This Row],[Reinscripción 2019-2020]]*Tabla3[[#This Row],[% Beca Reinscripciones 19-20]]</f>
        <v>#N/A</v>
      </c>
      <c r="CL67" s="218" t="e">
        <f>Tabla3[[#This Row],[Cantidad Beca Comunidad Colegiatura 18-19]]*25%</f>
        <v>#N/A</v>
      </c>
      <c r="CM67" s="224" t="e">
        <f>Tabla3[[#This Row],[Cantidad Beca Reinscripciones Comunidad 19-20]]*25%</f>
        <v>#N/A</v>
      </c>
      <c r="CN67" s="222">
        <v>0.8</v>
      </c>
      <c r="CO67" s="218" t="e">
        <f>Tabla3[[#This Row],[Monto Colegiatura 2018-2019]]*Tabla3[[#This Row],[% Beca UNAM 18-19]]</f>
        <v>#N/A</v>
      </c>
      <c r="CP67" s="223">
        <v>0.8</v>
      </c>
      <c r="CQ67" s="224">
        <f>3328*Tabla3[[#This Row],[% Beca Reinscripciones UNAM 18-19]]</f>
        <v>2662.4</v>
      </c>
      <c r="CR67" s="226" t="e">
        <f>Tabla3[[#This Row],[Cantidad Beca Colegiatura 18-19]]+Tabla3[[#This Row],[Cantidad Beca Canasta 18-19]]+Tabla3[[#This Row],[Cantidad Beca Reinscripciones 19-20]]</f>
        <v>#N/A</v>
      </c>
      <c r="CS67" s="222"/>
      <c r="CT67" s="218" t="e">
        <f>Tabla3[[#This Row],[Monto Colegiatura 2018-2019]]*Tabla3[[#This Row],[% Beca Comunidad 18-19]]</f>
        <v>#N/A</v>
      </c>
      <c r="CU67" s="218" t="e">
        <f>Tabla3[[#This Row],[Cantidad Beca Comunidad Colegiatura 18-19]]*75%</f>
        <v>#N/A</v>
      </c>
      <c r="CV67" s="223"/>
      <c r="CW67" s="218" t="e">
        <f>Tabla3[[#This Row],[Reinscripción 2019-2020]]*Tabla3[[#This Row],[% Beca Reinscripciones Comunidad 19-20]]</f>
        <v>#N/A</v>
      </c>
      <c r="CX67" s="218" t="e">
        <f>Tabla3[[#This Row],[Cantidad Beca Reinscripciones Comunidad 19-20]]*75%</f>
        <v>#N/A</v>
      </c>
      <c r="CY67" s="227" t="e">
        <f>Tabla3[[#This Row],[75% Cantidad Beca Comunidad Colegiatura 18-19]]+Tabla3[[#This Row],[75% Cantidad Beca Reinscripciones 19-20]]</f>
        <v>#N/A</v>
      </c>
      <c r="CZ67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67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67" s="108">
        <f>1440*(Tabla3[[#This Row],[% AutorizadoBeca Colegiatura 18-19]]+Tabla3[[#This Row],[% Beca Prestacion 18-19]]+Tabla3[[#This Row],[% Beca UNAM 18-19]]+Tabla3[[#This Row],[% Beca Comunidad 18-19]])</f>
        <v>1152</v>
      </c>
    </row>
    <row r="68" spans="2:106" ht="15" customHeight="1" x14ac:dyDescent="0.2">
      <c r="B68" s="107" t="s">
        <v>543</v>
      </c>
      <c r="C68" s="107" t="e">
        <f>VLOOKUP(Tabla3[[#This Row],[Nombre del Padre]],[1]!Tabla1[[PADRE]:[PADRE_CELULAR]],2,0)</f>
        <v>#REF!</v>
      </c>
      <c r="D68" s="107" t="e">
        <f>VLOOKUP(Tabla3[[#This Row],[Nombre del Padre]],[1]!Tabla1[[PADRE]:[PADRE_CELULAR]],3,0)</f>
        <v>#REF!</v>
      </c>
      <c r="E68" s="107" t="s">
        <v>544</v>
      </c>
      <c r="F68" s="107" t="e">
        <f>VLOOKUP(Tabla3[[#This Row],[Nombre de la Madre]],[1]!Tabla1[[MADRE]:[MADRE_TELEFONO]],2,0)</f>
        <v>#REF!</v>
      </c>
      <c r="G68" s="202" t="e">
        <f>VLOOKUP(Tabla3[[#This Row],[Nombre de la Madre]],[1]!Tabla1[[MADRE]:[MADRE_TELEFONO]],3,0)</f>
        <v>#REF!</v>
      </c>
      <c r="H68" s="230">
        <v>38</v>
      </c>
      <c r="I68" s="204">
        <v>1967</v>
      </c>
      <c r="J68" s="204" t="s">
        <v>545</v>
      </c>
      <c r="K68" s="204" t="s">
        <v>273</v>
      </c>
      <c r="L68" s="204" t="s">
        <v>546</v>
      </c>
      <c r="M68" s="205"/>
      <c r="N68" s="204"/>
      <c r="O68" s="206"/>
      <c r="P68" s="206"/>
      <c r="Q68" s="206"/>
      <c r="R68" s="207"/>
      <c r="S68" s="206"/>
      <c r="T68" s="206"/>
      <c r="U68" s="206"/>
      <c r="V68" s="208"/>
      <c r="W68" s="206"/>
      <c r="X68" s="206"/>
      <c r="Y68" s="206"/>
      <c r="Z68" s="206"/>
      <c r="AA68" s="208"/>
      <c r="AB68" s="206"/>
      <c r="AC68" s="206"/>
      <c r="AD68" s="206"/>
      <c r="AE68" s="206"/>
      <c r="AF68" s="206"/>
      <c r="AG68" s="232" t="s">
        <v>289</v>
      </c>
      <c r="AH68" s="210" t="s">
        <v>547</v>
      </c>
      <c r="AI68" s="211" t="s">
        <v>278</v>
      </c>
      <c r="AJ68" s="206" t="e">
        <f>VLOOKUP(Tabla3[[#This Row],[Grado 17-18]],[2]Cuotas!$H:$L,2,0)</f>
        <v>#N/A</v>
      </c>
      <c r="AK68" s="206" t="e">
        <f>VLOOKUP(Tabla3[[#This Row],[Grado 17-18]],[2]Cuotas!$H:$L,3,0)</f>
        <v>#N/A</v>
      </c>
      <c r="AL68" s="206" t="e">
        <f>VLOOKUP(Tabla3[[#This Row],[Grado 17-18]],[2]Cuotas!$H:$L,4,0)</f>
        <v>#N/A</v>
      </c>
      <c r="AM68" s="212"/>
      <c r="AN68" s="213"/>
      <c r="AO68" s="206" t="e">
        <f>Tabla3[[#This Row],[Monto Colegiatura ]]*Tabla3[[#This Row],[% AutorizadoBeca Colegiatura 17-18]]</f>
        <v>#N/A</v>
      </c>
      <c r="AP68" s="208"/>
      <c r="AQ68" s="206" t="e">
        <f>Tabla3[[#This Row],[Monto Colegiatura ]]*Tabla3[[#This Row],[% Beca Prestacion 17-18]]</f>
        <v>#N/A</v>
      </c>
      <c r="AR68" s="208"/>
      <c r="AS68" s="206" t="e">
        <f>Tabla3[[#This Row],[Canasta]]*Tabla3[[#This Row],[% Beca Canasta 17-18]]</f>
        <v>#N/A</v>
      </c>
      <c r="AT68" s="208"/>
      <c r="AU68" s="214">
        <v>0</v>
      </c>
      <c r="AV68" s="206" t="e">
        <f>Tabla3[[#This Row],[Cantidad Beca Comunidad Colegiatura 17-18]]*25%</f>
        <v>#N/A</v>
      </c>
      <c r="AW68" s="206"/>
      <c r="AX68" s="215"/>
      <c r="AY68" s="206" t="e">
        <f>Tabla3[[#This Row],[Monto Colegiatura ]]*Tabla3[[#This Row],[% Beca UNAM 17-18]]</f>
        <v>#N/A</v>
      </c>
      <c r="AZ68" s="206"/>
      <c r="BA68" s="216">
        <f>3200*Tabla3[[#This Row],[% Beca Reinscripciones UNAM 17-18]]</f>
        <v>0</v>
      </c>
      <c r="BB68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68" s="217">
        <v>0.6</v>
      </c>
      <c r="BD68" s="218" t="e">
        <f>Tabla3[[#This Row],[Monto Colegiatura ]]*Tabla3[[#This Row],[% Beca Comunidad 17-18]]</f>
        <v>#N/A</v>
      </c>
      <c r="BE68" s="218" t="e">
        <f>Tabla3[[#This Row],[Cantidad Beca Comunidad Colegiatura 17-18]]*75%</f>
        <v>#N/A</v>
      </c>
      <c r="BF68" s="219"/>
      <c r="BG68" s="218" t="e">
        <f>Tabla3[[#This Row],[Reinscripción]]*Tabla3[[#This Row],[% Beca Reinscripciones Comunidad 18-19]]</f>
        <v>#N/A</v>
      </c>
      <c r="BH68" s="218" t="e">
        <f>Tabla3[[#This Row],[Cantidad Beca Reinscripciones Comunidad 18-19]]*70%</f>
        <v>#N/A</v>
      </c>
      <c r="BI68" s="216" t="e">
        <f>Tabla3[[#This Row],[75% Cantidad Beca Comunidad Colegiatura 17-18]]+Tabla3[[#This Row],[70% Cantidad Beca Reinscripciones 18-19]]</f>
        <v>#N/A</v>
      </c>
      <c r="BJ68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68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68" s="220"/>
      <c r="BM68" s="204"/>
      <c r="BN68" s="221"/>
      <c r="BO68" s="107"/>
      <c r="BP68" s="107">
        <f>Tabla3[[#This Row],[% AutorizadoBeca Colegiatura 17-18]]+Tabla3[[#This Row],[% Beca Prestacion 17-18]]+Tabla3[[#This Row],[% Beca UNAM 17-18]]</f>
        <v>0</v>
      </c>
      <c r="BQ68" s="108">
        <f t="shared" si="0"/>
        <v>0</v>
      </c>
      <c r="BR68" s="107">
        <f>Tabla3[[#This Row],[% Beca Comunidad 17-18]]</f>
        <v>0.6</v>
      </c>
      <c r="BS68" s="108">
        <f t="shared" si="1"/>
        <v>688.19999999999993</v>
      </c>
      <c r="BT68" s="108">
        <f t="shared" si="2"/>
        <v>172.04999999999998</v>
      </c>
      <c r="BU68" s="108">
        <f>Tabla3[[#This Row],[Monto3]]*75%</f>
        <v>516.15</v>
      </c>
      <c r="BV68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68" s="107" t="e">
        <f>VLOOKUP(Tabla3[[#This Row],[Nombre del Alumno]],'[3]BECAS COLEGIATURAS'!$I:$N,6,0)</f>
        <v>#N/A</v>
      </c>
      <c r="BX68" s="107" t="e">
        <f>VLOOKUP(Tabla3[[#This Row],[Nombre del Alumno]],[1]!Tabla1[[NOMBRE DEL ALUMNO]:[MATRIZ]],6,0)</f>
        <v>#REF!</v>
      </c>
      <c r="BY68" s="107" t="e">
        <f>VLOOKUP(Tabla3[[#This Row],[Nombre del Alumno]],'[3]BECAS COLEGIATURAS'!$I:$L,4,0)</f>
        <v>#N/A</v>
      </c>
      <c r="BZ68" s="108" t="e">
        <f>VLOOKUP(Tabla3[[#This Row],[Grado 18-19]],[2]Cuotas!$Q:$U,2,0)</f>
        <v>#N/A</v>
      </c>
      <c r="CA68" s="108" t="e">
        <f>VLOOKUP(Tabla3[[#This Row],[Grado 18-19]],[2]Cuotas!$Q:$U,3,0)</f>
        <v>#N/A</v>
      </c>
      <c r="CB68" s="108" t="e">
        <f>VLOOKUP(Tabla3[[#This Row],[Grado 18-19]],[2]Cuotas!$Q:$U,4,0)</f>
        <v>#N/A</v>
      </c>
      <c r="CC68" s="107">
        <v>0</v>
      </c>
      <c r="CD68" s="222"/>
      <c r="CE68" s="218" t="e">
        <f>Tabla3[[#This Row],[Monto Colegiatura 2018-2019]]*Tabla3[[#This Row],[% AutorizadoBeca Colegiatura 18-19]]</f>
        <v>#N/A</v>
      </c>
      <c r="CF68" s="223"/>
      <c r="CG68" s="218" t="e">
        <f>Tabla3[[#This Row],[Monto Colegiatura 2018-2019]]*Tabla3[[#This Row],[% Beca Prestacion 18-19]]</f>
        <v>#N/A</v>
      </c>
      <c r="CH68" s="223"/>
      <c r="CI68" s="218" t="e">
        <f>Tabla3[[#This Row],[Canasta 2018-2019]]*Tabla3[[#This Row],[% Beca Canasta 18-19]]</f>
        <v>#N/A</v>
      </c>
      <c r="CJ68" s="223"/>
      <c r="CK68" s="218" t="e">
        <f>Tabla3[[#This Row],[Reinscripción 2019-2020]]*Tabla3[[#This Row],[% Beca Reinscripciones 19-20]]</f>
        <v>#N/A</v>
      </c>
      <c r="CL68" s="218" t="e">
        <f>Tabla3[[#This Row],[Cantidad Beca Comunidad Colegiatura 18-19]]*25%</f>
        <v>#N/A</v>
      </c>
      <c r="CM68" s="224" t="e">
        <f>Tabla3[[#This Row],[Cantidad Beca Reinscripciones Comunidad 19-20]]*25%</f>
        <v>#N/A</v>
      </c>
      <c r="CN68" s="222"/>
      <c r="CO68" s="218" t="e">
        <f>Tabla3[[#This Row],[Monto Colegiatura 2018-2019]]*Tabla3[[#This Row],[% Beca UNAM 18-19]]</f>
        <v>#N/A</v>
      </c>
      <c r="CP68" s="225"/>
      <c r="CQ68" s="224">
        <f>3328*Tabla3[[#This Row],[% Beca Reinscripciones UNAM 18-19]]</f>
        <v>0</v>
      </c>
      <c r="CR68" s="226" t="e">
        <f>Tabla3[[#This Row],[Cantidad Beca Colegiatura 18-19]]+Tabla3[[#This Row],[Cantidad Beca Canasta 18-19]]+Tabla3[[#This Row],[Cantidad Beca Reinscripciones 19-20]]</f>
        <v>#N/A</v>
      </c>
      <c r="CS68" s="222">
        <v>0.6</v>
      </c>
      <c r="CT68" s="218" t="e">
        <f>Tabla3[[#This Row],[Monto Colegiatura 2018-2019]]*Tabla3[[#This Row],[% Beca Comunidad 18-19]]</f>
        <v>#N/A</v>
      </c>
      <c r="CU68" s="218" t="e">
        <f>Tabla3[[#This Row],[Cantidad Beca Comunidad Colegiatura 18-19]]*75%</f>
        <v>#N/A</v>
      </c>
      <c r="CV68" s="223"/>
      <c r="CW68" s="218" t="e">
        <f>Tabla3[[#This Row],[Reinscripción 2019-2020]]*Tabla3[[#This Row],[% Beca Reinscripciones Comunidad 19-20]]</f>
        <v>#N/A</v>
      </c>
      <c r="CX68" s="218" t="e">
        <f>Tabla3[[#This Row],[Cantidad Beca Reinscripciones Comunidad 19-20]]*75%</f>
        <v>#N/A</v>
      </c>
      <c r="CY68" s="227" t="e">
        <f>Tabla3[[#This Row],[75% Cantidad Beca Comunidad Colegiatura 18-19]]+Tabla3[[#This Row],[75% Cantidad Beca Reinscripciones 19-20]]</f>
        <v>#N/A</v>
      </c>
      <c r="CZ68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68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68" s="108">
        <f>1440*(Tabla3[[#This Row],[% AutorizadoBeca Colegiatura 18-19]]+Tabla3[[#This Row],[% Beca Prestacion 18-19]]+Tabla3[[#This Row],[% Beca UNAM 18-19]]+Tabla3[[#This Row],[% Beca Comunidad 18-19]])</f>
        <v>864</v>
      </c>
    </row>
    <row r="69" spans="2:106" ht="15" customHeight="1" x14ac:dyDescent="0.2">
      <c r="B69" s="107" t="s">
        <v>548</v>
      </c>
      <c r="C69" s="107" t="e">
        <f>VLOOKUP(Tabla3[[#This Row],[Nombre del Padre]],[1]!Tabla1[[PADRE]:[PADRE_CELULAR]],2,0)</f>
        <v>#REF!</v>
      </c>
      <c r="D69" s="107" t="e">
        <f>VLOOKUP(Tabla3[[#This Row],[Nombre del Padre]],[1]!Tabla1[[PADRE]:[PADRE_CELULAR]],3,0)</f>
        <v>#REF!</v>
      </c>
      <c r="E69" s="107" t="s">
        <v>549</v>
      </c>
      <c r="F69" s="107" t="e">
        <f>VLOOKUP(Tabla3[[#This Row],[Nombre de la Madre]],[1]!Tabla1[[MADRE]:[MADRE_TELEFONO]],2,0)</f>
        <v>#REF!</v>
      </c>
      <c r="G69" s="202" t="e">
        <f>VLOOKUP(Tabla3[[#This Row],[Nombre de la Madre]],[1]!Tabla1[[MADRE]:[MADRE_TELEFONO]],3,0)</f>
        <v>#REF!</v>
      </c>
      <c r="H69" s="230">
        <v>39</v>
      </c>
      <c r="I69" s="204">
        <v>1400</v>
      </c>
      <c r="J69" s="204" t="s">
        <v>550</v>
      </c>
      <c r="K69" s="204" t="s">
        <v>273</v>
      </c>
      <c r="L69" s="204" t="s">
        <v>551</v>
      </c>
      <c r="M69" s="205"/>
      <c r="N69" s="204"/>
      <c r="O69" s="206"/>
      <c r="P69" s="206"/>
      <c r="Q69" s="206"/>
      <c r="R69" s="207"/>
      <c r="S69" s="206"/>
      <c r="T69" s="206"/>
      <c r="U69" s="206"/>
      <c r="V69" s="208"/>
      <c r="W69" s="206"/>
      <c r="X69" s="206"/>
      <c r="Y69" s="206"/>
      <c r="Z69" s="206"/>
      <c r="AA69" s="208"/>
      <c r="AB69" s="206"/>
      <c r="AC69" s="206"/>
      <c r="AD69" s="206"/>
      <c r="AE69" s="206"/>
      <c r="AF69" s="206"/>
      <c r="AG69" s="232" t="s">
        <v>289</v>
      </c>
      <c r="AH69" s="210" t="s">
        <v>552</v>
      </c>
      <c r="AI69" s="211" t="s">
        <v>338</v>
      </c>
      <c r="AJ69" s="206" t="e">
        <f>VLOOKUP(Tabla3[[#This Row],[Grado 17-18]],[2]Cuotas!$H:$L,2,0)</f>
        <v>#N/A</v>
      </c>
      <c r="AK69" s="206" t="e">
        <f>VLOOKUP(Tabla3[[#This Row],[Grado 17-18]],[2]Cuotas!$H:$L,3,0)</f>
        <v>#N/A</v>
      </c>
      <c r="AL69" s="206" t="e">
        <f>VLOOKUP(Tabla3[[#This Row],[Grado 17-18]],[2]Cuotas!$H:$L,4,0)</f>
        <v>#N/A</v>
      </c>
      <c r="AM69" s="212"/>
      <c r="AN69" s="213"/>
      <c r="AO69" s="206" t="e">
        <f>Tabla3[[#This Row],[Monto Colegiatura ]]*Tabla3[[#This Row],[% AutorizadoBeca Colegiatura 17-18]]</f>
        <v>#N/A</v>
      </c>
      <c r="AP69" s="208"/>
      <c r="AQ69" s="206" t="e">
        <f>Tabla3[[#This Row],[Monto Colegiatura ]]*Tabla3[[#This Row],[% Beca Prestacion 17-18]]</f>
        <v>#N/A</v>
      </c>
      <c r="AR69" s="208"/>
      <c r="AS69" s="206" t="e">
        <f>Tabla3[[#This Row],[Canasta]]*Tabla3[[#This Row],[% Beca Canasta 17-18]]</f>
        <v>#N/A</v>
      </c>
      <c r="AT69" s="208"/>
      <c r="AU69" s="214">
        <v>0</v>
      </c>
      <c r="AV69" s="206" t="e">
        <f>Tabla3[[#This Row],[Cantidad Beca Comunidad Colegiatura 17-18]]*25%</f>
        <v>#N/A</v>
      </c>
      <c r="AW69" s="206"/>
      <c r="AX69" s="215"/>
      <c r="AY69" s="206" t="e">
        <f>Tabla3[[#This Row],[Monto Colegiatura ]]*Tabla3[[#This Row],[% Beca UNAM 17-18]]</f>
        <v>#N/A</v>
      </c>
      <c r="AZ69" s="206"/>
      <c r="BA69" s="216">
        <f>3200*Tabla3[[#This Row],[% Beca Reinscripciones UNAM 17-18]]</f>
        <v>0</v>
      </c>
      <c r="BB69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69" s="217">
        <v>0.6</v>
      </c>
      <c r="BD69" s="218" t="e">
        <f>Tabla3[[#This Row],[Monto Colegiatura ]]*Tabla3[[#This Row],[% Beca Comunidad 17-18]]</f>
        <v>#N/A</v>
      </c>
      <c r="BE69" s="218" t="e">
        <f>Tabla3[[#This Row],[Cantidad Beca Comunidad Colegiatura 17-18]]*75%</f>
        <v>#N/A</v>
      </c>
      <c r="BF69" s="219"/>
      <c r="BG69" s="218" t="e">
        <f>Tabla3[[#This Row],[Reinscripción]]*Tabla3[[#This Row],[% Beca Reinscripciones Comunidad 18-19]]</f>
        <v>#N/A</v>
      </c>
      <c r="BH69" s="218" t="e">
        <f>Tabla3[[#This Row],[Cantidad Beca Reinscripciones Comunidad 18-19]]*70%</f>
        <v>#N/A</v>
      </c>
      <c r="BI69" s="216" t="e">
        <f>Tabla3[[#This Row],[75% Cantidad Beca Comunidad Colegiatura 17-18]]+Tabla3[[#This Row],[70% Cantidad Beca Reinscripciones 18-19]]</f>
        <v>#N/A</v>
      </c>
      <c r="BJ69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69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69" s="220"/>
      <c r="BM69" s="204"/>
      <c r="BN69" s="221"/>
      <c r="BO69" s="107"/>
      <c r="BP69" s="107">
        <f>Tabla3[[#This Row],[% AutorizadoBeca Colegiatura 17-18]]+Tabla3[[#This Row],[% Beca Prestacion 17-18]]+Tabla3[[#This Row],[% Beca UNAM 17-18]]</f>
        <v>0</v>
      </c>
      <c r="BQ69" s="108">
        <f t="shared" si="0"/>
        <v>0</v>
      </c>
      <c r="BR69" s="107">
        <f>Tabla3[[#This Row],[% Beca Comunidad 17-18]]</f>
        <v>0.6</v>
      </c>
      <c r="BS69" s="108">
        <f t="shared" si="1"/>
        <v>688.19999999999993</v>
      </c>
      <c r="BT69" s="108">
        <f t="shared" si="2"/>
        <v>172.04999999999998</v>
      </c>
      <c r="BU69" s="108">
        <f>Tabla3[[#This Row],[Monto3]]*75%</f>
        <v>516.15</v>
      </c>
      <c r="BV69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69" s="107" t="e">
        <f>VLOOKUP(Tabla3[[#This Row],[Nombre del Alumno]],'[3]BECAS COLEGIATURAS'!$I:$N,6,0)</f>
        <v>#N/A</v>
      </c>
      <c r="BX69" s="107" t="e">
        <f>VLOOKUP(Tabla3[[#This Row],[Nombre del Alumno]],[1]!Tabla1[[NOMBRE DEL ALUMNO]:[MATRIZ]],6,0)</f>
        <v>#REF!</v>
      </c>
      <c r="BY69" s="107" t="e">
        <f>VLOOKUP(Tabla3[[#This Row],[Nombre del Alumno]],'[3]BECAS COLEGIATURAS'!$I:$L,4,0)</f>
        <v>#N/A</v>
      </c>
      <c r="BZ69" s="108" t="e">
        <f>VLOOKUP(Tabla3[[#This Row],[Grado 18-19]],[2]Cuotas!$Q:$U,2,0)</f>
        <v>#N/A</v>
      </c>
      <c r="CA69" s="108" t="e">
        <f>VLOOKUP(Tabla3[[#This Row],[Grado 18-19]],[2]Cuotas!$Q:$U,3,0)</f>
        <v>#N/A</v>
      </c>
      <c r="CB69" s="108" t="e">
        <f>VLOOKUP(Tabla3[[#This Row],[Grado 18-19]],[2]Cuotas!$Q:$U,4,0)</f>
        <v>#N/A</v>
      </c>
      <c r="CC69" s="107">
        <v>0</v>
      </c>
      <c r="CD69" s="222"/>
      <c r="CE69" s="218" t="e">
        <f>Tabla3[[#This Row],[Monto Colegiatura 2018-2019]]*Tabla3[[#This Row],[% AutorizadoBeca Colegiatura 18-19]]</f>
        <v>#N/A</v>
      </c>
      <c r="CF69" s="223"/>
      <c r="CG69" s="218" t="e">
        <f>Tabla3[[#This Row],[Monto Colegiatura 2018-2019]]*Tabla3[[#This Row],[% Beca Prestacion 18-19]]</f>
        <v>#N/A</v>
      </c>
      <c r="CH69" s="223"/>
      <c r="CI69" s="218" t="e">
        <f>Tabla3[[#This Row],[Canasta 2018-2019]]*Tabla3[[#This Row],[% Beca Canasta 18-19]]</f>
        <v>#N/A</v>
      </c>
      <c r="CJ69" s="223"/>
      <c r="CK69" s="218" t="e">
        <f>Tabla3[[#This Row],[Reinscripción 2019-2020]]*Tabla3[[#This Row],[% Beca Reinscripciones 19-20]]</f>
        <v>#N/A</v>
      </c>
      <c r="CL69" s="218" t="e">
        <f>Tabla3[[#This Row],[Cantidad Beca Comunidad Colegiatura 18-19]]*25%</f>
        <v>#N/A</v>
      </c>
      <c r="CM69" s="224" t="e">
        <f>Tabla3[[#This Row],[Cantidad Beca Reinscripciones Comunidad 19-20]]*25%</f>
        <v>#N/A</v>
      </c>
      <c r="CN69" s="222"/>
      <c r="CO69" s="218" t="e">
        <f>Tabla3[[#This Row],[Monto Colegiatura 2018-2019]]*Tabla3[[#This Row],[% Beca UNAM 18-19]]</f>
        <v>#N/A</v>
      </c>
      <c r="CP69" s="225"/>
      <c r="CQ69" s="224">
        <f>3328*Tabla3[[#This Row],[% Beca Reinscripciones UNAM 18-19]]</f>
        <v>0</v>
      </c>
      <c r="CR69" s="226" t="e">
        <f>Tabla3[[#This Row],[Cantidad Beca Colegiatura 18-19]]+Tabla3[[#This Row],[Cantidad Beca Canasta 18-19]]+Tabla3[[#This Row],[Cantidad Beca Reinscripciones 19-20]]</f>
        <v>#N/A</v>
      </c>
      <c r="CS69" s="222">
        <v>0.5</v>
      </c>
      <c r="CT69" s="218" t="e">
        <f>Tabla3[[#This Row],[Monto Colegiatura 2018-2019]]*Tabla3[[#This Row],[% Beca Comunidad 18-19]]</f>
        <v>#N/A</v>
      </c>
      <c r="CU69" s="218" t="e">
        <f>Tabla3[[#This Row],[Cantidad Beca Comunidad Colegiatura 18-19]]*75%</f>
        <v>#N/A</v>
      </c>
      <c r="CV69" s="223"/>
      <c r="CW69" s="218" t="e">
        <f>Tabla3[[#This Row],[Reinscripción 2019-2020]]*Tabla3[[#This Row],[% Beca Reinscripciones Comunidad 19-20]]</f>
        <v>#N/A</v>
      </c>
      <c r="CX69" s="218" t="e">
        <f>Tabla3[[#This Row],[Cantidad Beca Reinscripciones Comunidad 19-20]]*75%</f>
        <v>#N/A</v>
      </c>
      <c r="CY69" s="227" t="e">
        <f>Tabla3[[#This Row],[75% Cantidad Beca Comunidad Colegiatura 18-19]]+Tabla3[[#This Row],[75% Cantidad Beca Reinscripciones 19-20]]</f>
        <v>#N/A</v>
      </c>
      <c r="CZ69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69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69" s="108">
        <f>1440*(Tabla3[[#This Row],[% AutorizadoBeca Colegiatura 18-19]]+Tabla3[[#This Row],[% Beca Prestacion 18-19]]+Tabla3[[#This Row],[% Beca UNAM 18-19]]+Tabla3[[#This Row],[% Beca Comunidad 18-19]])</f>
        <v>720</v>
      </c>
    </row>
    <row r="70" spans="2:106" ht="15" customHeight="1" x14ac:dyDescent="0.2">
      <c r="B70" s="107" t="s">
        <v>548</v>
      </c>
      <c r="C70" s="107" t="e">
        <f>VLOOKUP(Tabla3[[#This Row],[Nombre del Padre]],[1]!Tabla1[[PADRE]:[PADRE_CELULAR]],2,0)</f>
        <v>#REF!</v>
      </c>
      <c r="D70" s="107" t="e">
        <f>VLOOKUP(Tabla3[[#This Row],[Nombre del Padre]],[1]!Tabla1[[PADRE]:[PADRE_CELULAR]],3,0)</f>
        <v>#REF!</v>
      </c>
      <c r="E70" s="107" t="s">
        <v>549</v>
      </c>
      <c r="F70" s="107" t="e">
        <f>VLOOKUP(Tabla3[[#This Row],[Nombre de la Madre]],[1]!Tabla1[[MADRE]:[MADRE_TELEFONO]],2,0)</f>
        <v>#REF!</v>
      </c>
      <c r="G70" s="202" t="e">
        <f>VLOOKUP(Tabla3[[#This Row],[Nombre de la Madre]],[1]!Tabla1[[MADRE]:[MADRE_TELEFONO]],3,0)</f>
        <v>#REF!</v>
      </c>
      <c r="H70" s="228">
        <v>6</v>
      </c>
      <c r="I70" s="204">
        <v>1400</v>
      </c>
      <c r="J70" s="204" t="s">
        <v>550</v>
      </c>
      <c r="K70" s="204" t="s">
        <v>273</v>
      </c>
      <c r="L70" s="204" t="s">
        <v>553</v>
      </c>
      <c r="M70" s="205"/>
      <c r="N70" s="204"/>
      <c r="O70" s="206"/>
      <c r="P70" s="206"/>
      <c r="Q70" s="206"/>
      <c r="R70" s="207"/>
      <c r="S70" s="206"/>
      <c r="T70" s="206"/>
      <c r="U70" s="206"/>
      <c r="V70" s="208"/>
      <c r="W70" s="206"/>
      <c r="X70" s="206"/>
      <c r="Y70" s="206"/>
      <c r="Z70" s="206"/>
      <c r="AA70" s="208"/>
      <c r="AB70" s="206"/>
      <c r="AC70" s="206"/>
      <c r="AD70" s="206"/>
      <c r="AE70" s="206"/>
      <c r="AF70" s="206"/>
      <c r="AG70" s="232" t="s">
        <v>289</v>
      </c>
      <c r="AH70" s="210" t="s">
        <v>290</v>
      </c>
      <c r="AI70" s="211" t="s">
        <v>291</v>
      </c>
      <c r="AJ70" s="206" t="e">
        <f>VLOOKUP(Tabla3[[#This Row],[Grado 17-18]],[2]Cuotas!$H:$L,2,0)</f>
        <v>#N/A</v>
      </c>
      <c r="AK70" s="206" t="e">
        <f>VLOOKUP(Tabla3[[#This Row],[Grado 17-18]],[2]Cuotas!$H:$L,3,0)</f>
        <v>#N/A</v>
      </c>
      <c r="AL70" s="206" t="e">
        <f>VLOOKUP(Tabla3[[#This Row],[Grado 17-18]],[2]Cuotas!$H:$L,4,0)</f>
        <v>#N/A</v>
      </c>
      <c r="AM70" s="212"/>
      <c r="AN70" s="213"/>
      <c r="AO70" s="206" t="e">
        <f>Tabla3[[#This Row],[Monto Colegiatura ]]*Tabla3[[#This Row],[% AutorizadoBeca Colegiatura 17-18]]</f>
        <v>#N/A</v>
      </c>
      <c r="AP70" s="208"/>
      <c r="AQ70" s="206" t="e">
        <f>Tabla3[[#This Row],[Monto Colegiatura ]]*Tabla3[[#This Row],[% Beca Prestacion 17-18]]</f>
        <v>#N/A</v>
      </c>
      <c r="AR70" s="208"/>
      <c r="AS70" s="206" t="e">
        <f>Tabla3[[#This Row],[Canasta]]*Tabla3[[#This Row],[% Beca Canasta 17-18]]</f>
        <v>#N/A</v>
      </c>
      <c r="AT70" s="208"/>
      <c r="AU70" s="214">
        <v>0</v>
      </c>
      <c r="AV70" s="206" t="e">
        <f>Tabla3[[#This Row],[Cantidad Beca Comunidad Colegiatura 17-18]]*25%</f>
        <v>#N/A</v>
      </c>
      <c r="AW70" s="206"/>
      <c r="AX70" s="213">
        <v>0.8</v>
      </c>
      <c r="AY70" s="206" t="e">
        <f>Tabla3[[#This Row],[Monto Colegiatura ]]*Tabla3[[#This Row],[% Beca UNAM 17-18]]</f>
        <v>#N/A</v>
      </c>
      <c r="AZ70" s="208">
        <v>0.8</v>
      </c>
      <c r="BA70" s="216">
        <f>3200*Tabla3[[#This Row],[% Beca Reinscripciones UNAM 17-18]]</f>
        <v>2560</v>
      </c>
      <c r="BB70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70" s="217"/>
      <c r="BD70" s="218" t="e">
        <f>Tabla3[[#This Row],[Monto Colegiatura ]]*Tabla3[[#This Row],[% Beca Comunidad 17-18]]</f>
        <v>#N/A</v>
      </c>
      <c r="BE70" s="218" t="e">
        <f>Tabla3[[#This Row],[Cantidad Beca Comunidad Colegiatura 17-18]]*75%</f>
        <v>#N/A</v>
      </c>
      <c r="BF70" s="219"/>
      <c r="BG70" s="218" t="e">
        <f>Tabla3[[#This Row],[Reinscripción]]*Tabla3[[#This Row],[% Beca Reinscripciones Comunidad 18-19]]</f>
        <v>#N/A</v>
      </c>
      <c r="BH70" s="218" t="e">
        <f>Tabla3[[#This Row],[Cantidad Beca Reinscripciones Comunidad 18-19]]*70%</f>
        <v>#N/A</v>
      </c>
      <c r="BI70" s="216" t="e">
        <f>Tabla3[[#This Row],[75% Cantidad Beca Comunidad Colegiatura 17-18]]+Tabla3[[#This Row],[70% Cantidad Beca Reinscripciones 18-19]]</f>
        <v>#N/A</v>
      </c>
      <c r="BJ70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70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70" s="220"/>
      <c r="BM70" s="204"/>
      <c r="BN70" s="221"/>
      <c r="BO70" s="107"/>
      <c r="BP70" s="107">
        <f>Tabla3[[#This Row],[% AutorizadoBeca Colegiatura 17-18]]+Tabla3[[#This Row],[% Beca Prestacion 17-18]]+Tabla3[[#This Row],[% Beca UNAM 17-18]]</f>
        <v>0.8</v>
      </c>
      <c r="BQ70" s="108">
        <f t="shared" si="0"/>
        <v>917.6</v>
      </c>
      <c r="BR70" s="107">
        <f>Tabla3[[#This Row],[% Beca Comunidad 17-18]]</f>
        <v>0</v>
      </c>
      <c r="BS70" s="108">
        <f t="shared" si="1"/>
        <v>0</v>
      </c>
      <c r="BT70" s="108">
        <f t="shared" si="2"/>
        <v>0</v>
      </c>
      <c r="BU70" s="108">
        <f>Tabla3[[#This Row],[Monto3]]*75%</f>
        <v>0</v>
      </c>
      <c r="BV70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70" s="107" t="e">
        <f>VLOOKUP(Tabla3[[#This Row],[Nombre del Alumno]],'[3]BECAS COLEGIATURAS'!$I:$N,6,0)</f>
        <v>#N/A</v>
      </c>
      <c r="BX70" s="107" t="e">
        <f>VLOOKUP(Tabla3[[#This Row],[Nombre del Alumno]],[1]!Tabla1[[NOMBRE DEL ALUMNO]:[MATRIZ]],6,0)</f>
        <v>#REF!</v>
      </c>
      <c r="BY70" s="107" t="e">
        <f>VLOOKUP(Tabla3[[#This Row],[Nombre del Alumno]],'[3]BECAS COLEGIATURAS'!$I:$L,4,0)</f>
        <v>#N/A</v>
      </c>
      <c r="BZ70" s="108" t="e">
        <f>VLOOKUP(Tabla3[[#This Row],[Grado 18-19]],[2]Cuotas!$Q:$U,2,0)</f>
        <v>#N/A</v>
      </c>
      <c r="CA70" s="108" t="e">
        <f>VLOOKUP(Tabla3[[#This Row],[Grado 18-19]],[2]Cuotas!$Q:$U,3,0)</f>
        <v>#N/A</v>
      </c>
      <c r="CB70" s="108" t="e">
        <f>VLOOKUP(Tabla3[[#This Row],[Grado 18-19]],[2]Cuotas!$Q:$U,4,0)</f>
        <v>#N/A</v>
      </c>
      <c r="CC70" s="107">
        <v>0</v>
      </c>
      <c r="CD70" s="222"/>
      <c r="CE70" s="218" t="e">
        <f>Tabla3[[#This Row],[Monto Colegiatura 2018-2019]]*Tabla3[[#This Row],[% AutorizadoBeca Colegiatura 18-19]]</f>
        <v>#N/A</v>
      </c>
      <c r="CF70" s="223"/>
      <c r="CG70" s="218" t="e">
        <f>Tabla3[[#This Row],[Monto Colegiatura 2018-2019]]*Tabla3[[#This Row],[% Beca Prestacion 18-19]]</f>
        <v>#N/A</v>
      </c>
      <c r="CH70" s="223"/>
      <c r="CI70" s="218" t="e">
        <f>Tabla3[[#This Row],[Canasta 2018-2019]]*Tabla3[[#This Row],[% Beca Canasta 18-19]]</f>
        <v>#N/A</v>
      </c>
      <c r="CJ70" s="223"/>
      <c r="CK70" s="218" t="e">
        <f>Tabla3[[#This Row],[Reinscripción 2019-2020]]*Tabla3[[#This Row],[% Beca Reinscripciones 19-20]]</f>
        <v>#N/A</v>
      </c>
      <c r="CL70" s="218" t="e">
        <f>Tabla3[[#This Row],[Cantidad Beca Comunidad Colegiatura 18-19]]*25%</f>
        <v>#N/A</v>
      </c>
      <c r="CM70" s="224" t="e">
        <f>Tabla3[[#This Row],[Cantidad Beca Reinscripciones Comunidad 19-20]]*25%</f>
        <v>#N/A</v>
      </c>
      <c r="CN70" s="222">
        <v>0.8</v>
      </c>
      <c r="CO70" s="218" t="e">
        <f>Tabla3[[#This Row],[Monto Colegiatura 2018-2019]]*Tabla3[[#This Row],[% Beca UNAM 18-19]]</f>
        <v>#N/A</v>
      </c>
      <c r="CP70" s="223">
        <v>0.8</v>
      </c>
      <c r="CQ70" s="224">
        <f>3328*Tabla3[[#This Row],[% Beca Reinscripciones UNAM 18-19]]</f>
        <v>2662.4</v>
      </c>
      <c r="CR70" s="226" t="e">
        <f>Tabla3[[#This Row],[Cantidad Beca Colegiatura 18-19]]+Tabla3[[#This Row],[Cantidad Beca Canasta 18-19]]+Tabla3[[#This Row],[Cantidad Beca Reinscripciones 19-20]]</f>
        <v>#N/A</v>
      </c>
      <c r="CS70" s="222"/>
      <c r="CT70" s="218" t="e">
        <f>Tabla3[[#This Row],[Monto Colegiatura 2018-2019]]*Tabla3[[#This Row],[% Beca Comunidad 18-19]]</f>
        <v>#N/A</v>
      </c>
      <c r="CU70" s="218" t="e">
        <f>Tabla3[[#This Row],[Cantidad Beca Comunidad Colegiatura 18-19]]*75%</f>
        <v>#N/A</v>
      </c>
      <c r="CV70" s="223"/>
      <c r="CW70" s="218" t="e">
        <f>Tabla3[[#This Row],[Reinscripción 2019-2020]]*Tabla3[[#This Row],[% Beca Reinscripciones Comunidad 19-20]]</f>
        <v>#N/A</v>
      </c>
      <c r="CX70" s="218" t="e">
        <f>Tabla3[[#This Row],[Cantidad Beca Reinscripciones Comunidad 19-20]]*75%</f>
        <v>#N/A</v>
      </c>
      <c r="CY70" s="227" t="e">
        <f>Tabla3[[#This Row],[75% Cantidad Beca Comunidad Colegiatura 18-19]]+Tabla3[[#This Row],[75% Cantidad Beca Reinscripciones 19-20]]</f>
        <v>#N/A</v>
      </c>
      <c r="CZ70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70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70" s="108">
        <f>1440*(Tabla3[[#This Row],[% AutorizadoBeca Colegiatura 18-19]]+Tabla3[[#This Row],[% Beca Prestacion 18-19]]+Tabla3[[#This Row],[% Beca UNAM 18-19]]+Tabla3[[#This Row],[% Beca Comunidad 18-19]])</f>
        <v>1152</v>
      </c>
    </row>
    <row r="71" spans="2:106" ht="15" customHeight="1" x14ac:dyDescent="0.2">
      <c r="B71" s="107" t="s">
        <v>554</v>
      </c>
      <c r="C71" s="107" t="e">
        <f>VLOOKUP(Tabla3[[#This Row],[Nombre del Padre]],[1]!Tabla1[[PADRE]:[PADRE_CELULAR]],2,0)</f>
        <v>#REF!</v>
      </c>
      <c r="D71" s="107" t="e">
        <f>VLOOKUP(Tabla3[[#This Row],[Nombre del Padre]],[1]!Tabla1[[PADRE]:[PADRE_CELULAR]],3,0)</f>
        <v>#REF!</v>
      </c>
      <c r="E71" s="107" t="s">
        <v>555</v>
      </c>
      <c r="F71" s="107" t="e">
        <f>VLOOKUP(Tabla3[[#This Row],[Nombre de la Madre]],[1]!Tabla1[[MADRE]:[MADRE_TELEFONO]],2,0)</f>
        <v>#REF!</v>
      </c>
      <c r="G71" s="202" t="e">
        <f>VLOOKUP(Tabla3[[#This Row],[Nombre de la Madre]],[1]!Tabla1[[MADRE]:[MADRE_TELEFONO]],3,0)</f>
        <v>#REF!</v>
      </c>
      <c r="H71" s="230">
        <v>7</v>
      </c>
      <c r="I71" s="204">
        <v>1523</v>
      </c>
      <c r="J71" s="204" t="s">
        <v>556</v>
      </c>
      <c r="K71" s="204" t="s">
        <v>273</v>
      </c>
      <c r="L71" s="204" t="s">
        <v>557</v>
      </c>
      <c r="M71" s="205"/>
      <c r="N71" s="204"/>
      <c r="O71" s="206"/>
      <c r="P71" s="206"/>
      <c r="Q71" s="206"/>
      <c r="R71" s="207"/>
      <c r="S71" s="206"/>
      <c r="T71" s="206"/>
      <c r="U71" s="206"/>
      <c r="V71" s="208"/>
      <c r="W71" s="206"/>
      <c r="X71" s="206"/>
      <c r="Y71" s="206"/>
      <c r="Z71" s="206"/>
      <c r="AA71" s="208"/>
      <c r="AB71" s="206"/>
      <c r="AC71" s="206"/>
      <c r="AD71" s="206"/>
      <c r="AE71" s="206"/>
      <c r="AF71" s="206"/>
      <c r="AG71" s="209" t="s">
        <v>289</v>
      </c>
      <c r="AH71" s="210" t="s">
        <v>460</v>
      </c>
      <c r="AI71" s="204" t="s">
        <v>409</v>
      </c>
      <c r="AJ71" s="206" t="e">
        <f>VLOOKUP(Tabla3[[#This Row],[Grado 17-18]],[2]Cuotas!$H:$L,2,0)</f>
        <v>#N/A</v>
      </c>
      <c r="AK71" s="206" t="e">
        <f>VLOOKUP(Tabla3[[#This Row],[Grado 17-18]],[2]Cuotas!$H:$L,3,0)</f>
        <v>#N/A</v>
      </c>
      <c r="AL71" s="206" t="e">
        <f>VLOOKUP(Tabla3[[#This Row],[Grado 17-18]],[2]Cuotas!$H:$L,4,0)</f>
        <v>#N/A</v>
      </c>
      <c r="AM71" s="229"/>
      <c r="AN71" s="213"/>
      <c r="AO71" s="206" t="e">
        <f>Tabla3[[#This Row],[Monto Colegiatura ]]*Tabla3[[#This Row],[% AutorizadoBeca Colegiatura 17-18]]</f>
        <v>#N/A</v>
      </c>
      <c r="AP71" s="208"/>
      <c r="AQ71" s="206" t="e">
        <f>Tabla3[[#This Row],[Monto Colegiatura ]]*Tabla3[[#This Row],[% Beca Prestacion 17-18]]</f>
        <v>#N/A</v>
      </c>
      <c r="AR71" s="208"/>
      <c r="AS71" s="206" t="e">
        <f>Tabla3[[#This Row],[Canasta]]*Tabla3[[#This Row],[% Beca Canasta 17-18]]</f>
        <v>#N/A</v>
      </c>
      <c r="AT71" s="208"/>
      <c r="AU71" s="214"/>
      <c r="AV71" s="206" t="e">
        <f>Tabla3[[#This Row],[Cantidad Beca Comunidad Colegiatura 17-18]]*25%</f>
        <v>#N/A</v>
      </c>
      <c r="AW71" s="206"/>
      <c r="AX71" s="213">
        <v>0.8</v>
      </c>
      <c r="AY71" s="206" t="e">
        <f>Tabla3[[#This Row],[Monto Colegiatura ]]*Tabla3[[#This Row],[% Beca UNAM 17-18]]</f>
        <v>#N/A</v>
      </c>
      <c r="AZ71" s="208">
        <v>0.8</v>
      </c>
      <c r="BA71" s="216">
        <f>3200*Tabla3[[#This Row],[% Beca Reinscripciones UNAM 17-18]]</f>
        <v>2560</v>
      </c>
      <c r="BB71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71" s="217"/>
      <c r="BD71" s="218" t="e">
        <f>Tabla3[[#This Row],[Monto Colegiatura ]]*Tabla3[[#This Row],[% Beca Comunidad 17-18]]</f>
        <v>#N/A</v>
      </c>
      <c r="BE71" s="218" t="e">
        <f>Tabla3[[#This Row],[Cantidad Beca Comunidad Colegiatura 17-18]]*75%</f>
        <v>#N/A</v>
      </c>
      <c r="BF71" s="219"/>
      <c r="BG71" s="218" t="e">
        <f>Tabla3[[#This Row],[Reinscripción]]*Tabla3[[#This Row],[% Beca Reinscripciones Comunidad 18-19]]</f>
        <v>#N/A</v>
      </c>
      <c r="BH71" s="218" t="e">
        <f>Tabla3[[#This Row],[Cantidad Beca Reinscripciones Comunidad 18-19]]*70%</f>
        <v>#N/A</v>
      </c>
      <c r="BI71" s="216" t="e">
        <f>Tabla3[[#This Row],[75% Cantidad Beca Comunidad Colegiatura 17-18]]+Tabla3[[#This Row],[70% Cantidad Beca Reinscripciones 18-19]]</f>
        <v>#N/A</v>
      </c>
      <c r="BJ71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71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71" s="220"/>
      <c r="BM71" s="204" t="s">
        <v>279</v>
      </c>
      <c r="BN71" s="221"/>
      <c r="BO71" s="107"/>
      <c r="BP71" s="107">
        <f>Tabla3[[#This Row],[% AutorizadoBeca Colegiatura 17-18]]+Tabla3[[#This Row],[% Beca Prestacion 17-18]]+Tabla3[[#This Row],[% Beca UNAM 17-18]]</f>
        <v>0.8</v>
      </c>
      <c r="BQ71" s="108">
        <f t="shared" si="0"/>
        <v>917.6</v>
      </c>
      <c r="BR71" s="107">
        <f>Tabla3[[#This Row],[% Beca Comunidad 17-18]]</f>
        <v>0</v>
      </c>
      <c r="BS71" s="108">
        <f t="shared" si="1"/>
        <v>0</v>
      </c>
      <c r="BT71" s="108">
        <f t="shared" si="2"/>
        <v>0</v>
      </c>
      <c r="BU71" s="108">
        <f>Tabla3[[#This Row],[Monto3]]*75%</f>
        <v>0</v>
      </c>
      <c r="BV71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71" s="107" t="e">
        <f>VLOOKUP(Tabla3[[#This Row],[Nombre del Alumno]],'[3]BECAS COLEGIATURAS'!$I:$N,6,0)</f>
        <v>#N/A</v>
      </c>
      <c r="BX71" s="107" t="e">
        <f>VLOOKUP(Tabla3[[#This Row],[Nombre del Alumno]],[1]!Tabla1[[NOMBRE DEL ALUMNO]:[MATRIZ]],6,0)</f>
        <v>#REF!</v>
      </c>
      <c r="BY71" s="107" t="e">
        <f>VLOOKUP(Tabla3[[#This Row],[Nombre del Alumno]],'[3]BECAS COLEGIATURAS'!$I:$L,4,0)</f>
        <v>#N/A</v>
      </c>
      <c r="BZ71" s="108" t="e">
        <f>VLOOKUP(Tabla3[[#This Row],[Grado 18-19]],[2]Cuotas!$Q:$U,2,0)</f>
        <v>#N/A</v>
      </c>
      <c r="CA71" s="108" t="e">
        <f>VLOOKUP(Tabla3[[#This Row],[Grado 18-19]],[2]Cuotas!$Q:$U,3,0)</f>
        <v>#N/A</v>
      </c>
      <c r="CB71" s="108" t="e">
        <f>VLOOKUP(Tabla3[[#This Row],[Grado 18-19]],[2]Cuotas!$Q:$U,4,0)</f>
        <v>#N/A</v>
      </c>
      <c r="CC71" s="107">
        <v>0</v>
      </c>
      <c r="CD71" s="222"/>
      <c r="CE71" s="218" t="e">
        <f>Tabla3[[#This Row],[Monto Colegiatura 2018-2019]]*Tabla3[[#This Row],[% AutorizadoBeca Colegiatura 18-19]]</f>
        <v>#N/A</v>
      </c>
      <c r="CF71" s="223"/>
      <c r="CG71" s="218" t="e">
        <f>Tabla3[[#This Row],[Monto Colegiatura 2018-2019]]*Tabla3[[#This Row],[% Beca Prestacion 18-19]]</f>
        <v>#N/A</v>
      </c>
      <c r="CH71" s="223"/>
      <c r="CI71" s="218" t="e">
        <f>Tabla3[[#This Row],[Canasta 2018-2019]]*Tabla3[[#This Row],[% Beca Canasta 18-19]]</f>
        <v>#N/A</v>
      </c>
      <c r="CJ71" s="223"/>
      <c r="CK71" s="218" t="e">
        <f>Tabla3[[#This Row],[Reinscripción 2019-2020]]*Tabla3[[#This Row],[% Beca Reinscripciones 19-20]]</f>
        <v>#N/A</v>
      </c>
      <c r="CL71" s="218" t="e">
        <f>Tabla3[[#This Row],[Cantidad Beca Comunidad Colegiatura 18-19]]*25%</f>
        <v>#N/A</v>
      </c>
      <c r="CM71" s="224" t="e">
        <f>Tabla3[[#This Row],[Cantidad Beca Reinscripciones Comunidad 19-20]]*25%</f>
        <v>#N/A</v>
      </c>
      <c r="CN71" s="222">
        <v>0.8</v>
      </c>
      <c r="CO71" s="218" t="e">
        <f>Tabla3[[#This Row],[Monto Colegiatura 2018-2019]]*Tabla3[[#This Row],[% Beca UNAM 18-19]]</f>
        <v>#N/A</v>
      </c>
      <c r="CP71" s="223">
        <v>0.8</v>
      </c>
      <c r="CQ71" s="224">
        <f>3328*Tabla3[[#This Row],[% Beca Reinscripciones UNAM 18-19]]</f>
        <v>2662.4</v>
      </c>
      <c r="CR71" s="226" t="e">
        <f>Tabla3[[#This Row],[Cantidad Beca Colegiatura 18-19]]+Tabla3[[#This Row],[Cantidad Beca Canasta 18-19]]+Tabla3[[#This Row],[Cantidad Beca Reinscripciones 19-20]]</f>
        <v>#N/A</v>
      </c>
      <c r="CS71" s="222"/>
      <c r="CT71" s="218" t="e">
        <f>Tabla3[[#This Row],[Monto Colegiatura 2018-2019]]*Tabla3[[#This Row],[% Beca Comunidad 18-19]]</f>
        <v>#N/A</v>
      </c>
      <c r="CU71" s="218" t="e">
        <f>Tabla3[[#This Row],[Cantidad Beca Comunidad Colegiatura 18-19]]*75%</f>
        <v>#N/A</v>
      </c>
      <c r="CV71" s="223"/>
      <c r="CW71" s="218" t="e">
        <f>Tabla3[[#This Row],[Reinscripción 2019-2020]]*Tabla3[[#This Row],[% Beca Reinscripciones Comunidad 19-20]]</f>
        <v>#N/A</v>
      </c>
      <c r="CX71" s="218" t="e">
        <f>Tabla3[[#This Row],[Cantidad Beca Reinscripciones Comunidad 19-20]]*75%</f>
        <v>#N/A</v>
      </c>
      <c r="CY71" s="227" t="e">
        <f>Tabla3[[#This Row],[75% Cantidad Beca Comunidad Colegiatura 18-19]]+Tabla3[[#This Row],[75% Cantidad Beca Reinscripciones 19-20]]</f>
        <v>#N/A</v>
      </c>
      <c r="CZ71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71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71" s="108">
        <f>1440*(Tabla3[[#This Row],[% AutorizadoBeca Colegiatura 18-19]]+Tabla3[[#This Row],[% Beca Prestacion 18-19]]+Tabla3[[#This Row],[% Beca UNAM 18-19]]+Tabla3[[#This Row],[% Beca Comunidad 18-19]])</f>
        <v>1152</v>
      </c>
    </row>
    <row r="72" spans="2:106" ht="15" customHeight="1" x14ac:dyDescent="0.2">
      <c r="B72" s="107" t="s">
        <v>558</v>
      </c>
      <c r="C72" s="107" t="e">
        <f>VLOOKUP(Tabla3[[#This Row],[Nombre del Padre]],[1]!Tabla1[[PADRE]:[PADRE_CELULAR]],2,0)</f>
        <v>#REF!</v>
      </c>
      <c r="D72" s="107" t="e">
        <f>VLOOKUP(Tabla3[[#This Row],[Nombre del Padre]],[1]!Tabla1[[PADRE]:[PADRE_CELULAR]],3,0)</f>
        <v>#REF!</v>
      </c>
      <c r="E72" s="107" t="s">
        <v>559</v>
      </c>
      <c r="F72" s="107" t="e">
        <f>VLOOKUP(Tabla3[[#This Row],[Nombre de la Madre]],[1]!Tabla1[[MADRE]:[MADRE_TELEFONO]],2,0)</f>
        <v>#REF!</v>
      </c>
      <c r="G72" s="202" t="e">
        <f>VLOOKUP(Tabla3[[#This Row],[Nombre de la Madre]],[1]!Tabla1[[MADRE]:[MADRE_TELEFONO]],3,0)</f>
        <v>#REF!</v>
      </c>
      <c r="H72" s="230">
        <v>40</v>
      </c>
      <c r="I72" s="204">
        <v>2638</v>
      </c>
      <c r="J72" s="204" t="s">
        <v>560</v>
      </c>
      <c r="K72" s="204" t="s">
        <v>420</v>
      </c>
      <c r="L72" s="204" t="s">
        <v>561</v>
      </c>
      <c r="M72" s="205" t="s">
        <v>562</v>
      </c>
      <c r="N72" s="204" t="s">
        <v>315</v>
      </c>
      <c r="O72" s="206" t="e">
        <f>VLOOKUP(Tabla3[[#This Row],[Grado]],[2]Cuotas!$A:$E,2,0)</f>
        <v>#N/A</v>
      </c>
      <c r="P72" s="206" t="e">
        <f>VLOOKUP(Tabla3[[#This Row],[Grado]],[2]Cuotas!$A:$E,4,0)</f>
        <v>#N/A</v>
      </c>
      <c r="Q72" s="206" t="e">
        <f>VLOOKUP(Tabla3[[#This Row],[Grado]],[2]Cuotas!$A:$E,3,0)</f>
        <v>#N/A</v>
      </c>
      <c r="R72" s="207">
        <v>0.5</v>
      </c>
      <c r="S72" s="206" t="e">
        <f>Tabla3[[#This Row],[Monto Colegiatura]]*Tabla3[[#This Row],[% Beca Colegio 16-17]]</f>
        <v>#N/A</v>
      </c>
      <c r="T72" s="206"/>
      <c r="U72" s="206" t="e">
        <f>Tabla3[[#This Row],[Monto Colegiatura]]*Tabla3[[#This Row],[% Beca Prestación 16-17]]</f>
        <v>#N/A</v>
      </c>
      <c r="V72" s="208"/>
      <c r="W72" s="206" t="e">
        <f>Tabla3[[#This Row],[Monto Colegiatura]]*Tabla3[[#This Row],[% Beca Comunidad 16-17]]</f>
        <v>#N/A</v>
      </c>
      <c r="X72" s="206" t="e">
        <f>Tabla3[[#This Row],[Cantidad Beca Comunidad 16-17]]*25%</f>
        <v>#N/A</v>
      </c>
      <c r="Y72" s="206"/>
      <c r="Z72" s="206" t="e">
        <f>Tabla3[[#This Row],[Monto Colegiatura]]*Tabla3[[#This Row],[% Beca UNAM 16-17]]</f>
        <v>#N/A</v>
      </c>
      <c r="AA72" s="208"/>
      <c r="AB72" s="206" t="e">
        <f>Tabla3[[#This Row],[Monto Reinscripción]]*Tabla3[[#This Row],[% Beca Reinscripción 16-17]]</f>
        <v>#N/A</v>
      </c>
      <c r="AC72" s="206"/>
      <c r="AD72" s="206" t="e">
        <f>Tabla3[[#This Row],[Monto Canasta]]*Tabla3[[#This Row],[% Beca Canasta 16-17]]</f>
        <v>#N/A</v>
      </c>
      <c r="AE72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72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72" s="209" t="e">
        <f>VLOOKUP(Tabla3[[#This Row],[Nombre del Alumno]],[2]!Tabla1[[Alumno]:[Cuenta Ciclos]],2,0)</f>
        <v>#REF!</v>
      </c>
      <c r="AH72" s="210" t="s">
        <v>563</v>
      </c>
      <c r="AI72" s="211" t="s">
        <v>297</v>
      </c>
      <c r="AJ72" s="206" t="e">
        <f>VLOOKUP(Tabla3[[#This Row],[Grado 17-18]],[2]Cuotas!$H:$L,2,0)</f>
        <v>#N/A</v>
      </c>
      <c r="AK72" s="206" t="e">
        <f>VLOOKUP(Tabla3[[#This Row],[Grado 17-18]],[2]Cuotas!$H:$L,3,0)</f>
        <v>#N/A</v>
      </c>
      <c r="AL72" s="206" t="e">
        <f>VLOOKUP(Tabla3[[#This Row],[Grado 17-18]],[2]Cuotas!$H:$L,4,0)</f>
        <v>#N/A</v>
      </c>
      <c r="AM72" s="229">
        <v>0.8</v>
      </c>
      <c r="AN72" s="213">
        <v>0.5</v>
      </c>
      <c r="AO72" s="206" t="e">
        <f>Tabla3[[#This Row],[Monto Colegiatura ]]*Tabla3[[#This Row],[% AutorizadoBeca Colegiatura 17-18]]</f>
        <v>#N/A</v>
      </c>
      <c r="AP72" s="208"/>
      <c r="AQ72" s="206" t="e">
        <f>Tabla3[[#This Row],[Monto Colegiatura ]]*Tabla3[[#This Row],[% Beca Prestacion 17-18]]</f>
        <v>#N/A</v>
      </c>
      <c r="AR72" s="208"/>
      <c r="AS72" s="206" t="e">
        <f>Tabla3[[#This Row],[Canasta]]*Tabla3[[#This Row],[% Beca Canasta 17-18]]</f>
        <v>#N/A</v>
      </c>
      <c r="AT72" s="208"/>
      <c r="AU72" s="214">
        <v>0</v>
      </c>
      <c r="AV72" s="206" t="e">
        <f>Tabla3[[#This Row],[Cantidad Beca Comunidad Colegiatura 17-18]]*25%</f>
        <v>#N/A</v>
      </c>
      <c r="AW72" s="206"/>
      <c r="AX72" s="215"/>
      <c r="AY72" s="206" t="e">
        <f>Tabla3[[#This Row],[Monto Colegiatura ]]*Tabla3[[#This Row],[% Beca UNAM 17-18]]</f>
        <v>#N/A</v>
      </c>
      <c r="AZ72" s="206"/>
      <c r="BA72" s="216">
        <f>3200*Tabla3[[#This Row],[% Beca Reinscripciones UNAM 17-18]]</f>
        <v>0</v>
      </c>
      <c r="BB72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72" s="231"/>
      <c r="BD72" s="218" t="e">
        <f>Tabla3[[#This Row],[Monto Colegiatura ]]*Tabla3[[#This Row],[% Beca Comunidad 17-18]]</f>
        <v>#N/A</v>
      </c>
      <c r="BE72" s="218" t="e">
        <f>Tabla3[[#This Row],[Cantidad Beca Comunidad Colegiatura 17-18]]*75%</f>
        <v>#N/A</v>
      </c>
      <c r="BF72" s="219"/>
      <c r="BG72" s="218" t="e">
        <f>Tabla3[[#This Row],[Reinscripción]]*Tabla3[[#This Row],[% Beca Reinscripciones Comunidad 18-19]]</f>
        <v>#N/A</v>
      </c>
      <c r="BH72" s="218" t="e">
        <f>Tabla3[[#This Row],[Cantidad Beca Reinscripciones Comunidad 18-19]]*70%</f>
        <v>#N/A</v>
      </c>
      <c r="BI72" s="216" t="e">
        <f>Tabla3[[#This Row],[75% Cantidad Beca Comunidad Colegiatura 17-18]]+Tabla3[[#This Row],[70% Cantidad Beca Reinscripciones 18-19]]</f>
        <v>#N/A</v>
      </c>
      <c r="BJ72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72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72" s="220"/>
      <c r="BM72" s="204"/>
      <c r="BN72" s="221" t="s">
        <v>564</v>
      </c>
      <c r="BO72" s="107"/>
      <c r="BP72" s="107">
        <f>Tabla3[[#This Row],[% AutorizadoBeca Colegiatura 17-18]]+Tabla3[[#This Row],[% Beca Prestacion 17-18]]+Tabla3[[#This Row],[% Beca UNAM 17-18]]</f>
        <v>0.5</v>
      </c>
      <c r="BQ72" s="108">
        <f t="shared" si="0"/>
        <v>573.5</v>
      </c>
      <c r="BR72" s="107">
        <f>Tabla3[[#This Row],[% Beca Comunidad 17-18]]</f>
        <v>0</v>
      </c>
      <c r="BS72" s="108">
        <f t="shared" si="1"/>
        <v>0</v>
      </c>
      <c r="BT72" s="108">
        <f t="shared" si="2"/>
        <v>0</v>
      </c>
      <c r="BU72" s="108">
        <f>Tabla3[[#This Row],[Monto3]]*75%</f>
        <v>0</v>
      </c>
      <c r="BV72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72" s="107" t="e">
        <f>VLOOKUP(Tabla3[[#This Row],[Nombre del Alumno]],'[3]BECAS COLEGIATURAS'!$I:$N,6,0)</f>
        <v>#N/A</v>
      </c>
      <c r="BX72" s="107" t="e">
        <f>VLOOKUP(Tabla3[[#This Row],[Nombre del Alumno]],[1]!Tabla1[[NOMBRE DEL ALUMNO]:[MATRIZ]],6,0)</f>
        <v>#REF!</v>
      </c>
      <c r="BY72" s="107" t="e">
        <f>VLOOKUP(Tabla3[[#This Row],[Nombre del Alumno]],'[3]BECAS COLEGIATURAS'!$I:$L,4,0)</f>
        <v>#N/A</v>
      </c>
      <c r="BZ72" s="108" t="e">
        <f>VLOOKUP(Tabla3[[#This Row],[Grado 18-19]],[2]Cuotas!$Q:$U,2,0)</f>
        <v>#N/A</v>
      </c>
      <c r="CA72" s="108" t="e">
        <f>VLOOKUP(Tabla3[[#This Row],[Grado 18-19]],[2]Cuotas!$Q:$U,3,0)</f>
        <v>#N/A</v>
      </c>
      <c r="CB72" s="108" t="e">
        <f>VLOOKUP(Tabla3[[#This Row],[Grado 18-19]],[2]Cuotas!$Q:$U,4,0)</f>
        <v>#N/A</v>
      </c>
      <c r="CC72" s="107">
        <v>50</v>
      </c>
      <c r="CD72" s="222">
        <v>0.5</v>
      </c>
      <c r="CE72" s="218" t="e">
        <f>Tabla3[[#This Row],[Monto Colegiatura 2018-2019]]*Tabla3[[#This Row],[% AutorizadoBeca Colegiatura 18-19]]</f>
        <v>#N/A</v>
      </c>
      <c r="CF72" s="223"/>
      <c r="CG72" s="218" t="e">
        <f>Tabla3[[#This Row],[Monto Colegiatura 2018-2019]]*Tabla3[[#This Row],[% Beca Prestacion 18-19]]</f>
        <v>#N/A</v>
      </c>
      <c r="CH72" s="223"/>
      <c r="CI72" s="218" t="e">
        <f>Tabla3[[#This Row],[Canasta 2018-2019]]*Tabla3[[#This Row],[% Beca Canasta 18-19]]</f>
        <v>#N/A</v>
      </c>
      <c r="CJ72" s="223"/>
      <c r="CK72" s="218" t="e">
        <f>Tabla3[[#This Row],[Reinscripción 2019-2020]]*Tabla3[[#This Row],[% Beca Reinscripciones 19-20]]</f>
        <v>#N/A</v>
      </c>
      <c r="CL72" s="218" t="e">
        <f>Tabla3[[#This Row],[Cantidad Beca Comunidad Colegiatura 18-19]]*25%</f>
        <v>#N/A</v>
      </c>
      <c r="CM72" s="224" t="e">
        <f>Tabla3[[#This Row],[Cantidad Beca Reinscripciones Comunidad 19-20]]*25%</f>
        <v>#N/A</v>
      </c>
      <c r="CN72" s="222"/>
      <c r="CO72" s="218" t="e">
        <f>Tabla3[[#This Row],[Monto Colegiatura 2018-2019]]*Tabla3[[#This Row],[% Beca UNAM 18-19]]</f>
        <v>#N/A</v>
      </c>
      <c r="CP72" s="225"/>
      <c r="CQ72" s="224">
        <f>3328*Tabla3[[#This Row],[% Beca Reinscripciones UNAM 18-19]]</f>
        <v>0</v>
      </c>
      <c r="CR72" s="226" t="e">
        <f>Tabla3[[#This Row],[Cantidad Beca Colegiatura 18-19]]+Tabla3[[#This Row],[Cantidad Beca Canasta 18-19]]+Tabla3[[#This Row],[Cantidad Beca Reinscripciones 19-20]]</f>
        <v>#N/A</v>
      </c>
      <c r="CS72" s="222"/>
      <c r="CT72" s="218" t="e">
        <f>Tabla3[[#This Row],[Monto Colegiatura 2018-2019]]*Tabla3[[#This Row],[% Beca Comunidad 18-19]]</f>
        <v>#N/A</v>
      </c>
      <c r="CU72" s="218" t="e">
        <f>Tabla3[[#This Row],[Cantidad Beca Comunidad Colegiatura 18-19]]*75%</f>
        <v>#N/A</v>
      </c>
      <c r="CV72" s="223"/>
      <c r="CW72" s="218" t="e">
        <f>Tabla3[[#This Row],[Reinscripción 2019-2020]]*Tabla3[[#This Row],[% Beca Reinscripciones Comunidad 19-20]]</f>
        <v>#N/A</v>
      </c>
      <c r="CX72" s="218" t="e">
        <f>Tabla3[[#This Row],[Cantidad Beca Reinscripciones Comunidad 19-20]]*75%</f>
        <v>#N/A</v>
      </c>
      <c r="CY72" s="227" t="e">
        <f>Tabla3[[#This Row],[75% Cantidad Beca Comunidad Colegiatura 18-19]]+Tabla3[[#This Row],[75% Cantidad Beca Reinscripciones 19-20]]</f>
        <v>#N/A</v>
      </c>
      <c r="CZ72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72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72" s="108">
        <f>1440*(Tabla3[[#This Row],[% AutorizadoBeca Colegiatura 18-19]]+Tabla3[[#This Row],[% Beca Prestacion 18-19]]+Tabla3[[#This Row],[% Beca UNAM 18-19]]+Tabla3[[#This Row],[% Beca Comunidad 18-19]])</f>
        <v>720</v>
      </c>
    </row>
    <row r="73" spans="2:106" ht="15" customHeight="1" x14ac:dyDescent="0.2">
      <c r="B73" s="107" t="s">
        <v>565</v>
      </c>
      <c r="C73" s="107" t="e">
        <f>VLOOKUP(Tabla3[[#This Row],[Nombre del Padre]],[1]!Tabla1[[PADRE]:[PADRE_CELULAR]],2,0)</f>
        <v>#REF!</v>
      </c>
      <c r="D73" s="107" t="e">
        <f>VLOOKUP(Tabla3[[#This Row],[Nombre del Padre]],[1]!Tabla1[[PADRE]:[PADRE_CELULAR]],3,0)</f>
        <v>#REF!</v>
      </c>
      <c r="E73" s="107" t="s">
        <v>566</v>
      </c>
      <c r="F73" s="107" t="e">
        <f>VLOOKUP(Tabla3[[#This Row],[Nombre de la Madre]],[1]!Tabla1[[MADRE]:[MADRE_TELEFONO]],2,0)</f>
        <v>#REF!</v>
      </c>
      <c r="G73" s="202" t="e">
        <f>VLOOKUP(Tabla3[[#This Row],[Nombre de la Madre]],[1]!Tabla1[[MADRE]:[MADRE_TELEFONO]],3,0)</f>
        <v>#REF!</v>
      </c>
      <c r="H73" s="228">
        <v>41</v>
      </c>
      <c r="I73" s="204">
        <v>2020</v>
      </c>
      <c r="J73" s="204" t="s">
        <v>567</v>
      </c>
      <c r="K73" s="204" t="s">
        <v>420</v>
      </c>
      <c r="L73" s="204" t="s">
        <v>568</v>
      </c>
      <c r="M73" s="205" t="s">
        <v>569</v>
      </c>
      <c r="N73" s="204" t="s">
        <v>332</v>
      </c>
      <c r="O73" s="206" t="e">
        <f>VLOOKUP(Tabla3[[#This Row],[Grado]],[2]Cuotas!$A:$E,2,0)</f>
        <v>#N/A</v>
      </c>
      <c r="P73" s="206" t="e">
        <f>VLOOKUP(Tabla3[[#This Row],[Grado]],[2]Cuotas!$A:$E,4,0)</f>
        <v>#N/A</v>
      </c>
      <c r="Q73" s="206" t="e">
        <f>VLOOKUP(Tabla3[[#This Row],[Grado]],[2]Cuotas!$A:$E,3,0)</f>
        <v>#N/A</v>
      </c>
      <c r="R73" s="207"/>
      <c r="S73" s="206" t="e">
        <f>Tabla3[[#This Row],[Monto Colegiatura]]*Tabla3[[#This Row],[% Beca Colegio 16-17]]</f>
        <v>#N/A</v>
      </c>
      <c r="T73" s="208">
        <v>0.25</v>
      </c>
      <c r="U73" s="206" t="e">
        <f>Tabla3[[#This Row],[Monto Colegiatura]]*Tabla3[[#This Row],[% Beca Prestación 16-17]]</f>
        <v>#N/A</v>
      </c>
      <c r="V73" s="208"/>
      <c r="W73" s="206" t="e">
        <f>Tabla3[[#This Row],[Monto Colegiatura]]*Tabla3[[#This Row],[% Beca Comunidad 16-17]]</f>
        <v>#N/A</v>
      </c>
      <c r="X73" s="206" t="e">
        <f>Tabla3[[#This Row],[Cantidad Beca Comunidad 16-17]]*25%</f>
        <v>#N/A</v>
      </c>
      <c r="Y73" s="206"/>
      <c r="Z73" s="206" t="e">
        <f>Tabla3[[#This Row],[Monto Colegiatura]]*Tabla3[[#This Row],[% Beca UNAM 16-17]]</f>
        <v>#N/A</v>
      </c>
      <c r="AA73" s="208"/>
      <c r="AB73" s="206" t="e">
        <f>Tabla3[[#This Row],[Monto Reinscripción]]*Tabla3[[#This Row],[% Beca Reinscripción 16-17]]</f>
        <v>#N/A</v>
      </c>
      <c r="AC73" s="206"/>
      <c r="AD73" s="206" t="e">
        <f>Tabla3[[#This Row],[Monto Canasta]]*Tabla3[[#This Row],[% Beca Canasta 16-17]]</f>
        <v>#N/A</v>
      </c>
      <c r="AE73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73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73" s="209" t="e">
        <f>VLOOKUP(Tabla3[[#This Row],[Nombre del Alumno]],[2]!Tabla1[[Alumno]:[Cuenta Ciclos]],2,0)</f>
        <v>#REF!</v>
      </c>
      <c r="AH73" s="210" t="s">
        <v>570</v>
      </c>
      <c r="AI73" s="211" t="s">
        <v>336</v>
      </c>
      <c r="AJ73" s="206" t="e">
        <f>VLOOKUP(Tabla3[[#This Row],[Grado 17-18]],[2]Cuotas!$H:$L,2,0)</f>
        <v>#N/A</v>
      </c>
      <c r="AK73" s="206" t="e">
        <f>VLOOKUP(Tabla3[[#This Row],[Grado 17-18]],[2]Cuotas!$H:$L,3,0)</f>
        <v>#N/A</v>
      </c>
      <c r="AL73" s="206" t="e">
        <f>VLOOKUP(Tabla3[[#This Row],[Grado 17-18]],[2]Cuotas!$H:$L,4,0)</f>
        <v>#N/A</v>
      </c>
      <c r="AM73" s="212"/>
      <c r="AN73" s="213"/>
      <c r="AO73" s="206" t="e">
        <f>Tabla3[[#This Row],[Monto Colegiatura ]]*Tabla3[[#This Row],[% AutorizadoBeca Colegiatura 17-18]]</f>
        <v>#N/A</v>
      </c>
      <c r="AP73" s="208">
        <v>0.25</v>
      </c>
      <c r="AQ73" s="206" t="e">
        <f>Tabla3[[#This Row],[Monto Colegiatura ]]*Tabla3[[#This Row],[% Beca Prestacion 17-18]]</f>
        <v>#N/A</v>
      </c>
      <c r="AR73" s="208"/>
      <c r="AS73" s="206" t="e">
        <f>Tabla3[[#This Row],[Canasta]]*Tabla3[[#This Row],[% Beca Canasta 17-18]]</f>
        <v>#N/A</v>
      </c>
      <c r="AT73" s="208"/>
      <c r="AU73" s="214">
        <v>0</v>
      </c>
      <c r="AV73" s="206" t="e">
        <f>Tabla3[[#This Row],[Cantidad Beca Comunidad Colegiatura 17-18]]*25%</f>
        <v>#N/A</v>
      </c>
      <c r="AW73" s="206"/>
      <c r="AX73" s="215"/>
      <c r="AY73" s="206" t="e">
        <f>Tabla3[[#This Row],[Monto Colegiatura ]]*Tabla3[[#This Row],[% Beca UNAM 17-18]]</f>
        <v>#N/A</v>
      </c>
      <c r="AZ73" s="206"/>
      <c r="BA73" s="216">
        <f>3200*Tabla3[[#This Row],[% Beca Reinscripciones UNAM 17-18]]</f>
        <v>0</v>
      </c>
      <c r="BB73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73" s="217"/>
      <c r="BD73" s="218" t="e">
        <f>Tabla3[[#This Row],[Monto Colegiatura ]]*Tabla3[[#This Row],[% Beca Comunidad 17-18]]</f>
        <v>#N/A</v>
      </c>
      <c r="BE73" s="218" t="e">
        <f>Tabla3[[#This Row],[Cantidad Beca Comunidad Colegiatura 17-18]]*75%</f>
        <v>#N/A</v>
      </c>
      <c r="BF73" s="219"/>
      <c r="BG73" s="218" t="e">
        <f>Tabla3[[#This Row],[Reinscripción]]*Tabla3[[#This Row],[% Beca Reinscripciones Comunidad 18-19]]</f>
        <v>#N/A</v>
      </c>
      <c r="BH73" s="218" t="e">
        <f>Tabla3[[#This Row],[Cantidad Beca Reinscripciones Comunidad 18-19]]*70%</f>
        <v>#N/A</v>
      </c>
      <c r="BI73" s="216" t="e">
        <f>Tabla3[[#This Row],[75% Cantidad Beca Comunidad Colegiatura 17-18]]+Tabla3[[#This Row],[70% Cantidad Beca Reinscripciones 18-19]]</f>
        <v>#N/A</v>
      </c>
      <c r="BJ73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73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73" s="220"/>
      <c r="BM73" s="204"/>
      <c r="BN73" s="221"/>
      <c r="BO73" s="107"/>
      <c r="BP73" s="107">
        <f>Tabla3[[#This Row],[% AutorizadoBeca Colegiatura 17-18]]+Tabla3[[#This Row],[% Beca Prestacion 17-18]]+Tabla3[[#This Row],[% Beca UNAM 17-18]]</f>
        <v>0.25</v>
      </c>
      <c r="BQ73" s="108">
        <f t="shared" si="0"/>
        <v>286.75</v>
      </c>
      <c r="BR73" s="107">
        <f>Tabla3[[#This Row],[% Beca Comunidad 17-18]]</f>
        <v>0</v>
      </c>
      <c r="BS73" s="108">
        <f t="shared" si="1"/>
        <v>0</v>
      </c>
      <c r="BT73" s="108">
        <f t="shared" si="2"/>
        <v>0</v>
      </c>
      <c r="BU73" s="108">
        <f>Tabla3[[#This Row],[Monto3]]*75%</f>
        <v>0</v>
      </c>
      <c r="BV73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73" s="107" t="e">
        <f>VLOOKUP(Tabla3[[#This Row],[Nombre del Alumno]],'[3]BECAS COLEGIATURAS'!$I:$N,6,0)</f>
        <v>#N/A</v>
      </c>
      <c r="BX73" s="107" t="e">
        <f>VLOOKUP(Tabla3[[#This Row],[Nombre del Alumno]],[1]!Tabla1[[NOMBRE DEL ALUMNO]:[MATRIZ]],6,0)</f>
        <v>#REF!</v>
      </c>
      <c r="BY73" s="107" t="e">
        <f>VLOOKUP(Tabla3[[#This Row],[Nombre del Alumno]],'[3]BECAS COLEGIATURAS'!$I:$L,4,0)</f>
        <v>#N/A</v>
      </c>
      <c r="BZ73" s="108" t="e">
        <f>VLOOKUP(Tabla3[[#This Row],[Grado 18-19]],[2]Cuotas!$Q:$U,2,0)</f>
        <v>#N/A</v>
      </c>
      <c r="CA73" s="108" t="e">
        <f>VLOOKUP(Tabla3[[#This Row],[Grado 18-19]],[2]Cuotas!$Q:$U,3,0)</f>
        <v>#N/A</v>
      </c>
      <c r="CB73" s="108" t="e">
        <f>VLOOKUP(Tabla3[[#This Row],[Grado 18-19]],[2]Cuotas!$Q:$U,4,0)</f>
        <v>#N/A</v>
      </c>
      <c r="CC73" s="107">
        <v>0</v>
      </c>
      <c r="CD73" s="222"/>
      <c r="CE73" s="218" t="e">
        <f>Tabla3[[#This Row],[Monto Colegiatura 2018-2019]]*Tabla3[[#This Row],[% AutorizadoBeca Colegiatura 18-19]]</f>
        <v>#N/A</v>
      </c>
      <c r="CF73" s="223">
        <v>0.25</v>
      </c>
      <c r="CG73" s="218" t="e">
        <f>Tabla3[[#This Row],[Monto Colegiatura 2018-2019]]*Tabla3[[#This Row],[% Beca Prestacion 18-19]]</f>
        <v>#N/A</v>
      </c>
      <c r="CH73" s="223"/>
      <c r="CI73" s="218" t="e">
        <f>Tabla3[[#This Row],[Canasta 2018-2019]]*Tabla3[[#This Row],[% Beca Canasta 18-19]]</f>
        <v>#N/A</v>
      </c>
      <c r="CJ73" s="223"/>
      <c r="CK73" s="218" t="e">
        <f>Tabla3[[#This Row],[Reinscripción 2019-2020]]*Tabla3[[#This Row],[% Beca Reinscripciones 19-20]]</f>
        <v>#N/A</v>
      </c>
      <c r="CL73" s="218" t="e">
        <f>Tabla3[[#This Row],[Cantidad Beca Comunidad Colegiatura 18-19]]*25%</f>
        <v>#N/A</v>
      </c>
      <c r="CM73" s="224" t="e">
        <f>Tabla3[[#This Row],[Cantidad Beca Reinscripciones Comunidad 19-20]]*25%</f>
        <v>#N/A</v>
      </c>
      <c r="CN73" s="222"/>
      <c r="CO73" s="218" t="e">
        <f>Tabla3[[#This Row],[Monto Colegiatura 2018-2019]]*Tabla3[[#This Row],[% Beca UNAM 18-19]]</f>
        <v>#N/A</v>
      </c>
      <c r="CP73" s="225"/>
      <c r="CQ73" s="224">
        <f>3328*Tabla3[[#This Row],[% Beca Reinscripciones UNAM 18-19]]</f>
        <v>0</v>
      </c>
      <c r="CR73" s="226" t="e">
        <f>Tabla3[[#This Row],[Cantidad Beca Colegiatura 18-19]]+Tabla3[[#This Row],[Cantidad Beca Canasta 18-19]]+Tabla3[[#This Row],[Cantidad Beca Reinscripciones 19-20]]</f>
        <v>#N/A</v>
      </c>
      <c r="CS73" s="222"/>
      <c r="CT73" s="218" t="e">
        <f>Tabla3[[#This Row],[Monto Colegiatura 2018-2019]]*Tabla3[[#This Row],[% Beca Comunidad 18-19]]</f>
        <v>#N/A</v>
      </c>
      <c r="CU73" s="218" t="e">
        <f>Tabla3[[#This Row],[Cantidad Beca Comunidad Colegiatura 18-19]]*75%</f>
        <v>#N/A</v>
      </c>
      <c r="CV73" s="223"/>
      <c r="CW73" s="218" t="e">
        <f>Tabla3[[#This Row],[Reinscripción 2019-2020]]*Tabla3[[#This Row],[% Beca Reinscripciones Comunidad 19-20]]</f>
        <v>#N/A</v>
      </c>
      <c r="CX73" s="218" t="e">
        <f>Tabla3[[#This Row],[Cantidad Beca Reinscripciones Comunidad 19-20]]*75%</f>
        <v>#N/A</v>
      </c>
      <c r="CY73" s="227" t="e">
        <f>Tabla3[[#This Row],[75% Cantidad Beca Comunidad Colegiatura 18-19]]+Tabla3[[#This Row],[75% Cantidad Beca Reinscripciones 19-20]]</f>
        <v>#N/A</v>
      </c>
      <c r="CZ73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73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73" s="108">
        <f>1440*(Tabla3[[#This Row],[% AutorizadoBeca Colegiatura 18-19]]+Tabla3[[#This Row],[% Beca Prestacion 18-19]]+Tabla3[[#This Row],[% Beca UNAM 18-19]]+Tabla3[[#This Row],[% Beca Comunidad 18-19]])</f>
        <v>360</v>
      </c>
    </row>
    <row r="74" spans="2:106" ht="15" customHeight="1" x14ac:dyDescent="0.2">
      <c r="B74" s="107" t="s">
        <v>571</v>
      </c>
      <c r="C74" s="107" t="e">
        <f>VLOOKUP(Tabla3[[#This Row],[Nombre del Padre]],[1]!Tabla1[[PADRE]:[PADRE_CELULAR]],2,0)</f>
        <v>#REF!</v>
      </c>
      <c r="D74" s="107" t="e">
        <f>VLOOKUP(Tabla3[[#This Row],[Nombre del Padre]],[1]!Tabla1[[PADRE]:[PADRE_CELULAR]],3,0)</f>
        <v>#REF!</v>
      </c>
      <c r="E74" s="107" t="s">
        <v>572</v>
      </c>
      <c r="F74" s="107" t="e">
        <f>VLOOKUP(Tabla3[[#This Row],[Nombre de la Madre]],[1]!Tabla1[[MADRE]:[MADRE_TELEFONO]],2,0)</f>
        <v>#REF!</v>
      </c>
      <c r="G74" s="202" t="e">
        <f>VLOOKUP(Tabla3[[#This Row],[Nombre de la Madre]],[1]!Tabla1[[MADRE]:[MADRE_TELEFONO]],3,0)</f>
        <v>#REF!</v>
      </c>
      <c r="H74" s="230">
        <v>42</v>
      </c>
      <c r="I74" s="204">
        <v>1465</v>
      </c>
      <c r="J74" s="204" t="s">
        <v>573</v>
      </c>
      <c r="K74" s="204" t="s">
        <v>420</v>
      </c>
      <c r="L74" s="204" t="s">
        <v>574</v>
      </c>
      <c r="M74" s="205" t="s">
        <v>575</v>
      </c>
      <c r="N74" s="204" t="s">
        <v>276</v>
      </c>
      <c r="O74" s="206" t="e">
        <f>VLOOKUP(Tabla3[[#This Row],[Grado]],[2]Cuotas!$A:$E,2,0)</f>
        <v>#N/A</v>
      </c>
      <c r="P74" s="206" t="e">
        <f>VLOOKUP(Tabla3[[#This Row],[Grado]],[2]Cuotas!$A:$E,4,0)</f>
        <v>#N/A</v>
      </c>
      <c r="Q74" s="206" t="e">
        <f>VLOOKUP(Tabla3[[#This Row],[Grado]],[2]Cuotas!$A:$E,3,0)</f>
        <v>#N/A</v>
      </c>
      <c r="R74" s="207">
        <v>0.4</v>
      </c>
      <c r="S74" s="206" t="e">
        <f>Tabla3[[#This Row],[Monto Colegiatura]]*Tabla3[[#This Row],[% Beca Colegio 16-17]]</f>
        <v>#N/A</v>
      </c>
      <c r="T74" s="206"/>
      <c r="U74" s="206" t="e">
        <f>Tabla3[[#This Row],[Monto Colegiatura]]*Tabla3[[#This Row],[% Beca Prestación 16-17]]</f>
        <v>#N/A</v>
      </c>
      <c r="V74" s="208"/>
      <c r="W74" s="206" t="e">
        <f>Tabla3[[#This Row],[Monto Colegiatura]]*Tabla3[[#This Row],[% Beca Comunidad 16-17]]</f>
        <v>#N/A</v>
      </c>
      <c r="X74" s="206" t="e">
        <f>Tabla3[[#This Row],[Cantidad Beca Comunidad 16-17]]*25%</f>
        <v>#N/A</v>
      </c>
      <c r="Y74" s="206"/>
      <c r="Z74" s="206" t="e">
        <f>Tabla3[[#This Row],[Monto Colegiatura]]*Tabla3[[#This Row],[% Beca UNAM 16-17]]</f>
        <v>#N/A</v>
      </c>
      <c r="AA74" s="208"/>
      <c r="AB74" s="206" t="e">
        <f>Tabla3[[#This Row],[Monto Reinscripción]]*Tabla3[[#This Row],[% Beca Reinscripción 16-17]]</f>
        <v>#N/A</v>
      </c>
      <c r="AC74" s="206"/>
      <c r="AD74" s="206" t="e">
        <f>Tabla3[[#This Row],[Monto Canasta]]*Tabla3[[#This Row],[% Beca Canasta 16-17]]</f>
        <v>#N/A</v>
      </c>
      <c r="AE74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74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74" s="209" t="e">
        <f>VLOOKUP(Tabla3[[#This Row],[Nombre del Alumno]],[2]!Tabla1[[Alumno]:[Cuenta Ciclos]],2,0)</f>
        <v>#REF!</v>
      </c>
      <c r="AH74" s="210" t="s">
        <v>576</v>
      </c>
      <c r="AI74" s="211" t="s">
        <v>278</v>
      </c>
      <c r="AJ74" s="206" t="e">
        <f>VLOOKUP(Tabla3[[#This Row],[Grado 17-18]],[2]Cuotas!$H:$L,2,0)</f>
        <v>#N/A</v>
      </c>
      <c r="AK74" s="206" t="e">
        <f>VLOOKUP(Tabla3[[#This Row],[Grado 17-18]],[2]Cuotas!$H:$L,3,0)</f>
        <v>#N/A</v>
      </c>
      <c r="AL74" s="206" t="e">
        <f>VLOOKUP(Tabla3[[#This Row],[Grado 17-18]],[2]Cuotas!$H:$L,4,0)</f>
        <v>#N/A</v>
      </c>
      <c r="AM74" s="229">
        <v>0.5</v>
      </c>
      <c r="AN74" s="213">
        <v>0.5</v>
      </c>
      <c r="AO74" s="206" t="e">
        <f>Tabla3[[#This Row],[Monto Colegiatura ]]*Tabla3[[#This Row],[% AutorizadoBeca Colegiatura 17-18]]</f>
        <v>#N/A</v>
      </c>
      <c r="AP74" s="208"/>
      <c r="AQ74" s="206" t="e">
        <f>Tabla3[[#This Row],[Monto Colegiatura ]]*Tabla3[[#This Row],[% Beca Prestacion 17-18]]</f>
        <v>#N/A</v>
      </c>
      <c r="AR74" s="208"/>
      <c r="AS74" s="206" t="e">
        <f>Tabla3[[#This Row],[Canasta]]*Tabla3[[#This Row],[% Beca Canasta 17-18]]</f>
        <v>#N/A</v>
      </c>
      <c r="AT74" s="208"/>
      <c r="AU74" s="214">
        <v>0</v>
      </c>
      <c r="AV74" s="206" t="e">
        <f>Tabla3[[#This Row],[Cantidad Beca Comunidad Colegiatura 17-18]]*25%</f>
        <v>#N/A</v>
      </c>
      <c r="AW74" s="206"/>
      <c r="AX74" s="215"/>
      <c r="AY74" s="206" t="e">
        <f>Tabla3[[#This Row],[Monto Colegiatura ]]*Tabla3[[#This Row],[% Beca UNAM 17-18]]</f>
        <v>#N/A</v>
      </c>
      <c r="AZ74" s="206"/>
      <c r="BA74" s="216">
        <f>3200*Tabla3[[#This Row],[% Beca Reinscripciones UNAM 17-18]]</f>
        <v>0</v>
      </c>
      <c r="BB74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74" s="231"/>
      <c r="BD74" s="218" t="e">
        <f>Tabla3[[#This Row],[Monto Colegiatura ]]*Tabla3[[#This Row],[% Beca Comunidad 17-18]]</f>
        <v>#N/A</v>
      </c>
      <c r="BE74" s="218" t="e">
        <f>Tabla3[[#This Row],[Cantidad Beca Comunidad Colegiatura 17-18]]*75%</f>
        <v>#N/A</v>
      </c>
      <c r="BF74" s="219"/>
      <c r="BG74" s="218" t="e">
        <f>Tabla3[[#This Row],[Reinscripción]]*Tabla3[[#This Row],[% Beca Reinscripciones Comunidad 18-19]]</f>
        <v>#N/A</v>
      </c>
      <c r="BH74" s="218" t="e">
        <f>Tabla3[[#This Row],[Cantidad Beca Reinscripciones Comunidad 18-19]]*70%</f>
        <v>#N/A</v>
      </c>
      <c r="BI74" s="216" t="e">
        <f>Tabla3[[#This Row],[75% Cantidad Beca Comunidad Colegiatura 17-18]]+Tabla3[[#This Row],[70% Cantidad Beca Reinscripciones 18-19]]</f>
        <v>#N/A</v>
      </c>
      <c r="BJ74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74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74" s="220"/>
      <c r="BM74" s="204"/>
      <c r="BN74" s="221" t="s">
        <v>577</v>
      </c>
      <c r="BO74" s="107"/>
      <c r="BP74" s="107">
        <f>Tabla3[[#This Row],[% AutorizadoBeca Colegiatura 17-18]]+Tabla3[[#This Row],[% Beca Prestacion 17-18]]+Tabla3[[#This Row],[% Beca UNAM 17-18]]</f>
        <v>0.5</v>
      </c>
      <c r="BQ74" s="108">
        <f t="shared" ref="BQ74:BQ137" si="3">1147*BP74</f>
        <v>573.5</v>
      </c>
      <c r="BR74" s="107">
        <f>Tabla3[[#This Row],[% Beca Comunidad 17-18]]</f>
        <v>0</v>
      </c>
      <c r="BS74" s="108">
        <f t="shared" ref="BS74:BS137" si="4">1147*BR74</f>
        <v>0</v>
      </c>
      <c r="BT74" s="108">
        <f t="shared" ref="BT74:BT137" si="5">BS74*25%</f>
        <v>0</v>
      </c>
      <c r="BU74" s="108">
        <f>Tabla3[[#This Row],[Monto3]]*75%</f>
        <v>0</v>
      </c>
      <c r="BV74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74" s="107" t="e">
        <f>VLOOKUP(Tabla3[[#This Row],[Nombre del Alumno]],'[3]BECAS COLEGIATURAS'!$I:$N,6,0)</f>
        <v>#N/A</v>
      </c>
      <c r="BX74" s="107" t="e">
        <f>VLOOKUP(Tabla3[[#This Row],[Nombre del Alumno]],[1]!Tabla1[[NOMBRE DEL ALUMNO]:[MATRIZ]],6,0)</f>
        <v>#REF!</v>
      </c>
      <c r="BY74" s="107" t="e">
        <f>VLOOKUP(Tabla3[[#This Row],[Nombre del Alumno]],'[3]BECAS COLEGIATURAS'!$I:$L,4,0)</f>
        <v>#N/A</v>
      </c>
      <c r="BZ74" s="108" t="e">
        <f>VLOOKUP(Tabla3[[#This Row],[Grado 18-19]],[2]Cuotas!$Q:$U,2,0)</f>
        <v>#N/A</v>
      </c>
      <c r="CA74" s="108" t="e">
        <f>VLOOKUP(Tabla3[[#This Row],[Grado 18-19]],[2]Cuotas!$Q:$U,3,0)</f>
        <v>#N/A</v>
      </c>
      <c r="CB74" s="108" t="e">
        <f>VLOOKUP(Tabla3[[#This Row],[Grado 18-19]],[2]Cuotas!$Q:$U,4,0)</f>
        <v>#N/A</v>
      </c>
      <c r="CC74" s="107">
        <v>50</v>
      </c>
      <c r="CD74" s="222">
        <v>0.5</v>
      </c>
      <c r="CE74" s="218" t="e">
        <f>Tabla3[[#This Row],[Monto Colegiatura 2018-2019]]*Tabla3[[#This Row],[% AutorizadoBeca Colegiatura 18-19]]</f>
        <v>#N/A</v>
      </c>
      <c r="CF74" s="223"/>
      <c r="CG74" s="218" t="e">
        <f>Tabla3[[#This Row],[Monto Colegiatura 2018-2019]]*Tabla3[[#This Row],[% Beca Prestacion 18-19]]</f>
        <v>#N/A</v>
      </c>
      <c r="CH74" s="223"/>
      <c r="CI74" s="218" t="e">
        <f>Tabla3[[#This Row],[Canasta 2018-2019]]*Tabla3[[#This Row],[% Beca Canasta 18-19]]</f>
        <v>#N/A</v>
      </c>
      <c r="CJ74" s="223"/>
      <c r="CK74" s="218" t="e">
        <f>Tabla3[[#This Row],[Reinscripción 2019-2020]]*Tabla3[[#This Row],[% Beca Reinscripciones 19-20]]</f>
        <v>#N/A</v>
      </c>
      <c r="CL74" s="218" t="e">
        <f>Tabla3[[#This Row],[Cantidad Beca Comunidad Colegiatura 18-19]]*25%</f>
        <v>#N/A</v>
      </c>
      <c r="CM74" s="224" t="e">
        <f>Tabla3[[#This Row],[Cantidad Beca Reinscripciones Comunidad 19-20]]*25%</f>
        <v>#N/A</v>
      </c>
      <c r="CN74" s="222"/>
      <c r="CO74" s="218" t="e">
        <f>Tabla3[[#This Row],[Monto Colegiatura 2018-2019]]*Tabla3[[#This Row],[% Beca UNAM 18-19]]</f>
        <v>#N/A</v>
      </c>
      <c r="CP74" s="225"/>
      <c r="CQ74" s="224">
        <f>3328*Tabla3[[#This Row],[% Beca Reinscripciones UNAM 18-19]]</f>
        <v>0</v>
      </c>
      <c r="CR74" s="226" t="e">
        <f>Tabla3[[#This Row],[Cantidad Beca Colegiatura 18-19]]+Tabla3[[#This Row],[Cantidad Beca Canasta 18-19]]+Tabla3[[#This Row],[Cantidad Beca Reinscripciones 19-20]]</f>
        <v>#N/A</v>
      </c>
      <c r="CS74" s="222"/>
      <c r="CT74" s="218" t="e">
        <f>Tabla3[[#This Row],[Monto Colegiatura 2018-2019]]*Tabla3[[#This Row],[% Beca Comunidad 18-19]]</f>
        <v>#N/A</v>
      </c>
      <c r="CU74" s="218" t="e">
        <f>Tabla3[[#This Row],[Cantidad Beca Comunidad Colegiatura 18-19]]*75%</f>
        <v>#N/A</v>
      </c>
      <c r="CV74" s="223"/>
      <c r="CW74" s="218" t="e">
        <f>Tabla3[[#This Row],[Reinscripción 2019-2020]]*Tabla3[[#This Row],[% Beca Reinscripciones Comunidad 19-20]]</f>
        <v>#N/A</v>
      </c>
      <c r="CX74" s="218" t="e">
        <f>Tabla3[[#This Row],[Cantidad Beca Reinscripciones Comunidad 19-20]]*75%</f>
        <v>#N/A</v>
      </c>
      <c r="CY74" s="227" t="e">
        <f>Tabla3[[#This Row],[75% Cantidad Beca Comunidad Colegiatura 18-19]]+Tabla3[[#This Row],[75% Cantidad Beca Reinscripciones 19-20]]</f>
        <v>#N/A</v>
      </c>
      <c r="CZ74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74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74" s="108">
        <f>1440*(Tabla3[[#This Row],[% AutorizadoBeca Colegiatura 18-19]]+Tabla3[[#This Row],[% Beca Prestacion 18-19]]+Tabla3[[#This Row],[% Beca UNAM 18-19]]+Tabla3[[#This Row],[% Beca Comunidad 18-19]])</f>
        <v>720</v>
      </c>
    </row>
    <row r="75" spans="2:106" ht="15" customHeight="1" x14ac:dyDescent="0.2">
      <c r="B75" s="107" t="s">
        <v>571</v>
      </c>
      <c r="C75" s="107" t="e">
        <f>VLOOKUP(Tabla3[[#This Row],[Nombre del Padre]],[1]!Tabla1[[PADRE]:[PADRE_CELULAR]],2,0)</f>
        <v>#REF!</v>
      </c>
      <c r="D75" s="107" t="e">
        <f>VLOOKUP(Tabla3[[#This Row],[Nombre del Padre]],[1]!Tabla1[[PADRE]:[PADRE_CELULAR]],3,0)</f>
        <v>#REF!</v>
      </c>
      <c r="E75" s="107" t="s">
        <v>572</v>
      </c>
      <c r="F75" s="107" t="e">
        <f>VLOOKUP(Tabla3[[#This Row],[Nombre de la Madre]],[1]!Tabla1[[MADRE]:[MADRE_TELEFONO]],2,0)</f>
        <v>#REF!</v>
      </c>
      <c r="G75" s="202" t="e">
        <f>VLOOKUP(Tabla3[[#This Row],[Nombre de la Madre]],[1]!Tabla1[[MADRE]:[MADRE_TELEFONO]],3,0)</f>
        <v>#REF!</v>
      </c>
      <c r="H75" s="230"/>
      <c r="I75" s="204">
        <v>1465</v>
      </c>
      <c r="J75" s="204" t="s">
        <v>573</v>
      </c>
      <c r="K75" s="204" t="s">
        <v>420</v>
      </c>
      <c r="L75" s="204" t="s">
        <v>578</v>
      </c>
      <c r="M75" s="205" t="s">
        <v>575</v>
      </c>
      <c r="N75" s="204" t="s">
        <v>276</v>
      </c>
      <c r="O75" s="206" t="e">
        <f>VLOOKUP(Tabla3[[#This Row],[Grado]],[2]Cuotas!$A:$E,2,0)</f>
        <v>#N/A</v>
      </c>
      <c r="P75" s="206" t="e">
        <f>VLOOKUP(Tabla3[[#This Row],[Grado]],[2]Cuotas!$A:$E,4,0)</f>
        <v>#N/A</v>
      </c>
      <c r="Q75" s="206" t="e">
        <f>VLOOKUP(Tabla3[[#This Row],[Grado]],[2]Cuotas!$A:$E,3,0)</f>
        <v>#N/A</v>
      </c>
      <c r="R75" s="207">
        <v>0.4</v>
      </c>
      <c r="S75" s="206" t="e">
        <f>Tabla3[[#This Row],[Monto Colegiatura]]*Tabla3[[#This Row],[% Beca Colegio 16-17]]</f>
        <v>#N/A</v>
      </c>
      <c r="T75" s="206"/>
      <c r="U75" s="206" t="e">
        <f>Tabla3[[#This Row],[Monto Colegiatura]]*Tabla3[[#This Row],[% Beca Prestación 16-17]]</f>
        <v>#N/A</v>
      </c>
      <c r="V75" s="208"/>
      <c r="W75" s="206" t="e">
        <f>Tabla3[[#This Row],[Monto Colegiatura]]*Tabla3[[#This Row],[% Beca Comunidad 16-17]]</f>
        <v>#N/A</v>
      </c>
      <c r="X75" s="206" t="e">
        <f>Tabla3[[#This Row],[Cantidad Beca Comunidad 16-17]]*25%</f>
        <v>#N/A</v>
      </c>
      <c r="Y75" s="206"/>
      <c r="Z75" s="206" t="e">
        <f>Tabla3[[#This Row],[Monto Colegiatura]]*Tabla3[[#This Row],[% Beca UNAM 16-17]]</f>
        <v>#N/A</v>
      </c>
      <c r="AA75" s="208"/>
      <c r="AB75" s="206" t="e">
        <f>Tabla3[[#This Row],[Monto Reinscripción]]*Tabla3[[#This Row],[% Beca Reinscripción 16-17]]</f>
        <v>#N/A</v>
      </c>
      <c r="AC75" s="206"/>
      <c r="AD75" s="206" t="e">
        <f>Tabla3[[#This Row],[Monto Canasta]]*Tabla3[[#This Row],[% Beca Canasta 16-17]]</f>
        <v>#N/A</v>
      </c>
      <c r="AE75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75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75" s="209" t="e">
        <f>VLOOKUP(Tabla3[[#This Row],[Nombre del Alumno]],[2]!Tabla1[[Alumno]:[Cuenta Ciclos]],2,0)</f>
        <v>#REF!</v>
      </c>
      <c r="AH75" s="210" t="s">
        <v>576</v>
      </c>
      <c r="AI75" s="211" t="s">
        <v>278</v>
      </c>
      <c r="AJ75" s="206" t="e">
        <f>VLOOKUP(Tabla3[[#This Row],[Grado 17-18]],[2]Cuotas!$H:$L,2,0)</f>
        <v>#N/A</v>
      </c>
      <c r="AK75" s="206" t="e">
        <f>VLOOKUP(Tabla3[[#This Row],[Grado 17-18]],[2]Cuotas!$H:$L,3,0)</f>
        <v>#N/A</v>
      </c>
      <c r="AL75" s="206" t="e">
        <f>VLOOKUP(Tabla3[[#This Row],[Grado 17-18]],[2]Cuotas!$H:$L,4,0)</f>
        <v>#N/A</v>
      </c>
      <c r="AM75" s="229">
        <v>0.5</v>
      </c>
      <c r="AN75" s="213">
        <v>0.5</v>
      </c>
      <c r="AO75" s="206" t="e">
        <f>Tabla3[[#This Row],[Monto Colegiatura ]]*Tabla3[[#This Row],[% AutorizadoBeca Colegiatura 17-18]]</f>
        <v>#N/A</v>
      </c>
      <c r="AP75" s="208"/>
      <c r="AQ75" s="206" t="e">
        <f>Tabla3[[#This Row],[Monto Colegiatura ]]*Tabla3[[#This Row],[% Beca Prestacion 17-18]]</f>
        <v>#N/A</v>
      </c>
      <c r="AR75" s="208"/>
      <c r="AS75" s="206" t="e">
        <f>Tabla3[[#This Row],[Canasta]]*Tabla3[[#This Row],[% Beca Canasta 17-18]]</f>
        <v>#N/A</v>
      </c>
      <c r="AT75" s="208"/>
      <c r="AU75" s="214">
        <v>0</v>
      </c>
      <c r="AV75" s="206" t="e">
        <f>Tabla3[[#This Row],[Cantidad Beca Comunidad Colegiatura 17-18]]*25%</f>
        <v>#N/A</v>
      </c>
      <c r="AW75" s="206"/>
      <c r="AX75" s="215"/>
      <c r="AY75" s="206" t="e">
        <f>Tabla3[[#This Row],[Monto Colegiatura ]]*Tabla3[[#This Row],[% Beca UNAM 17-18]]</f>
        <v>#N/A</v>
      </c>
      <c r="AZ75" s="206"/>
      <c r="BA75" s="216">
        <f>3200*Tabla3[[#This Row],[% Beca Reinscripciones UNAM 17-18]]</f>
        <v>0</v>
      </c>
      <c r="BB75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75" s="231"/>
      <c r="BD75" s="218" t="e">
        <f>Tabla3[[#This Row],[Monto Colegiatura ]]*Tabla3[[#This Row],[% Beca Comunidad 17-18]]</f>
        <v>#N/A</v>
      </c>
      <c r="BE75" s="218" t="e">
        <f>Tabla3[[#This Row],[Cantidad Beca Comunidad Colegiatura 17-18]]*75%</f>
        <v>#N/A</v>
      </c>
      <c r="BF75" s="219"/>
      <c r="BG75" s="218" t="e">
        <f>Tabla3[[#This Row],[Reinscripción]]*Tabla3[[#This Row],[% Beca Reinscripciones Comunidad 18-19]]</f>
        <v>#N/A</v>
      </c>
      <c r="BH75" s="218" t="e">
        <f>Tabla3[[#This Row],[Cantidad Beca Reinscripciones Comunidad 18-19]]*70%</f>
        <v>#N/A</v>
      </c>
      <c r="BI75" s="216" t="e">
        <f>Tabla3[[#This Row],[75% Cantidad Beca Comunidad Colegiatura 17-18]]+Tabla3[[#This Row],[70% Cantidad Beca Reinscripciones 18-19]]</f>
        <v>#N/A</v>
      </c>
      <c r="BJ75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75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75" s="220"/>
      <c r="BM75" s="204"/>
      <c r="BN75" s="221"/>
      <c r="BO75" s="107"/>
      <c r="BP75" s="107">
        <f>Tabla3[[#This Row],[% AutorizadoBeca Colegiatura 17-18]]+Tabla3[[#This Row],[% Beca Prestacion 17-18]]+Tabla3[[#This Row],[% Beca UNAM 17-18]]</f>
        <v>0.5</v>
      </c>
      <c r="BQ75" s="108">
        <f t="shared" si="3"/>
        <v>573.5</v>
      </c>
      <c r="BR75" s="107">
        <f>Tabla3[[#This Row],[% Beca Comunidad 17-18]]</f>
        <v>0</v>
      </c>
      <c r="BS75" s="108">
        <f t="shared" si="4"/>
        <v>0</v>
      </c>
      <c r="BT75" s="108">
        <f t="shared" si="5"/>
        <v>0</v>
      </c>
      <c r="BU75" s="108">
        <f>Tabla3[[#This Row],[Monto3]]*75%</f>
        <v>0</v>
      </c>
      <c r="BV75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75" s="107" t="e">
        <f>VLOOKUP(Tabla3[[#This Row],[Nombre del Alumno]],'[3]BECAS COLEGIATURAS'!$I:$N,6,0)</f>
        <v>#N/A</v>
      </c>
      <c r="BX75" s="107" t="e">
        <f>VLOOKUP(Tabla3[[#This Row],[Nombre del Alumno]],[1]!Tabla1[[NOMBRE DEL ALUMNO]:[MATRIZ]],6,0)</f>
        <v>#REF!</v>
      </c>
      <c r="BY75" s="107" t="e">
        <f>VLOOKUP(Tabla3[[#This Row],[Nombre del Alumno]],'[3]BECAS COLEGIATURAS'!$I:$L,4,0)</f>
        <v>#N/A</v>
      </c>
      <c r="BZ75" s="108" t="e">
        <f>VLOOKUP(Tabla3[[#This Row],[Grado 18-19]],[2]Cuotas!$Q:$U,2,0)</f>
        <v>#N/A</v>
      </c>
      <c r="CA75" s="108" t="e">
        <f>VLOOKUP(Tabla3[[#This Row],[Grado 18-19]],[2]Cuotas!$Q:$U,3,0)</f>
        <v>#N/A</v>
      </c>
      <c r="CB75" s="108" t="e">
        <f>VLOOKUP(Tabla3[[#This Row],[Grado 18-19]],[2]Cuotas!$Q:$U,4,0)</f>
        <v>#N/A</v>
      </c>
      <c r="CC75" s="107">
        <v>50</v>
      </c>
      <c r="CD75" s="222">
        <v>0.5</v>
      </c>
      <c r="CE75" s="218" t="e">
        <f>Tabla3[[#This Row],[Monto Colegiatura 2018-2019]]*Tabla3[[#This Row],[% AutorizadoBeca Colegiatura 18-19]]</f>
        <v>#N/A</v>
      </c>
      <c r="CF75" s="223"/>
      <c r="CG75" s="218" t="e">
        <f>Tabla3[[#This Row],[Monto Colegiatura 2018-2019]]*Tabla3[[#This Row],[% Beca Prestacion 18-19]]</f>
        <v>#N/A</v>
      </c>
      <c r="CH75" s="223"/>
      <c r="CI75" s="218" t="e">
        <f>Tabla3[[#This Row],[Canasta 2018-2019]]*Tabla3[[#This Row],[% Beca Canasta 18-19]]</f>
        <v>#N/A</v>
      </c>
      <c r="CJ75" s="223"/>
      <c r="CK75" s="218" t="e">
        <f>Tabla3[[#This Row],[Reinscripción 2019-2020]]*Tabla3[[#This Row],[% Beca Reinscripciones 19-20]]</f>
        <v>#N/A</v>
      </c>
      <c r="CL75" s="218" t="e">
        <f>Tabla3[[#This Row],[Cantidad Beca Comunidad Colegiatura 18-19]]*25%</f>
        <v>#N/A</v>
      </c>
      <c r="CM75" s="224" t="e">
        <f>Tabla3[[#This Row],[Cantidad Beca Reinscripciones Comunidad 19-20]]*25%</f>
        <v>#N/A</v>
      </c>
      <c r="CN75" s="222"/>
      <c r="CO75" s="218" t="e">
        <f>Tabla3[[#This Row],[Monto Colegiatura 2018-2019]]*Tabla3[[#This Row],[% Beca UNAM 18-19]]</f>
        <v>#N/A</v>
      </c>
      <c r="CP75" s="225"/>
      <c r="CQ75" s="224">
        <f>3328*Tabla3[[#This Row],[% Beca Reinscripciones UNAM 18-19]]</f>
        <v>0</v>
      </c>
      <c r="CR75" s="226" t="e">
        <f>Tabla3[[#This Row],[Cantidad Beca Colegiatura 18-19]]+Tabla3[[#This Row],[Cantidad Beca Canasta 18-19]]+Tabla3[[#This Row],[Cantidad Beca Reinscripciones 19-20]]</f>
        <v>#N/A</v>
      </c>
      <c r="CS75" s="222"/>
      <c r="CT75" s="218" t="e">
        <f>Tabla3[[#This Row],[Monto Colegiatura 2018-2019]]*Tabla3[[#This Row],[% Beca Comunidad 18-19]]</f>
        <v>#N/A</v>
      </c>
      <c r="CU75" s="218" t="e">
        <f>Tabla3[[#This Row],[Cantidad Beca Comunidad Colegiatura 18-19]]*75%</f>
        <v>#N/A</v>
      </c>
      <c r="CV75" s="223"/>
      <c r="CW75" s="218" t="e">
        <f>Tabla3[[#This Row],[Reinscripción 2019-2020]]*Tabla3[[#This Row],[% Beca Reinscripciones Comunidad 19-20]]</f>
        <v>#N/A</v>
      </c>
      <c r="CX75" s="218" t="e">
        <f>Tabla3[[#This Row],[Cantidad Beca Reinscripciones Comunidad 19-20]]*75%</f>
        <v>#N/A</v>
      </c>
      <c r="CY75" s="227" t="e">
        <f>Tabla3[[#This Row],[75% Cantidad Beca Comunidad Colegiatura 18-19]]+Tabla3[[#This Row],[75% Cantidad Beca Reinscripciones 19-20]]</f>
        <v>#N/A</v>
      </c>
      <c r="CZ75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75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75" s="108">
        <f>1440*(Tabla3[[#This Row],[% AutorizadoBeca Colegiatura 18-19]]+Tabla3[[#This Row],[% Beca Prestacion 18-19]]+Tabla3[[#This Row],[% Beca UNAM 18-19]]+Tabla3[[#This Row],[% Beca Comunidad 18-19]])</f>
        <v>720</v>
      </c>
    </row>
    <row r="76" spans="2:106" ht="15" customHeight="1" x14ac:dyDescent="0.2">
      <c r="B76" s="107" t="s">
        <v>579</v>
      </c>
      <c r="C76" s="107" t="e">
        <f>VLOOKUP(Tabla3[[#This Row],[Nombre del Padre]],[1]!Tabla1[[PADRE]:[PADRE_CELULAR]],2,0)</f>
        <v>#REF!</v>
      </c>
      <c r="D76" s="107" t="e">
        <f>VLOOKUP(Tabla3[[#This Row],[Nombre del Padre]],[1]!Tabla1[[PADRE]:[PADRE_CELULAR]],3,0)</f>
        <v>#REF!</v>
      </c>
      <c r="E76" s="107" t="s">
        <v>580</v>
      </c>
      <c r="F76" s="107" t="e">
        <f>VLOOKUP(Tabla3[[#This Row],[Nombre de la Madre]],[1]!Tabla1[[MADRE]:[MADRE_TELEFONO]],2,0)</f>
        <v>#REF!</v>
      </c>
      <c r="G76" s="202" t="e">
        <f>VLOOKUP(Tabla3[[#This Row],[Nombre de la Madre]],[1]!Tabla1[[MADRE]:[MADRE_TELEFONO]],3,0)</f>
        <v>#REF!</v>
      </c>
      <c r="H76" s="228">
        <v>43</v>
      </c>
      <c r="I76" s="204">
        <v>1707</v>
      </c>
      <c r="J76" s="204" t="s">
        <v>581</v>
      </c>
      <c r="K76" s="204" t="s">
        <v>420</v>
      </c>
      <c r="L76" s="204" t="s">
        <v>81</v>
      </c>
      <c r="M76" s="205" t="s">
        <v>582</v>
      </c>
      <c r="N76" s="204" t="s">
        <v>338</v>
      </c>
      <c r="O76" s="206" t="e">
        <f>VLOOKUP(Tabla3[[#This Row],[Grado]],[2]Cuotas!$A:$E,2,0)</f>
        <v>#N/A</v>
      </c>
      <c r="P76" s="206" t="e">
        <f>VLOOKUP(Tabla3[[#This Row],[Grado]],[2]Cuotas!$A:$E,4,0)</f>
        <v>#N/A</v>
      </c>
      <c r="Q76" s="206" t="e">
        <f>VLOOKUP(Tabla3[[#This Row],[Grado]],[2]Cuotas!$A:$E,3,0)</f>
        <v>#N/A</v>
      </c>
      <c r="R76" s="207"/>
      <c r="S76" s="206" t="e">
        <f>Tabla3[[#This Row],[Monto Colegiatura]]*Tabla3[[#This Row],[% Beca Colegio 16-17]]</f>
        <v>#N/A</v>
      </c>
      <c r="T76" s="208">
        <v>0.5</v>
      </c>
      <c r="U76" s="206" t="e">
        <f>Tabla3[[#This Row],[Monto Colegiatura]]*Tabla3[[#This Row],[% Beca Prestación 16-17]]</f>
        <v>#N/A</v>
      </c>
      <c r="V76" s="208"/>
      <c r="W76" s="206" t="e">
        <f>Tabla3[[#This Row],[Monto Colegiatura]]*Tabla3[[#This Row],[% Beca Comunidad 16-17]]</f>
        <v>#N/A</v>
      </c>
      <c r="X76" s="206" t="e">
        <f>Tabla3[[#This Row],[Cantidad Beca Comunidad 16-17]]*25%</f>
        <v>#N/A</v>
      </c>
      <c r="Y76" s="206"/>
      <c r="Z76" s="206" t="e">
        <f>Tabla3[[#This Row],[Monto Colegiatura]]*Tabla3[[#This Row],[% Beca UNAM 16-17]]</f>
        <v>#N/A</v>
      </c>
      <c r="AA76" s="208"/>
      <c r="AB76" s="206" t="e">
        <f>Tabla3[[#This Row],[Monto Reinscripción]]*Tabla3[[#This Row],[% Beca Reinscripción 16-17]]</f>
        <v>#N/A</v>
      </c>
      <c r="AC76" s="206"/>
      <c r="AD76" s="206" t="e">
        <f>Tabla3[[#This Row],[Monto Canasta]]*Tabla3[[#This Row],[% Beca Canasta 16-17]]</f>
        <v>#N/A</v>
      </c>
      <c r="AE76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76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76" s="209" t="e">
        <f>VLOOKUP(Tabla3[[#This Row],[Nombre del Alumno]],[2]!Tabla1[[Alumno]:[Cuenta Ciclos]],2,0)</f>
        <v>#REF!</v>
      </c>
      <c r="AH76" s="210" t="s">
        <v>583</v>
      </c>
      <c r="AI76" s="211" t="s">
        <v>276</v>
      </c>
      <c r="AJ76" s="206" t="e">
        <f>VLOOKUP(Tabla3[[#This Row],[Grado 17-18]],[2]Cuotas!$H:$L,2,0)</f>
        <v>#N/A</v>
      </c>
      <c r="AK76" s="206" t="e">
        <f>VLOOKUP(Tabla3[[#This Row],[Grado 17-18]],[2]Cuotas!$H:$L,3,0)</f>
        <v>#N/A</v>
      </c>
      <c r="AL76" s="206" t="e">
        <f>VLOOKUP(Tabla3[[#This Row],[Grado 17-18]],[2]Cuotas!$H:$L,4,0)</f>
        <v>#N/A</v>
      </c>
      <c r="AM76" s="212"/>
      <c r="AN76" s="213"/>
      <c r="AO76" s="206" t="e">
        <f>Tabla3[[#This Row],[Monto Colegiatura ]]*Tabla3[[#This Row],[% AutorizadoBeca Colegiatura 17-18]]</f>
        <v>#N/A</v>
      </c>
      <c r="AP76" s="208">
        <v>0.5</v>
      </c>
      <c r="AQ76" s="206" t="e">
        <f>Tabla3[[#This Row],[Monto Colegiatura ]]*Tabla3[[#This Row],[% Beca Prestacion 17-18]]</f>
        <v>#N/A</v>
      </c>
      <c r="AR76" s="208"/>
      <c r="AS76" s="206" t="e">
        <f>Tabla3[[#This Row],[Canasta]]*Tabla3[[#This Row],[% Beca Canasta 17-18]]</f>
        <v>#N/A</v>
      </c>
      <c r="AT76" s="208"/>
      <c r="AU76" s="214">
        <v>0</v>
      </c>
      <c r="AV76" s="206" t="e">
        <f>Tabla3[[#This Row],[Cantidad Beca Comunidad Colegiatura 17-18]]*25%</f>
        <v>#N/A</v>
      </c>
      <c r="AW76" s="206"/>
      <c r="AX76" s="215"/>
      <c r="AY76" s="206" t="e">
        <f>Tabla3[[#This Row],[Monto Colegiatura ]]*Tabla3[[#This Row],[% Beca UNAM 17-18]]</f>
        <v>#N/A</v>
      </c>
      <c r="AZ76" s="206"/>
      <c r="BA76" s="216">
        <f>3200*Tabla3[[#This Row],[% Beca Reinscripciones UNAM 17-18]]</f>
        <v>0</v>
      </c>
      <c r="BB76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76" s="217"/>
      <c r="BD76" s="218" t="e">
        <f>Tabla3[[#This Row],[Monto Colegiatura ]]*Tabla3[[#This Row],[% Beca Comunidad 17-18]]</f>
        <v>#N/A</v>
      </c>
      <c r="BE76" s="218" t="e">
        <f>Tabla3[[#This Row],[Cantidad Beca Comunidad Colegiatura 17-18]]*75%</f>
        <v>#N/A</v>
      </c>
      <c r="BF76" s="219"/>
      <c r="BG76" s="218" t="e">
        <f>Tabla3[[#This Row],[Reinscripción]]*Tabla3[[#This Row],[% Beca Reinscripciones Comunidad 18-19]]</f>
        <v>#N/A</v>
      </c>
      <c r="BH76" s="218" t="e">
        <f>Tabla3[[#This Row],[Cantidad Beca Reinscripciones Comunidad 18-19]]*70%</f>
        <v>#N/A</v>
      </c>
      <c r="BI76" s="216" t="e">
        <f>Tabla3[[#This Row],[75% Cantidad Beca Comunidad Colegiatura 17-18]]+Tabla3[[#This Row],[70% Cantidad Beca Reinscripciones 18-19]]</f>
        <v>#N/A</v>
      </c>
      <c r="BJ76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76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76" s="220"/>
      <c r="BM76" s="204"/>
      <c r="BN76" s="221"/>
      <c r="BO76" s="107"/>
      <c r="BP76" s="107">
        <f>Tabla3[[#This Row],[% AutorizadoBeca Colegiatura 17-18]]+Tabla3[[#This Row],[% Beca Prestacion 17-18]]+Tabla3[[#This Row],[% Beca UNAM 17-18]]</f>
        <v>0.5</v>
      </c>
      <c r="BQ76" s="108">
        <f t="shared" si="3"/>
        <v>573.5</v>
      </c>
      <c r="BR76" s="107">
        <f>Tabla3[[#This Row],[% Beca Comunidad 17-18]]</f>
        <v>0</v>
      </c>
      <c r="BS76" s="108">
        <f t="shared" si="4"/>
        <v>0</v>
      </c>
      <c r="BT76" s="108">
        <f t="shared" si="5"/>
        <v>0</v>
      </c>
      <c r="BU76" s="108">
        <f>Tabla3[[#This Row],[Monto3]]*75%</f>
        <v>0</v>
      </c>
      <c r="BV76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76" s="107" t="e">
        <f>VLOOKUP(Tabla3[[#This Row],[Nombre del Alumno]],'[3]BECAS COLEGIATURAS'!$I:$N,6,0)</f>
        <v>#N/A</v>
      </c>
      <c r="BX76" s="107" t="e">
        <f>VLOOKUP(Tabla3[[#This Row],[Nombre del Alumno]],[1]!Tabla1[[NOMBRE DEL ALUMNO]:[MATRIZ]],6,0)</f>
        <v>#REF!</v>
      </c>
      <c r="BY76" s="107" t="e">
        <f>VLOOKUP(Tabla3[[#This Row],[Nombre del Alumno]],'[3]BECAS COLEGIATURAS'!$I:$L,4,0)</f>
        <v>#N/A</v>
      </c>
      <c r="BZ76" s="108" t="e">
        <f>VLOOKUP(Tabla3[[#This Row],[Grado 18-19]],[2]Cuotas!$Q:$U,2,0)</f>
        <v>#N/A</v>
      </c>
      <c r="CA76" s="108" t="e">
        <f>VLOOKUP(Tabla3[[#This Row],[Grado 18-19]],[2]Cuotas!$Q:$U,3,0)</f>
        <v>#N/A</v>
      </c>
      <c r="CB76" s="108" t="e">
        <f>VLOOKUP(Tabla3[[#This Row],[Grado 18-19]],[2]Cuotas!$Q:$U,4,0)</f>
        <v>#N/A</v>
      </c>
      <c r="CC76" s="107">
        <v>0</v>
      </c>
      <c r="CD76" s="222"/>
      <c r="CE76" s="218" t="e">
        <f>Tabla3[[#This Row],[Monto Colegiatura 2018-2019]]*Tabla3[[#This Row],[% AutorizadoBeca Colegiatura 18-19]]</f>
        <v>#N/A</v>
      </c>
      <c r="CF76" s="223">
        <v>0.5</v>
      </c>
      <c r="CG76" s="218" t="e">
        <f>Tabla3[[#This Row],[Monto Colegiatura 2018-2019]]*Tabla3[[#This Row],[% Beca Prestacion 18-19]]</f>
        <v>#N/A</v>
      </c>
      <c r="CH76" s="223"/>
      <c r="CI76" s="218" t="e">
        <f>Tabla3[[#This Row],[Canasta 2018-2019]]*Tabla3[[#This Row],[% Beca Canasta 18-19]]</f>
        <v>#N/A</v>
      </c>
      <c r="CJ76" s="223"/>
      <c r="CK76" s="218" t="e">
        <f>Tabla3[[#This Row],[Reinscripción 2019-2020]]*Tabla3[[#This Row],[% Beca Reinscripciones 19-20]]</f>
        <v>#N/A</v>
      </c>
      <c r="CL76" s="218" t="e">
        <f>Tabla3[[#This Row],[Cantidad Beca Comunidad Colegiatura 18-19]]*25%</f>
        <v>#N/A</v>
      </c>
      <c r="CM76" s="224" t="e">
        <f>Tabla3[[#This Row],[Cantidad Beca Reinscripciones Comunidad 19-20]]*25%</f>
        <v>#N/A</v>
      </c>
      <c r="CN76" s="222"/>
      <c r="CO76" s="218" t="e">
        <f>Tabla3[[#This Row],[Monto Colegiatura 2018-2019]]*Tabla3[[#This Row],[% Beca UNAM 18-19]]</f>
        <v>#N/A</v>
      </c>
      <c r="CP76" s="225"/>
      <c r="CQ76" s="224">
        <f>3328*Tabla3[[#This Row],[% Beca Reinscripciones UNAM 18-19]]</f>
        <v>0</v>
      </c>
      <c r="CR76" s="226" t="e">
        <f>Tabla3[[#This Row],[Cantidad Beca Colegiatura 18-19]]+Tabla3[[#This Row],[Cantidad Beca Canasta 18-19]]+Tabla3[[#This Row],[Cantidad Beca Reinscripciones 19-20]]</f>
        <v>#N/A</v>
      </c>
      <c r="CS76" s="222"/>
      <c r="CT76" s="218" t="e">
        <f>Tabla3[[#This Row],[Monto Colegiatura 2018-2019]]*Tabla3[[#This Row],[% Beca Comunidad 18-19]]</f>
        <v>#N/A</v>
      </c>
      <c r="CU76" s="218" t="e">
        <f>Tabla3[[#This Row],[Cantidad Beca Comunidad Colegiatura 18-19]]*75%</f>
        <v>#N/A</v>
      </c>
      <c r="CV76" s="223"/>
      <c r="CW76" s="218" t="e">
        <f>Tabla3[[#This Row],[Reinscripción 2019-2020]]*Tabla3[[#This Row],[% Beca Reinscripciones Comunidad 19-20]]</f>
        <v>#N/A</v>
      </c>
      <c r="CX76" s="218" t="e">
        <f>Tabla3[[#This Row],[Cantidad Beca Reinscripciones Comunidad 19-20]]*75%</f>
        <v>#N/A</v>
      </c>
      <c r="CY76" s="227" t="e">
        <f>Tabla3[[#This Row],[75% Cantidad Beca Comunidad Colegiatura 18-19]]+Tabla3[[#This Row],[75% Cantidad Beca Reinscripciones 19-20]]</f>
        <v>#N/A</v>
      </c>
      <c r="CZ76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76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76" s="108">
        <f>1440*(Tabla3[[#This Row],[% AutorizadoBeca Colegiatura 18-19]]+Tabla3[[#This Row],[% Beca Prestacion 18-19]]+Tabla3[[#This Row],[% Beca UNAM 18-19]]+Tabla3[[#This Row],[% Beca Comunidad 18-19]])</f>
        <v>720</v>
      </c>
    </row>
    <row r="77" spans="2:106" ht="15" customHeight="1" x14ac:dyDescent="0.2">
      <c r="B77" s="107" t="s">
        <v>584</v>
      </c>
      <c r="C77" s="107" t="e">
        <f>VLOOKUP(Tabla3[[#This Row],[Nombre del Padre]],[1]!Tabla1[[PADRE]:[PADRE_CELULAR]],2,0)</f>
        <v>#REF!</v>
      </c>
      <c r="D77" s="107" t="e">
        <f>VLOOKUP(Tabla3[[#This Row],[Nombre del Padre]],[1]!Tabla1[[PADRE]:[PADRE_CELULAR]],3,0)</f>
        <v>#REF!</v>
      </c>
      <c r="E77" s="107" t="s">
        <v>585</v>
      </c>
      <c r="F77" s="107" t="e">
        <f>VLOOKUP(Tabla3[[#This Row],[Nombre de la Madre]],[1]!Tabla1[[MADRE]:[MADRE_TELEFONO]],2,0)</f>
        <v>#REF!</v>
      </c>
      <c r="G77" s="202" t="e">
        <f>VLOOKUP(Tabla3[[#This Row],[Nombre de la Madre]],[1]!Tabla1[[MADRE]:[MADRE_TELEFONO]],3,0)</f>
        <v>#REF!</v>
      </c>
      <c r="H77" s="228">
        <v>44</v>
      </c>
      <c r="I77" s="204">
        <v>2034</v>
      </c>
      <c r="J77" s="204" t="s">
        <v>586</v>
      </c>
      <c r="K77" s="204" t="s">
        <v>273</v>
      </c>
      <c r="L77" s="204" t="s">
        <v>587</v>
      </c>
      <c r="M77" s="205" t="s">
        <v>588</v>
      </c>
      <c r="N77" s="204" t="s">
        <v>336</v>
      </c>
      <c r="O77" s="206" t="e">
        <f>VLOOKUP(Tabla3[[#This Row],[Grado]],[2]Cuotas!$A:$E,2,0)</f>
        <v>#N/A</v>
      </c>
      <c r="P77" s="206" t="e">
        <f>VLOOKUP(Tabla3[[#This Row],[Grado]],[2]Cuotas!$A:$E,4,0)</f>
        <v>#N/A</v>
      </c>
      <c r="Q77" s="206" t="e">
        <f>VLOOKUP(Tabla3[[#This Row],[Grado]],[2]Cuotas!$A:$E,3,0)</f>
        <v>#N/A</v>
      </c>
      <c r="R77" s="207">
        <v>0.1</v>
      </c>
      <c r="S77" s="206" t="e">
        <f>Tabla3[[#This Row],[Monto Colegiatura]]*Tabla3[[#This Row],[% Beca Colegio 16-17]]</f>
        <v>#N/A</v>
      </c>
      <c r="T77" s="206"/>
      <c r="U77" s="206" t="e">
        <f>Tabla3[[#This Row],[Monto Colegiatura]]*Tabla3[[#This Row],[% Beca Prestación 16-17]]</f>
        <v>#N/A</v>
      </c>
      <c r="V77" s="208">
        <v>0.4</v>
      </c>
      <c r="W77" s="206" t="e">
        <f>Tabla3[[#This Row],[Monto Colegiatura]]*Tabla3[[#This Row],[% Beca Comunidad 16-17]]</f>
        <v>#N/A</v>
      </c>
      <c r="X77" s="206" t="e">
        <f>Tabla3[[#This Row],[Cantidad Beca Comunidad 16-17]]*25%</f>
        <v>#N/A</v>
      </c>
      <c r="Y77" s="206"/>
      <c r="Z77" s="206" t="e">
        <f>Tabla3[[#This Row],[Monto Colegiatura]]*Tabla3[[#This Row],[% Beca UNAM 16-17]]</f>
        <v>#N/A</v>
      </c>
      <c r="AA77" s="208"/>
      <c r="AB77" s="206" t="e">
        <f>Tabla3[[#This Row],[Monto Reinscripción]]*Tabla3[[#This Row],[% Beca Reinscripción 16-17]]</f>
        <v>#N/A</v>
      </c>
      <c r="AC77" s="206"/>
      <c r="AD77" s="206" t="e">
        <f>Tabla3[[#This Row],[Monto Canasta]]*Tabla3[[#This Row],[% Beca Canasta 16-17]]</f>
        <v>#N/A</v>
      </c>
      <c r="AE77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77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77" s="209" t="e">
        <f>VLOOKUP(Tabla3[[#This Row],[Nombre del Alumno]],[2]!Tabla1[[Alumno]:[Cuenta Ciclos]],2,0)</f>
        <v>#REF!</v>
      </c>
      <c r="AH77" s="210" t="s">
        <v>589</v>
      </c>
      <c r="AI77" s="211" t="s">
        <v>338</v>
      </c>
      <c r="AJ77" s="206" t="e">
        <f>VLOOKUP(Tabla3[[#This Row],[Grado 17-18]],[2]Cuotas!$H:$L,2,0)</f>
        <v>#N/A</v>
      </c>
      <c r="AK77" s="206" t="e">
        <f>VLOOKUP(Tabla3[[#This Row],[Grado 17-18]],[2]Cuotas!$H:$L,3,0)</f>
        <v>#N/A</v>
      </c>
      <c r="AL77" s="206" t="e">
        <f>VLOOKUP(Tabla3[[#This Row],[Grado 17-18]],[2]Cuotas!$H:$L,4,0)</f>
        <v>#N/A</v>
      </c>
      <c r="AM77" s="229">
        <v>0.2</v>
      </c>
      <c r="AN77" s="213">
        <v>0.1</v>
      </c>
      <c r="AO77" s="206" t="e">
        <f>Tabla3[[#This Row],[Monto Colegiatura ]]*Tabla3[[#This Row],[% AutorizadoBeca Colegiatura 17-18]]</f>
        <v>#N/A</v>
      </c>
      <c r="AP77" s="208"/>
      <c r="AQ77" s="206" t="e">
        <f>Tabla3[[#This Row],[Monto Colegiatura ]]*Tabla3[[#This Row],[% Beca Prestacion 17-18]]</f>
        <v>#N/A</v>
      </c>
      <c r="AR77" s="208"/>
      <c r="AS77" s="206" t="e">
        <f>Tabla3[[#This Row],[Canasta]]*Tabla3[[#This Row],[% Beca Canasta 17-18]]</f>
        <v>#N/A</v>
      </c>
      <c r="AT77" s="208"/>
      <c r="AU77" s="214">
        <v>0</v>
      </c>
      <c r="AV77" s="206" t="e">
        <f>Tabla3[[#This Row],[Cantidad Beca Comunidad Colegiatura 17-18]]*25%</f>
        <v>#N/A</v>
      </c>
      <c r="AW77" s="206"/>
      <c r="AX77" s="215"/>
      <c r="AY77" s="206" t="e">
        <f>Tabla3[[#This Row],[Monto Colegiatura ]]*Tabla3[[#This Row],[% Beca UNAM 17-18]]</f>
        <v>#N/A</v>
      </c>
      <c r="AZ77" s="206"/>
      <c r="BA77" s="216">
        <f>3200*Tabla3[[#This Row],[% Beca Reinscripciones UNAM 17-18]]</f>
        <v>0</v>
      </c>
      <c r="BB77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77" s="231">
        <v>0.3</v>
      </c>
      <c r="BD77" s="218" t="e">
        <f>Tabla3[[#This Row],[Monto Colegiatura ]]*Tabla3[[#This Row],[% Beca Comunidad 17-18]]</f>
        <v>#N/A</v>
      </c>
      <c r="BE77" s="218" t="e">
        <f>Tabla3[[#This Row],[Cantidad Beca Comunidad Colegiatura 17-18]]*75%</f>
        <v>#N/A</v>
      </c>
      <c r="BF77" s="219"/>
      <c r="BG77" s="218" t="e">
        <f>Tabla3[[#This Row],[Reinscripción]]*Tabla3[[#This Row],[% Beca Reinscripciones Comunidad 18-19]]</f>
        <v>#N/A</v>
      </c>
      <c r="BH77" s="218" t="e">
        <f>Tabla3[[#This Row],[Cantidad Beca Reinscripciones Comunidad 18-19]]*70%</f>
        <v>#N/A</v>
      </c>
      <c r="BI77" s="216" t="e">
        <f>Tabla3[[#This Row],[75% Cantidad Beca Comunidad Colegiatura 17-18]]+Tabla3[[#This Row],[70% Cantidad Beca Reinscripciones 18-19]]</f>
        <v>#N/A</v>
      </c>
      <c r="BJ77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77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77" s="220"/>
      <c r="BM77" s="204"/>
      <c r="BN77" s="248">
        <v>0.1</v>
      </c>
      <c r="BO77" s="107"/>
      <c r="BP77" s="107">
        <f>Tabla3[[#This Row],[% AutorizadoBeca Colegiatura 17-18]]+Tabla3[[#This Row],[% Beca Prestacion 17-18]]+Tabla3[[#This Row],[% Beca UNAM 17-18]]</f>
        <v>0.1</v>
      </c>
      <c r="BQ77" s="108">
        <f t="shared" si="3"/>
        <v>114.7</v>
      </c>
      <c r="BR77" s="107">
        <f>Tabla3[[#This Row],[% Beca Comunidad 17-18]]</f>
        <v>0.3</v>
      </c>
      <c r="BS77" s="108">
        <f t="shared" si="4"/>
        <v>344.09999999999997</v>
      </c>
      <c r="BT77" s="108">
        <f t="shared" si="5"/>
        <v>86.024999999999991</v>
      </c>
      <c r="BU77" s="108">
        <f>Tabla3[[#This Row],[Monto3]]*75%</f>
        <v>258.07499999999999</v>
      </c>
      <c r="BV77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77" s="107" t="e">
        <f>VLOOKUP(Tabla3[[#This Row],[Nombre del Alumno]],'[3]BECAS COLEGIATURAS'!$I:$N,6,0)</f>
        <v>#N/A</v>
      </c>
      <c r="BX77" s="107" t="e">
        <f>VLOOKUP(Tabla3[[#This Row],[Nombre del Alumno]],[1]!Tabla1[[NOMBRE DEL ALUMNO]:[MATRIZ]],6,0)</f>
        <v>#REF!</v>
      </c>
      <c r="BY77" s="107" t="e">
        <f>VLOOKUP(Tabla3[[#This Row],[Nombre del Alumno]],'[3]BECAS COLEGIATURAS'!$I:$L,4,0)</f>
        <v>#N/A</v>
      </c>
      <c r="BZ77" s="108" t="e">
        <f>VLOOKUP(Tabla3[[#This Row],[Grado 18-19]],[2]Cuotas!$Q:$U,2,0)</f>
        <v>#N/A</v>
      </c>
      <c r="CA77" s="108" t="e">
        <f>VLOOKUP(Tabla3[[#This Row],[Grado 18-19]],[2]Cuotas!$Q:$U,3,0)</f>
        <v>#N/A</v>
      </c>
      <c r="CB77" s="108" t="e">
        <f>VLOOKUP(Tabla3[[#This Row],[Grado 18-19]],[2]Cuotas!$Q:$U,4,0)</f>
        <v>#N/A</v>
      </c>
      <c r="CC77" s="107">
        <v>30</v>
      </c>
      <c r="CD77" s="222">
        <v>0.1</v>
      </c>
      <c r="CE77" s="218" t="e">
        <f>Tabla3[[#This Row],[Monto Colegiatura 2018-2019]]*Tabla3[[#This Row],[% AutorizadoBeca Colegiatura 18-19]]</f>
        <v>#N/A</v>
      </c>
      <c r="CF77" s="223"/>
      <c r="CG77" s="218" t="e">
        <f>Tabla3[[#This Row],[Monto Colegiatura 2018-2019]]*Tabla3[[#This Row],[% Beca Prestacion 18-19]]</f>
        <v>#N/A</v>
      </c>
      <c r="CH77" s="223"/>
      <c r="CI77" s="218" t="e">
        <f>Tabla3[[#This Row],[Canasta 2018-2019]]*Tabla3[[#This Row],[% Beca Canasta 18-19]]</f>
        <v>#N/A</v>
      </c>
      <c r="CJ77" s="223"/>
      <c r="CK77" s="218" t="e">
        <f>Tabla3[[#This Row],[Reinscripción 2019-2020]]*Tabla3[[#This Row],[% Beca Reinscripciones 19-20]]</f>
        <v>#N/A</v>
      </c>
      <c r="CL77" s="218" t="e">
        <f>Tabla3[[#This Row],[Cantidad Beca Comunidad Colegiatura 18-19]]*25%</f>
        <v>#N/A</v>
      </c>
      <c r="CM77" s="224" t="e">
        <f>Tabla3[[#This Row],[Cantidad Beca Reinscripciones Comunidad 19-20]]*25%</f>
        <v>#N/A</v>
      </c>
      <c r="CN77" s="222"/>
      <c r="CO77" s="218" t="e">
        <f>Tabla3[[#This Row],[Monto Colegiatura 2018-2019]]*Tabla3[[#This Row],[% Beca UNAM 18-19]]</f>
        <v>#N/A</v>
      </c>
      <c r="CP77" s="225"/>
      <c r="CQ77" s="224">
        <f>3328*Tabla3[[#This Row],[% Beca Reinscripciones UNAM 18-19]]</f>
        <v>0</v>
      </c>
      <c r="CR77" s="226" t="e">
        <f>Tabla3[[#This Row],[Cantidad Beca Colegiatura 18-19]]+Tabla3[[#This Row],[Cantidad Beca Canasta 18-19]]+Tabla3[[#This Row],[Cantidad Beca Reinscripciones 19-20]]</f>
        <v>#N/A</v>
      </c>
      <c r="CS77" s="222">
        <v>0.3</v>
      </c>
      <c r="CT77" s="218" t="e">
        <f>Tabla3[[#This Row],[Monto Colegiatura 2018-2019]]*Tabla3[[#This Row],[% Beca Comunidad 18-19]]</f>
        <v>#N/A</v>
      </c>
      <c r="CU77" s="218" t="e">
        <f>Tabla3[[#This Row],[Cantidad Beca Comunidad Colegiatura 18-19]]*75%</f>
        <v>#N/A</v>
      </c>
      <c r="CV77" s="223"/>
      <c r="CW77" s="218" t="e">
        <f>Tabla3[[#This Row],[Reinscripción 2019-2020]]*Tabla3[[#This Row],[% Beca Reinscripciones Comunidad 19-20]]</f>
        <v>#N/A</v>
      </c>
      <c r="CX77" s="218" t="e">
        <f>Tabla3[[#This Row],[Cantidad Beca Reinscripciones Comunidad 19-20]]*75%</f>
        <v>#N/A</v>
      </c>
      <c r="CY77" s="227" t="e">
        <f>Tabla3[[#This Row],[75% Cantidad Beca Comunidad Colegiatura 18-19]]+Tabla3[[#This Row],[75% Cantidad Beca Reinscripciones 19-20]]</f>
        <v>#N/A</v>
      </c>
      <c r="CZ77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77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77" s="108">
        <f>1440*(Tabla3[[#This Row],[% AutorizadoBeca Colegiatura 18-19]]+Tabla3[[#This Row],[% Beca Prestacion 18-19]]+Tabla3[[#This Row],[% Beca UNAM 18-19]]+Tabla3[[#This Row],[% Beca Comunidad 18-19]])</f>
        <v>576</v>
      </c>
    </row>
    <row r="78" spans="2:106" ht="15" customHeight="1" x14ac:dyDescent="0.2">
      <c r="B78" s="107" t="s">
        <v>590</v>
      </c>
      <c r="C78" s="107" t="e">
        <f>VLOOKUP(Tabla3[[#This Row],[Nombre del Padre]],[1]!Tabla1[[PADRE]:[PADRE_CELULAR]],2,0)</f>
        <v>#REF!</v>
      </c>
      <c r="D78" s="107" t="e">
        <f>VLOOKUP(Tabla3[[#This Row],[Nombre del Padre]],[1]!Tabla1[[PADRE]:[PADRE_CELULAR]],3,0)</f>
        <v>#REF!</v>
      </c>
      <c r="E78" s="107" t="s">
        <v>591</v>
      </c>
      <c r="F78" s="107" t="e">
        <f>VLOOKUP(Tabla3[[#This Row],[Nombre de la Madre]],[1]!Tabla1[[MADRE]:[MADRE_TELEFONO]],2,0)</f>
        <v>#REF!</v>
      </c>
      <c r="G78" s="202" t="e">
        <f>VLOOKUP(Tabla3[[#This Row],[Nombre de la Madre]],[1]!Tabla1[[MADRE]:[MADRE_TELEFONO]],3,0)</f>
        <v>#REF!</v>
      </c>
      <c r="H78" s="228">
        <v>45</v>
      </c>
      <c r="I78" s="204">
        <v>1581</v>
      </c>
      <c r="J78" s="204" t="s">
        <v>592</v>
      </c>
      <c r="K78" s="204" t="s">
        <v>273</v>
      </c>
      <c r="L78" s="204" t="s">
        <v>593</v>
      </c>
      <c r="M78" s="205" t="s">
        <v>594</v>
      </c>
      <c r="N78" s="204" t="s">
        <v>278</v>
      </c>
      <c r="O78" s="206" t="e">
        <f>VLOOKUP(Tabla3[[#This Row],[Grado]],[2]Cuotas!$A:$E,2,0)</f>
        <v>#N/A</v>
      </c>
      <c r="P78" s="206" t="e">
        <f>VLOOKUP(Tabla3[[#This Row],[Grado]],[2]Cuotas!$A:$E,4,0)</f>
        <v>#N/A</v>
      </c>
      <c r="Q78" s="206" t="e">
        <f>VLOOKUP(Tabla3[[#This Row],[Grado]],[2]Cuotas!$A:$E,3,0)</f>
        <v>#N/A</v>
      </c>
      <c r="R78" s="207">
        <v>0.3</v>
      </c>
      <c r="S78" s="206" t="e">
        <f>Tabla3[[#This Row],[Monto Colegiatura]]*Tabla3[[#This Row],[% Beca Colegio 16-17]]</f>
        <v>#N/A</v>
      </c>
      <c r="T78" s="206"/>
      <c r="U78" s="206" t="e">
        <f>Tabla3[[#This Row],[Monto Colegiatura]]*Tabla3[[#This Row],[% Beca Prestación 16-17]]</f>
        <v>#N/A</v>
      </c>
      <c r="V78" s="208">
        <v>0.7</v>
      </c>
      <c r="W78" s="206" t="e">
        <f>Tabla3[[#This Row],[Monto Colegiatura]]*Tabla3[[#This Row],[% Beca Comunidad 16-17]]</f>
        <v>#N/A</v>
      </c>
      <c r="X78" s="206" t="e">
        <f>Tabla3[[#This Row],[Cantidad Beca Comunidad 16-17]]*25%</f>
        <v>#N/A</v>
      </c>
      <c r="Y78" s="206"/>
      <c r="Z78" s="206" t="e">
        <f>Tabla3[[#This Row],[Monto Colegiatura]]*Tabla3[[#This Row],[% Beca UNAM 16-17]]</f>
        <v>#N/A</v>
      </c>
      <c r="AA78" s="208" t="e">
        <f>VLOOKUP(Tabla3[[#This Row],[Nombre del Alumno]],'[4]BECAS REINSCRIPCIONES'!$B$9:$D$31,3,0)</f>
        <v>#N/A</v>
      </c>
      <c r="AB78" s="206" t="e">
        <f>Tabla3[[#This Row],[Monto Reinscripción]]*Tabla3[[#This Row],[% Beca Reinscripción 16-17]]</f>
        <v>#N/A</v>
      </c>
      <c r="AC78" s="208">
        <v>1</v>
      </c>
      <c r="AD78" s="206" t="e">
        <f>Tabla3[[#This Row],[Monto Canasta]]*Tabla3[[#This Row],[% Beca Canasta 16-17]]</f>
        <v>#N/A</v>
      </c>
      <c r="AE78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78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78" s="209" t="e">
        <f>VLOOKUP(Tabla3[[#This Row],[Nombre del Alumno]],[2]!Tabla1[[Alumno]:[Cuenta Ciclos]],2,0)</f>
        <v>#REF!</v>
      </c>
      <c r="AH78" s="210" t="s">
        <v>595</v>
      </c>
      <c r="AI78" s="211" t="s">
        <v>291</v>
      </c>
      <c r="AJ78" s="206" t="e">
        <f>VLOOKUP(Tabla3[[#This Row],[Grado 17-18]],[2]Cuotas!$H:$L,2,0)</f>
        <v>#N/A</v>
      </c>
      <c r="AK78" s="206" t="e">
        <f>VLOOKUP(Tabla3[[#This Row],[Grado 17-18]],[2]Cuotas!$H:$L,3,0)</f>
        <v>#N/A</v>
      </c>
      <c r="AL78" s="206" t="e">
        <f>VLOOKUP(Tabla3[[#This Row],[Grado 17-18]],[2]Cuotas!$H:$L,4,0)</f>
        <v>#N/A</v>
      </c>
      <c r="AM78" s="229">
        <v>0.3</v>
      </c>
      <c r="AN78" s="213">
        <v>0.3</v>
      </c>
      <c r="AO78" s="206" t="e">
        <f>Tabla3[[#This Row],[Monto Colegiatura ]]*Tabla3[[#This Row],[% AutorizadoBeca Colegiatura 17-18]]</f>
        <v>#N/A</v>
      </c>
      <c r="AP78" s="208"/>
      <c r="AQ78" s="206" t="e">
        <f>Tabla3[[#This Row],[Monto Colegiatura ]]*Tabla3[[#This Row],[% Beca Prestacion 17-18]]</f>
        <v>#N/A</v>
      </c>
      <c r="AR78" s="208">
        <v>1</v>
      </c>
      <c r="AS78" s="206" t="e">
        <f>Tabla3[[#This Row],[Canasta]]*Tabla3[[#This Row],[% Beca Canasta 17-18]]</f>
        <v>#N/A</v>
      </c>
      <c r="AT78" s="208"/>
      <c r="AU78" s="214"/>
      <c r="AV78" s="206" t="e">
        <f>Tabla3[[#This Row],[Cantidad Beca Comunidad Colegiatura 17-18]]*25%</f>
        <v>#N/A</v>
      </c>
      <c r="AW78" s="206" t="e">
        <f>Tabla3[[#This Row],[Cantidad Beca Reinscripciones Comunidad 18-19]]*30%</f>
        <v>#N/A</v>
      </c>
      <c r="AX78" s="215"/>
      <c r="AY78" s="206" t="e">
        <f>Tabla3[[#This Row],[Monto Colegiatura ]]*Tabla3[[#This Row],[% Beca UNAM 17-18]]</f>
        <v>#N/A</v>
      </c>
      <c r="AZ78" s="206"/>
      <c r="BA78" s="216">
        <f>3200*Tabla3[[#This Row],[% Beca Reinscripciones UNAM 17-18]]</f>
        <v>0</v>
      </c>
      <c r="BB78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78" s="231">
        <v>0.7</v>
      </c>
      <c r="BD78" s="218" t="e">
        <f>Tabla3[[#This Row],[Monto Colegiatura ]]*Tabla3[[#This Row],[% Beca Comunidad 17-18]]</f>
        <v>#N/A</v>
      </c>
      <c r="BE78" s="218" t="e">
        <f>Tabla3[[#This Row],[Cantidad Beca Comunidad Colegiatura 17-18]]*75%</f>
        <v>#N/A</v>
      </c>
      <c r="BF78" s="219">
        <v>1</v>
      </c>
      <c r="BG78" s="218" t="e">
        <f>Tabla3[[#This Row],[Reinscripción]]*Tabla3[[#This Row],[% Beca Reinscripciones Comunidad 18-19]]</f>
        <v>#N/A</v>
      </c>
      <c r="BH78" s="218" t="e">
        <f>Tabla3[[#This Row],[Cantidad Beca Reinscripciones Comunidad 18-19]]*70%</f>
        <v>#N/A</v>
      </c>
      <c r="BI78" s="216" t="e">
        <f>Tabla3[[#This Row],[75% Cantidad Beca Comunidad Colegiatura 17-18]]+Tabla3[[#This Row],[70% Cantidad Beca Reinscripciones 18-19]]</f>
        <v>#N/A</v>
      </c>
      <c r="BJ78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78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17-18]]-Tabla3[[#This Row],[Cantidad Beca Reinscripciones Comunidad 18-19]]</f>
        <v>#N/A</v>
      </c>
      <c r="BL78" s="220"/>
      <c r="BM78" s="229"/>
      <c r="BN78" s="221" t="s">
        <v>596</v>
      </c>
      <c r="BO78" s="107"/>
      <c r="BP78" s="107">
        <f>Tabla3[[#This Row],[% AutorizadoBeca Colegiatura 17-18]]+Tabla3[[#This Row],[% Beca Prestacion 17-18]]+Tabla3[[#This Row],[% Beca UNAM 17-18]]</f>
        <v>0.3</v>
      </c>
      <c r="BQ78" s="108">
        <f t="shared" si="3"/>
        <v>344.09999999999997</v>
      </c>
      <c r="BR78" s="107">
        <f>Tabla3[[#This Row],[% Beca Comunidad 17-18]]</f>
        <v>0.7</v>
      </c>
      <c r="BS78" s="108">
        <f t="shared" si="4"/>
        <v>802.9</v>
      </c>
      <c r="BT78" s="108">
        <f t="shared" si="5"/>
        <v>200.72499999999999</v>
      </c>
      <c r="BU78" s="108">
        <f>Tabla3[[#This Row],[Monto3]]*75%</f>
        <v>602.17499999999995</v>
      </c>
      <c r="BV78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78" s="107" t="e">
        <f>VLOOKUP(Tabla3[[#This Row],[Nombre del Alumno]],'[3]BECAS COLEGIATURAS'!$I:$N,6,0)</f>
        <v>#N/A</v>
      </c>
      <c r="BX78" s="107" t="e">
        <f>VLOOKUP(Tabla3[[#This Row],[Nombre del Alumno]],[1]!Tabla1[[NOMBRE DEL ALUMNO]:[MATRIZ]],6,0)</f>
        <v>#REF!</v>
      </c>
      <c r="BY78" s="107" t="e">
        <f>VLOOKUP(Tabla3[[#This Row],[Nombre del Alumno]],'[3]BECAS COLEGIATURAS'!$I:$L,4,0)</f>
        <v>#N/A</v>
      </c>
      <c r="BZ78" s="108" t="e">
        <f>VLOOKUP(Tabla3[[#This Row],[Grado 18-19]],[2]Cuotas!$Q:$U,2,0)</f>
        <v>#N/A</v>
      </c>
      <c r="CA78" s="108" t="e">
        <f>VLOOKUP(Tabla3[[#This Row],[Grado 18-19]],[2]Cuotas!$Q:$U,3,0)</f>
        <v>#N/A</v>
      </c>
      <c r="CB78" s="108" t="e">
        <f>VLOOKUP(Tabla3[[#This Row],[Grado 18-19]],[2]Cuotas!$Q:$U,4,0)</f>
        <v>#N/A</v>
      </c>
      <c r="CC78" s="107">
        <v>0</v>
      </c>
      <c r="CD78" s="222">
        <v>0.2</v>
      </c>
      <c r="CE78" s="218" t="e">
        <f>Tabla3[[#This Row],[Monto Colegiatura 2018-2019]]*Tabla3[[#This Row],[% AutorizadoBeca Colegiatura 18-19]]</f>
        <v>#N/A</v>
      </c>
      <c r="CF78" s="223"/>
      <c r="CG78" s="218" t="e">
        <f>Tabla3[[#This Row],[Monto Colegiatura 2018-2019]]*Tabla3[[#This Row],[% Beca Prestacion 18-19]]</f>
        <v>#N/A</v>
      </c>
      <c r="CH78" s="223" t="e">
        <f>VLOOKUP(Tabla3[[#This Row],[Nombre del Alumno]],'[3]BECAS REINSCRIPCIONES'!$B$37:$D$40,3,0)</f>
        <v>#N/A</v>
      </c>
      <c r="CI78" s="218" t="e">
        <f>Tabla3[[#This Row],[Canasta 2018-2019]]*Tabla3[[#This Row],[% Beca Canasta 18-19]]</f>
        <v>#N/A</v>
      </c>
      <c r="CJ78" s="223" t="e">
        <f>VLOOKUP(Tabla3[[#This Row],[Nombre del Alumno]],'[3]BECAS REINSCRIPCIONES'!$B$8:$D$21,3,0)</f>
        <v>#N/A</v>
      </c>
      <c r="CK78" s="218" t="e">
        <f>Tabla3[[#This Row],[Reinscripción 2019-2020]]*Tabla3[[#This Row],[% Beca Reinscripciones 19-20]]</f>
        <v>#N/A</v>
      </c>
      <c r="CL78" s="218" t="e">
        <f>Tabla3[[#This Row],[Cantidad Beca Comunidad Colegiatura 18-19]]*25%</f>
        <v>#N/A</v>
      </c>
      <c r="CM78" s="224" t="e">
        <f>Tabla3[[#This Row],[Cantidad Beca Reinscripciones Comunidad 19-20]]*25%</f>
        <v>#N/A</v>
      </c>
      <c r="CN78" s="222"/>
      <c r="CO78" s="218" t="e">
        <f>Tabla3[[#This Row],[Monto Colegiatura 2018-2019]]*Tabla3[[#This Row],[% Beca UNAM 18-19]]</f>
        <v>#N/A</v>
      </c>
      <c r="CP78" s="225"/>
      <c r="CQ78" s="224">
        <f>3328*Tabla3[[#This Row],[% Beca Reinscripciones UNAM 18-19]]</f>
        <v>0</v>
      </c>
      <c r="CR78" s="226" t="e">
        <f>Tabla3[[#This Row],[Cantidad Beca Colegiatura 18-19]]+Tabla3[[#This Row],[Cantidad Beca Canasta 18-19]]+Tabla3[[#This Row],[Cantidad Beca Reinscripciones 19-20]]</f>
        <v>#N/A</v>
      </c>
      <c r="CS78" s="222">
        <v>0.7</v>
      </c>
      <c r="CT78" s="218" t="e">
        <f>Tabla3[[#This Row],[Monto Colegiatura 2018-2019]]*Tabla3[[#This Row],[% Beca Comunidad 18-19]]</f>
        <v>#N/A</v>
      </c>
      <c r="CU78" s="218" t="e">
        <f>Tabla3[[#This Row],[Cantidad Beca Comunidad Colegiatura 18-19]]*75%</f>
        <v>#N/A</v>
      </c>
      <c r="CV78" s="223"/>
      <c r="CW78" s="218" t="e">
        <f>Tabla3[[#This Row],[Reinscripción 2019-2020]]*Tabla3[[#This Row],[% Beca Reinscripciones Comunidad 19-20]]</f>
        <v>#N/A</v>
      </c>
      <c r="CX78" s="218" t="e">
        <f>Tabla3[[#This Row],[Cantidad Beca Reinscripciones Comunidad 19-20]]*75%</f>
        <v>#N/A</v>
      </c>
      <c r="CY78" s="227" t="e">
        <f>Tabla3[[#This Row],[75% Cantidad Beca Comunidad Colegiatura 18-19]]+Tabla3[[#This Row],[75% Cantidad Beca Reinscripciones 19-20]]</f>
        <v>#N/A</v>
      </c>
      <c r="CZ78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78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78" s="108">
        <f>1440*(Tabla3[[#This Row],[% AutorizadoBeca Colegiatura 18-19]]+Tabla3[[#This Row],[% Beca Prestacion 18-19]]+Tabla3[[#This Row],[% Beca UNAM 18-19]]+Tabla3[[#This Row],[% Beca Comunidad 18-19]])</f>
        <v>1295.9999999999998</v>
      </c>
    </row>
    <row r="79" spans="2:106" ht="15" customHeight="1" x14ac:dyDescent="0.2">
      <c r="B79" s="107" t="s">
        <v>597</v>
      </c>
      <c r="C79" s="107" t="e">
        <f>VLOOKUP(Tabla3[[#This Row],[Nombre del Padre]],[1]!Tabla1[[PADRE]:[PADRE_CELULAR]],2,0)</f>
        <v>#REF!</v>
      </c>
      <c r="D79" s="107" t="e">
        <f>VLOOKUP(Tabla3[[#This Row],[Nombre del Padre]],[1]!Tabla1[[PADRE]:[PADRE_CELULAR]],3,0)</f>
        <v>#REF!</v>
      </c>
      <c r="E79" s="107" t="s">
        <v>598</v>
      </c>
      <c r="F79" s="107" t="e">
        <f>VLOOKUP(Tabla3[[#This Row],[Nombre de la Madre]],[1]!Tabla1[[MADRE]:[MADRE_TELEFONO]],2,0)</f>
        <v>#REF!</v>
      </c>
      <c r="G79" s="202" t="e">
        <f>VLOOKUP(Tabla3[[#This Row],[Nombre de la Madre]],[1]!Tabla1[[MADRE]:[MADRE_TELEFONO]],3,0)</f>
        <v>#REF!</v>
      </c>
      <c r="H79" s="228">
        <v>46</v>
      </c>
      <c r="I79" s="204">
        <v>2224</v>
      </c>
      <c r="J79" s="204" t="s">
        <v>599</v>
      </c>
      <c r="K79" s="204" t="s">
        <v>273</v>
      </c>
      <c r="L79" s="204" t="s">
        <v>600</v>
      </c>
      <c r="M79" s="205" t="s">
        <v>370</v>
      </c>
      <c r="N79" s="204" t="s">
        <v>330</v>
      </c>
      <c r="O79" s="206" t="e">
        <f>VLOOKUP(Tabla3[[#This Row],[Grado]],[2]Cuotas!$A:$E,2,0)</f>
        <v>#N/A</v>
      </c>
      <c r="P79" s="206" t="e">
        <f>VLOOKUP(Tabla3[[#This Row],[Grado]],[2]Cuotas!$A:$E,4,0)</f>
        <v>#N/A</v>
      </c>
      <c r="Q79" s="206" t="e">
        <f>VLOOKUP(Tabla3[[#This Row],[Grado]],[2]Cuotas!$A:$E,3,0)</f>
        <v>#N/A</v>
      </c>
      <c r="R79" s="207">
        <v>0.5</v>
      </c>
      <c r="S79" s="206" t="e">
        <f>Tabla3[[#This Row],[Monto Colegiatura]]*Tabla3[[#This Row],[% Beca Colegio 16-17]]</f>
        <v>#N/A</v>
      </c>
      <c r="T79" s="206"/>
      <c r="U79" s="206" t="e">
        <f>Tabla3[[#This Row],[Monto Colegiatura]]*Tabla3[[#This Row],[% Beca Prestación 16-17]]</f>
        <v>#N/A</v>
      </c>
      <c r="V79" s="208">
        <v>0.5</v>
      </c>
      <c r="W79" s="206" t="e">
        <f>Tabla3[[#This Row],[Monto Colegiatura]]*Tabla3[[#This Row],[% Beca Comunidad 16-17]]</f>
        <v>#N/A</v>
      </c>
      <c r="X79" s="206" t="e">
        <f>Tabla3[[#This Row],[Cantidad Beca Comunidad 16-17]]*25%</f>
        <v>#N/A</v>
      </c>
      <c r="Y79" s="206"/>
      <c r="Z79" s="206" t="e">
        <f>Tabla3[[#This Row],[Monto Colegiatura]]*Tabla3[[#This Row],[% Beca UNAM 16-17]]</f>
        <v>#N/A</v>
      </c>
      <c r="AA79" s="208" t="e">
        <f>VLOOKUP(Tabla3[[#This Row],[Nombre del Alumno]],'[4]BECAS REINSCRIPCIONES'!$B$9:$D$31,3,0)</f>
        <v>#N/A</v>
      </c>
      <c r="AB79" s="206" t="e">
        <f>Tabla3[[#This Row],[Monto Reinscripción]]*Tabla3[[#This Row],[% Beca Reinscripción 16-17]]</f>
        <v>#N/A</v>
      </c>
      <c r="AC79" s="208">
        <v>1</v>
      </c>
      <c r="AD79" s="206" t="e">
        <f>Tabla3[[#This Row],[Monto Canasta]]*Tabla3[[#This Row],[% Beca Canasta 16-17]]</f>
        <v>#N/A</v>
      </c>
      <c r="AE79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79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79" s="209" t="e">
        <f>VLOOKUP(Tabla3[[#This Row],[Nombre del Alumno]],[2]!Tabla1[[Alumno]:[Cuenta Ciclos]],2,0)</f>
        <v>#REF!</v>
      </c>
      <c r="AH79" s="210" t="s">
        <v>601</v>
      </c>
      <c r="AI79" s="211" t="s">
        <v>332</v>
      </c>
      <c r="AJ79" s="206" t="e">
        <f>VLOOKUP(Tabla3[[#This Row],[Grado 17-18]],[2]Cuotas!$H:$L,2,0)</f>
        <v>#N/A</v>
      </c>
      <c r="AK79" s="206" t="e">
        <f>VLOOKUP(Tabla3[[#This Row],[Grado 17-18]],[2]Cuotas!$H:$L,3,0)</f>
        <v>#N/A</v>
      </c>
      <c r="AL79" s="206" t="e">
        <f>VLOOKUP(Tabla3[[#This Row],[Grado 17-18]],[2]Cuotas!$H:$L,4,0)</f>
        <v>#N/A</v>
      </c>
      <c r="AM79" s="229">
        <v>0.5</v>
      </c>
      <c r="AN79" s="213">
        <v>0.5</v>
      </c>
      <c r="AO79" s="206" t="e">
        <f>Tabla3[[#This Row],[Monto Colegiatura ]]*Tabla3[[#This Row],[% AutorizadoBeca Colegiatura 17-18]]</f>
        <v>#N/A</v>
      </c>
      <c r="AP79" s="208"/>
      <c r="AQ79" s="206" t="e">
        <f>Tabla3[[#This Row],[Monto Colegiatura ]]*Tabla3[[#This Row],[% Beca Prestacion 17-18]]</f>
        <v>#N/A</v>
      </c>
      <c r="AR79" s="208"/>
      <c r="AS79" s="206" t="e">
        <f>Tabla3[[#This Row],[Canasta]]*Tabla3[[#This Row],[% Beca Canasta 17-18]]</f>
        <v>#N/A</v>
      </c>
      <c r="AT79" s="208">
        <v>1</v>
      </c>
      <c r="AU79" s="214">
        <v>2797.6</v>
      </c>
      <c r="AV79" s="206" t="e">
        <f>Tabla3[[#This Row],[Cantidad Beca Comunidad Colegiatura 17-18]]*25%</f>
        <v>#N/A</v>
      </c>
      <c r="AW79" s="206"/>
      <c r="AX79" s="215"/>
      <c r="AY79" s="206" t="e">
        <f>Tabla3[[#This Row],[Monto Colegiatura ]]*Tabla3[[#This Row],[% Beca UNAM 17-18]]</f>
        <v>#N/A</v>
      </c>
      <c r="AZ79" s="206"/>
      <c r="BA79" s="216">
        <f>3200*Tabla3[[#This Row],[% Beca Reinscripciones UNAM 17-18]]</f>
        <v>0</v>
      </c>
      <c r="BB79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79" s="231">
        <v>0.5</v>
      </c>
      <c r="BD79" s="218" t="e">
        <f>Tabla3[[#This Row],[Monto Colegiatura ]]*Tabla3[[#This Row],[% Beca Comunidad 17-18]]</f>
        <v>#N/A</v>
      </c>
      <c r="BE79" s="218" t="e">
        <f>Tabla3[[#This Row],[Cantidad Beca Comunidad Colegiatura 17-18]]*75%</f>
        <v>#N/A</v>
      </c>
      <c r="BF79" s="219"/>
      <c r="BG79" s="218" t="e">
        <f>Tabla3[[#This Row],[Reinscripción]]*Tabla3[[#This Row],[% Beca Reinscripciones Comunidad 18-19]]</f>
        <v>#N/A</v>
      </c>
      <c r="BH79" s="218" t="e">
        <f>Tabla3[[#This Row],[Cantidad Beca Reinscripciones Comunidad 18-19]]*70%</f>
        <v>#N/A</v>
      </c>
      <c r="BI79" s="216" t="e">
        <f>Tabla3[[#This Row],[75% Cantidad Beca Comunidad Colegiatura 17-18]]+Tabla3[[#This Row],[70% Cantidad Beca Reinscripciones 18-19]]</f>
        <v>#N/A</v>
      </c>
      <c r="BJ79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79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79" s="220"/>
      <c r="BM79" s="229"/>
      <c r="BN79" s="221" t="s">
        <v>602</v>
      </c>
      <c r="BO79" s="107"/>
      <c r="BP79" s="107">
        <f>Tabla3[[#This Row],[% AutorizadoBeca Colegiatura 17-18]]+Tabla3[[#This Row],[% Beca Prestacion 17-18]]+Tabla3[[#This Row],[% Beca UNAM 17-18]]</f>
        <v>0.5</v>
      </c>
      <c r="BQ79" s="108">
        <f t="shared" si="3"/>
        <v>573.5</v>
      </c>
      <c r="BR79" s="107">
        <f>Tabla3[[#This Row],[% Beca Comunidad 17-18]]</f>
        <v>0.5</v>
      </c>
      <c r="BS79" s="108">
        <f t="shared" si="4"/>
        <v>573.5</v>
      </c>
      <c r="BT79" s="108">
        <f t="shared" si="5"/>
        <v>143.375</v>
      </c>
      <c r="BU79" s="108">
        <f>Tabla3[[#This Row],[Monto3]]*75%</f>
        <v>430.125</v>
      </c>
      <c r="BV79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79" s="107" t="e">
        <f>VLOOKUP(Tabla3[[#This Row],[Nombre del Alumno]],'[3]BECAS COLEGIATURAS'!$I:$N,6,0)</f>
        <v>#N/A</v>
      </c>
      <c r="BX79" s="107" t="e">
        <f>VLOOKUP(Tabla3[[#This Row],[Nombre del Alumno]],[1]!Tabla1[[NOMBRE DEL ALUMNO]:[MATRIZ]],6,0)</f>
        <v>#REF!</v>
      </c>
      <c r="BY79" s="107" t="e">
        <f>VLOOKUP(Tabla3[[#This Row],[Nombre del Alumno]],'[3]BECAS COLEGIATURAS'!$I:$L,4,0)</f>
        <v>#N/A</v>
      </c>
      <c r="BZ79" s="108" t="e">
        <f>VLOOKUP(Tabla3[[#This Row],[Grado 18-19]],[2]Cuotas!$Q:$U,2,0)</f>
        <v>#N/A</v>
      </c>
      <c r="CA79" s="108" t="e">
        <f>VLOOKUP(Tabla3[[#This Row],[Grado 18-19]],[2]Cuotas!$Q:$U,3,0)</f>
        <v>#N/A</v>
      </c>
      <c r="CB79" s="108" t="e">
        <f>VLOOKUP(Tabla3[[#This Row],[Grado 18-19]],[2]Cuotas!$Q:$U,4,0)</f>
        <v>#N/A</v>
      </c>
      <c r="CC79" s="107">
        <v>50</v>
      </c>
      <c r="CD79" s="222">
        <v>0.5</v>
      </c>
      <c r="CE79" s="218" t="e">
        <f>Tabla3[[#This Row],[Monto Colegiatura 2018-2019]]*Tabla3[[#This Row],[% AutorizadoBeca Colegiatura 18-19]]</f>
        <v>#N/A</v>
      </c>
      <c r="CF79" s="223"/>
      <c r="CG79" s="218" t="e">
        <f>Tabla3[[#This Row],[Monto Colegiatura 2018-2019]]*Tabla3[[#This Row],[% Beca Prestacion 18-19]]</f>
        <v>#N/A</v>
      </c>
      <c r="CH79" s="223"/>
      <c r="CI79" s="218" t="e">
        <f>Tabla3[[#This Row],[Canasta 2018-2019]]*Tabla3[[#This Row],[% Beca Canasta 18-19]]</f>
        <v>#N/A</v>
      </c>
      <c r="CJ79" s="223" t="e">
        <f>VLOOKUP(Tabla3[[#This Row],[Nombre del Alumno]],'[3]BECAS REINSCRIPCIONES'!$B$8:$D$21,3,0)</f>
        <v>#N/A</v>
      </c>
      <c r="CK79" s="218" t="e">
        <f>Tabla3[[#This Row],[Reinscripción 2019-2020]]*Tabla3[[#This Row],[% Beca Reinscripciones 19-20]]</f>
        <v>#N/A</v>
      </c>
      <c r="CL79" s="218" t="e">
        <f>Tabla3[[#This Row],[Cantidad Beca Comunidad Colegiatura 18-19]]*25%</f>
        <v>#N/A</v>
      </c>
      <c r="CM79" s="224" t="e">
        <f>Tabla3[[#This Row],[Cantidad Beca Reinscripciones Comunidad 19-20]]*25%</f>
        <v>#N/A</v>
      </c>
      <c r="CN79" s="222"/>
      <c r="CO79" s="218" t="e">
        <f>Tabla3[[#This Row],[Monto Colegiatura 2018-2019]]*Tabla3[[#This Row],[% Beca UNAM 18-19]]</f>
        <v>#N/A</v>
      </c>
      <c r="CP79" s="225"/>
      <c r="CQ79" s="224">
        <f>3328*Tabla3[[#This Row],[% Beca Reinscripciones UNAM 18-19]]</f>
        <v>0</v>
      </c>
      <c r="CR79" s="226" t="e">
        <f>Tabla3[[#This Row],[Cantidad Beca Colegiatura 18-19]]+Tabla3[[#This Row],[Cantidad Beca Canasta 18-19]]+Tabla3[[#This Row],[Cantidad Beca Reinscripciones 19-20]]</f>
        <v>#N/A</v>
      </c>
      <c r="CS79" s="222">
        <v>0.5</v>
      </c>
      <c r="CT79" s="218" t="e">
        <f>Tabla3[[#This Row],[Monto Colegiatura 2018-2019]]*Tabla3[[#This Row],[% Beca Comunidad 18-19]]</f>
        <v>#N/A</v>
      </c>
      <c r="CU79" s="218" t="e">
        <f>Tabla3[[#This Row],[Cantidad Beca Comunidad Colegiatura 18-19]]*75%</f>
        <v>#N/A</v>
      </c>
      <c r="CV79" s="223"/>
      <c r="CW79" s="218" t="e">
        <f>Tabla3[[#This Row],[Reinscripción 2019-2020]]*Tabla3[[#This Row],[% Beca Reinscripciones Comunidad 19-20]]</f>
        <v>#N/A</v>
      </c>
      <c r="CX79" s="218" t="e">
        <f>Tabla3[[#This Row],[Cantidad Beca Reinscripciones Comunidad 19-20]]*75%</f>
        <v>#N/A</v>
      </c>
      <c r="CY79" s="227" t="e">
        <f>Tabla3[[#This Row],[75% Cantidad Beca Comunidad Colegiatura 18-19]]+Tabla3[[#This Row],[75% Cantidad Beca Reinscripciones 19-20]]</f>
        <v>#N/A</v>
      </c>
      <c r="CZ79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79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79" s="108">
        <f>1440*(Tabla3[[#This Row],[% AutorizadoBeca Colegiatura 18-19]]+Tabla3[[#This Row],[% Beca Prestacion 18-19]]+Tabla3[[#This Row],[% Beca UNAM 18-19]]+Tabla3[[#This Row],[% Beca Comunidad 18-19]])</f>
        <v>1440</v>
      </c>
    </row>
    <row r="80" spans="2:106" ht="15" customHeight="1" x14ac:dyDescent="0.2">
      <c r="B80" s="107" t="s">
        <v>603</v>
      </c>
      <c r="C80" s="107" t="e">
        <f>VLOOKUP(Tabla3[[#This Row],[Nombre del Padre]],[1]!Tabla1[[PADRE]:[PADRE_CELULAR]],2,0)</f>
        <v>#REF!</v>
      </c>
      <c r="D80" s="107" t="e">
        <f>VLOOKUP(Tabla3[[#This Row],[Nombre del Padre]],[1]!Tabla1[[PADRE]:[PADRE_CELULAR]],3,0)</f>
        <v>#REF!</v>
      </c>
      <c r="E80" s="107" t="s">
        <v>604</v>
      </c>
      <c r="F80" s="107" t="e">
        <f>VLOOKUP(Tabla3[[#This Row],[Nombre de la Madre]],[1]!Tabla1[[MADRE]:[MADRE_TELEFONO]],2,0)</f>
        <v>#REF!</v>
      </c>
      <c r="G80" s="202" t="e">
        <f>VLOOKUP(Tabla3[[#This Row],[Nombre de la Madre]],[1]!Tabla1[[MADRE]:[MADRE_TELEFONO]],3,0)</f>
        <v>#REF!</v>
      </c>
      <c r="H80" s="228">
        <v>47</v>
      </c>
      <c r="I80" s="204">
        <v>2141</v>
      </c>
      <c r="J80" s="204" t="s">
        <v>605</v>
      </c>
      <c r="K80" s="204" t="s">
        <v>273</v>
      </c>
      <c r="L80" s="204" t="s">
        <v>606</v>
      </c>
      <c r="M80" s="205"/>
      <c r="N80" s="204"/>
      <c r="O80" s="206"/>
      <c r="P80" s="206"/>
      <c r="Q80" s="206"/>
      <c r="R80" s="207"/>
      <c r="S80" s="206"/>
      <c r="T80" s="206"/>
      <c r="U80" s="206"/>
      <c r="V80" s="208"/>
      <c r="W80" s="206"/>
      <c r="X80" s="206"/>
      <c r="Y80" s="206"/>
      <c r="Z80" s="206"/>
      <c r="AA80" s="208"/>
      <c r="AB80" s="206"/>
      <c r="AC80" s="206"/>
      <c r="AD80" s="206"/>
      <c r="AE80" s="206"/>
      <c r="AF80" s="206"/>
      <c r="AG80" s="232" t="s">
        <v>289</v>
      </c>
      <c r="AH80" s="210" t="s">
        <v>607</v>
      </c>
      <c r="AI80" s="211" t="s">
        <v>330</v>
      </c>
      <c r="AJ80" s="206" t="e">
        <f>VLOOKUP(Tabla3[[#This Row],[Grado 17-18]],[2]Cuotas!$H:$L,2,0)</f>
        <v>#N/A</v>
      </c>
      <c r="AK80" s="206">
        <v>2517.84</v>
      </c>
      <c r="AL80" s="206" t="e">
        <f>VLOOKUP(Tabla3[[#This Row],[Grado 17-18]],[2]Cuotas!$H:$L,4,0)</f>
        <v>#N/A</v>
      </c>
      <c r="AM80" s="229">
        <v>1</v>
      </c>
      <c r="AN80" s="213">
        <v>1</v>
      </c>
      <c r="AO80" s="206" t="e">
        <f>Tabla3[[#This Row],[Monto Colegiatura ]]*Tabla3[[#This Row],[% AutorizadoBeca Colegiatura 17-18]]</f>
        <v>#N/A</v>
      </c>
      <c r="AP80" s="208"/>
      <c r="AQ80" s="206" t="e">
        <f>Tabla3[[#This Row],[Monto Colegiatura ]]*Tabla3[[#This Row],[% Beca Prestacion 17-18]]</f>
        <v>#N/A</v>
      </c>
      <c r="AR80" s="208"/>
      <c r="AS80" s="206" t="e">
        <f>Tabla3[[#This Row],[Canasta]]*Tabla3[[#This Row],[% Beca Canasta 17-18]]</f>
        <v>#N/A</v>
      </c>
      <c r="AT80" s="208"/>
      <c r="AU80" s="214">
        <v>0</v>
      </c>
      <c r="AV80" s="206" t="e">
        <f>Tabla3[[#This Row],[Cantidad Beca Comunidad Colegiatura 17-18]]*25%</f>
        <v>#N/A</v>
      </c>
      <c r="AW80" s="206"/>
      <c r="AX80" s="215"/>
      <c r="AY80" s="206" t="e">
        <f>Tabla3[[#This Row],[Monto Colegiatura ]]*Tabla3[[#This Row],[% Beca UNAM 17-18]]</f>
        <v>#N/A</v>
      </c>
      <c r="AZ80" s="206"/>
      <c r="BA80" s="216">
        <f>3200*Tabla3[[#This Row],[% Beca Reinscripciones UNAM 17-18]]</f>
        <v>0</v>
      </c>
      <c r="BB80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80" s="217"/>
      <c r="BD80" s="218" t="e">
        <f>Tabla3[[#This Row],[Monto Colegiatura ]]*Tabla3[[#This Row],[% Beca Comunidad 17-18]]</f>
        <v>#N/A</v>
      </c>
      <c r="BE80" s="218" t="e">
        <f>Tabla3[[#This Row],[Cantidad Beca Comunidad Colegiatura 17-18]]*75%</f>
        <v>#N/A</v>
      </c>
      <c r="BF80" s="219"/>
      <c r="BG80" s="218">
        <f>Tabla3[[#This Row],[Reinscripción]]*Tabla3[[#This Row],[% Beca Reinscripciones Comunidad 18-19]]</f>
        <v>0</v>
      </c>
      <c r="BH80" s="218">
        <f>Tabla3[[#This Row],[Cantidad Beca Reinscripciones Comunidad 18-19]]*70%</f>
        <v>0</v>
      </c>
      <c r="BI80" s="216" t="e">
        <f>Tabla3[[#This Row],[75% Cantidad Beca Comunidad Colegiatura 17-18]]+Tabla3[[#This Row],[70% Cantidad Beca Reinscripciones 18-19]]</f>
        <v>#N/A</v>
      </c>
      <c r="BJ80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80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80" s="220"/>
      <c r="BM80" s="204"/>
      <c r="BN80" s="221" t="s">
        <v>608</v>
      </c>
      <c r="BO80" s="107"/>
      <c r="BP80" s="107">
        <f>Tabla3[[#This Row],[% AutorizadoBeca Colegiatura 17-18]]+Tabla3[[#This Row],[% Beca Prestacion 17-18]]+Tabla3[[#This Row],[% Beca UNAM 17-18]]</f>
        <v>1</v>
      </c>
      <c r="BQ80" s="108">
        <f t="shared" si="3"/>
        <v>1147</v>
      </c>
      <c r="BR80" s="107">
        <f>Tabla3[[#This Row],[% Beca Comunidad 17-18]]</f>
        <v>0</v>
      </c>
      <c r="BS80" s="108">
        <f t="shared" si="4"/>
        <v>0</v>
      </c>
      <c r="BT80" s="108">
        <f t="shared" si="5"/>
        <v>0</v>
      </c>
      <c r="BU80" s="108">
        <f>Tabla3[[#This Row],[Monto3]]*75%</f>
        <v>0</v>
      </c>
      <c r="BV80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80" s="107" t="e">
        <f>VLOOKUP(Tabla3[[#This Row],[Nombre del Alumno]],'[3]BECAS COLEGIATURAS'!$I:$N,6,0)</f>
        <v>#N/A</v>
      </c>
      <c r="BX80" s="107" t="e">
        <f>VLOOKUP(Tabla3[[#This Row],[Nombre del Alumno]],[1]!Tabla1[[NOMBRE DEL ALUMNO]:[MATRIZ]],6,0)</f>
        <v>#REF!</v>
      </c>
      <c r="BY80" s="107" t="e">
        <f>VLOOKUP(Tabla3[[#This Row],[Nombre del Alumno]],'[3]BECAS COLEGIATURAS'!$I:$L,4,0)</f>
        <v>#N/A</v>
      </c>
      <c r="BZ80" s="108" t="e">
        <f>VLOOKUP(Tabla3[[#This Row],[Grado 18-19]],[2]Cuotas!$Q:$U,2,0)</f>
        <v>#N/A</v>
      </c>
      <c r="CA80" s="108" t="e">
        <f>VLOOKUP(Tabla3[[#This Row],[Grado 18-19]],[2]Cuotas!$Q:$U,3,0)</f>
        <v>#N/A</v>
      </c>
      <c r="CB80" s="108" t="e">
        <f>VLOOKUP(Tabla3[[#This Row],[Grado 18-19]],[2]Cuotas!$Q:$U,4,0)</f>
        <v>#N/A</v>
      </c>
      <c r="CC80" s="107" t="s">
        <v>609</v>
      </c>
      <c r="CD80" s="222">
        <v>0.5</v>
      </c>
      <c r="CE80" s="218" t="e">
        <f>Tabla3[[#This Row],[Monto Colegiatura 2018-2019]]*Tabla3[[#This Row],[% AutorizadoBeca Colegiatura 18-19]]</f>
        <v>#N/A</v>
      </c>
      <c r="CF80" s="223"/>
      <c r="CG80" s="218" t="e">
        <f>Tabla3[[#This Row],[Monto Colegiatura 2018-2019]]*Tabla3[[#This Row],[% Beca Prestacion 18-19]]</f>
        <v>#N/A</v>
      </c>
      <c r="CH80" s="223"/>
      <c r="CI80" s="218" t="e">
        <f>Tabla3[[#This Row],[Canasta 2018-2019]]*Tabla3[[#This Row],[% Beca Canasta 18-19]]</f>
        <v>#N/A</v>
      </c>
      <c r="CJ80" s="223"/>
      <c r="CK80" s="218" t="e">
        <f>Tabla3[[#This Row],[Reinscripción 2019-2020]]*Tabla3[[#This Row],[% Beca Reinscripciones 19-20]]</f>
        <v>#N/A</v>
      </c>
      <c r="CL80" s="218" t="e">
        <f>Tabla3[[#This Row],[Cantidad Beca Comunidad Colegiatura 18-19]]*25%</f>
        <v>#N/A</v>
      </c>
      <c r="CM80" s="224" t="e">
        <f>Tabla3[[#This Row],[Cantidad Beca Reinscripciones Comunidad 19-20]]*25%</f>
        <v>#N/A</v>
      </c>
      <c r="CN80" s="222"/>
      <c r="CO80" s="218" t="e">
        <f>Tabla3[[#This Row],[Monto Colegiatura 2018-2019]]*Tabla3[[#This Row],[% Beca UNAM 18-19]]</f>
        <v>#N/A</v>
      </c>
      <c r="CP80" s="225"/>
      <c r="CQ80" s="224">
        <f>3328*Tabla3[[#This Row],[% Beca Reinscripciones UNAM 18-19]]</f>
        <v>0</v>
      </c>
      <c r="CR80" s="226" t="e">
        <f>Tabla3[[#This Row],[Cantidad Beca Colegiatura 18-19]]+Tabla3[[#This Row],[Cantidad Beca Canasta 18-19]]+Tabla3[[#This Row],[Cantidad Beca Reinscripciones 19-20]]</f>
        <v>#N/A</v>
      </c>
      <c r="CS80" s="222">
        <v>0.5</v>
      </c>
      <c r="CT80" s="218" t="e">
        <f>Tabla3[[#This Row],[Monto Colegiatura 2018-2019]]*Tabla3[[#This Row],[% Beca Comunidad 18-19]]</f>
        <v>#N/A</v>
      </c>
      <c r="CU80" s="218" t="e">
        <f>Tabla3[[#This Row],[Cantidad Beca Comunidad Colegiatura 18-19]]*75%</f>
        <v>#N/A</v>
      </c>
      <c r="CV80" s="223"/>
      <c r="CW80" s="218" t="e">
        <f>Tabla3[[#This Row],[Reinscripción 2019-2020]]*Tabla3[[#This Row],[% Beca Reinscripciones Comunidad 19-20]]</f>
        <v>#N/A</v>
      </c>
      <c r="CX80" s="218" t="e">
        <f>Tabla3[[#This Row],[Cantidad Beca Reinscripciones Comunidad 19-20]]*75%</f>
        <v>#N/A</v>
      </c>
      <c r="CY80" s="227" t="e">
        <f>Tabla3[[#This Row],[75% Cantidad Beca Comunidad Colegiatura 18-19]]+Tabla3[[#This Row],[75% Cantidad Beca Reinscripciones 19-20]]</f>
        <v>#N/A</v>
      </c>
      <c r="CZ80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80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80" s="108">
        <f>1440*(Tabla3[[#This Row],[% AutorizadoBeca Colegiatura 18-19]]+Tabla3[[#This Row],[% Beca Prestacion 18-19]]+Tabla3[[#This Row],[% Beca UNAM 18-19]]+Tabla3[[#This Row],[% Beca Comunidad 18-19]])</f>
        <v>1440</v>
      </c>
    </row>
    <row r="81" spans="2:106" ht="15" customHeight="1" x14ac:dyDescent="0.2">
      <c r="B81" s="107" t="s">
        <v>603</v>
      </c>
      <c r="C81" s="107" t="e">
        <f>VLOOKUP(Tabla3[[#This Row],[Nombre del Padre]],[1]!Tabla1[[PADRE]:[PADRE_CELULAR]],2,0)</f>
        <v>#REF!</v>
      </c>
      <c r="D81" s="107" t="e">
        <f>VLOOKUP(Tabla3[[#This Row],[Nombre del Padre]],[1]!Tabla1[[PADRE]:[PADRE_CELULAR]],3,0)</f>
        <v>#REF!</v>
      </c>
      <c r="E81" s="107" t="s">
        <v>604</v>
      </c>
      <c r="F81" s="107" t="e">
        <f>VLOOKUP(Tabla3[[#This Row],[Nombre de la Madre]],[1]!Tabla1[[MADRE]:[MADRE_TELEFONO]],2,0)</f>
        <v>#REF!</v>
      </c>
      <c r="G81" s="202" t="e">
        <f>VLOOKUP(Tabla3[[#This Row],[Nombre de la Madre]],[1]!Tabla1[[MADRE]:[MADRE_TELEFONO]],3,0)</f>
        <v>#REF!</v>
      </c>
      <c r="H81" s="228"/>
      <c r="I81" s="204">
        <v>2141</v>
      </c>
      <c r="J81" s="204" t="s">
        <v>605</v>
      </c>
      <c r="K81" s="204" t="s">
        <v>273</v>
      </c>
      <c r="L81" s="204" t="s">
        <v>610</v>
      </c>
      <c r="M81" s="205"/>
      <c r="N81" s="204"/>
      <c r="O81" s="206"/>
      <c r="P81" s="206"/>
      <c r="Q81" s="206"/>
      <c r="R81" s="207"/>
      <c r="S81" s="206"/>
      <c r="T81" s="206"/>
      <c r="U81" s="206"/>
      <c r="V81" s="208"/>
      <c r="W81" s="206"/>
      <c r="X81" s="206"/>
      <c r="Y81" s="206"/>
      <c r="Z81" s="206"/>
      <c r="AA81" s="208"/>
      <c r="AB81" s="206"/>
      <c r="AC81" s="206"/>
      <c r="AD81" s="206"/>
      <c r="AE81" s="206"/>
      <c r="AF81" s="206"/>
      <c r="AG81" s="232" t="s">
        <v>289</v>
      </c>
      <c r="AH81" s="210" t="s">
        <v>611</v>
      </c>
      <c r="AI81" s="211" t="s">
        <v>336</v>
      </c>
      <c r="AJ81" s="206" t="e">
        <f>VLOOKUP(Tabla3[[#This Row],[Grado 17-18]],[2]Cuotas!$H:$L,2,0)</f>
        <v>#N/A</v>
      </c>
      <c r="AK81" s="206">
        <v>2918.24</v>
      </c>
      <c r="AL81" s="206" t="e">
        <f>VLOOKUP(Tabla3[[#This Row],[Grado 17-18]],[2]Cuotas!$H:$L,4,0)</f>
        <v>#N/A</v>
      </c>
      <c r="AM81" s="229">
        <v>1</v>
      </c>
      <c r="AN81" s="213">
        <v>0.5</v>
      </c>
      <c r="AO81" s="206" t="e">
        <f>Tabla3[[#This Row],[Monto Colegiatura ]]*Tabla3[[#This Row],[% AutorizadoBeca Colegiatura 17-18]]</f>
        <v>#N/A</v>
      </c>
      <c r="AP81" s="208"/>
      <c r="AQ81" s="206" t="e">
        <f>Tabla3[[#This Row],[Monto Colegiatura ]]*Tabla3[[#This Row],[% Beca Prestacion 17-18]]</f>
        <v>#N/A</v>
      </c>
      <c r="AR81" s="208"/>
      <c r="AS81" s="206" t="e">
        <f>Tabla3[[#This Row],[Canasta]]*Tabla3[[#This Row],[% Beca Canasta 17-18]]</f>
        <v>#N/A</v>
      </c>
      <c r="AT81" s="208"/>
      <c r="AU81" s="214">
        <v>0</v>
      </c>
      <c r="AV81" s="206" t="e">
        <f>Tabla3[[#This Row],[Cantidad Beca Comunidad Colegiatura 17-18]]*25%</f>
        <v>#N/A</v>
      </c>
      <c r="AW81" s="206"/>
      <c r="AX81" s="215"/>
      <c r="AY81" s="206" t="e">
        <f>Tabla3[[#This Row],[Monto Colegiatura ]]*Tabla3[[#This Row],[% Beca UNAM 17-18]]</f>
        <v>#N/A</v>
      </c>
      <c r="AZ81" s="206"/>
      <c r="BA81" s="216">
        <f>3200*Tabla3[[#This Row],[% Beca Reinscripciones UNAM 17-18]]</f>
        <v>0</v>
      </c>
      <c r="BB81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81" s="217">
        <v>0.5</v>
      </c>
      <c r="BD81" s="218" t="e">
        <f>Tabla3[[#This Row],[Monto Colegiatura ]]*Tabla3[[#This Row],[% Beca Comunidad 17-18]]</f>
        <v>#N/A</v>
      </c>
      <c r="BE81" s="218" t="e">
        <f>Tabla3[[#This Row],[Cantidad Beca Comunidad Colegiatura 17-18]]*75%</f>
        <v>#N/A</v>
      </c>
      <c r="BF81" s="219"/>
      <c r="BG81" s="218">
        <f>Tabla3[[#This Row],[Reinscripción]]*Tabla3[[#This Row],[% Beca Reinscripciones Comunidad 18-19]]</f>
        <v>0</v>
      </c>
      <c r="BH81" s="218">
        <f>Tabla3[[#This Row],[Cantidad Beca Reinscripciones Comunidad 18-19]]*70%</f>
        <v>0</v>
      </c>
      <c r="BI81" s="216" t="e">
        <f>Tabla3[[#This Row],[75% Cantidad Beca Comunidad Colegiatura 17-18]]+Tabla3[[#This Row],[70% Cantidad Beca Reinscripciones 18-19]]</f>
        <v>#N/A</v>
      </c>
      <c r="BJ81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81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81" s="220"/>
      <c r="BM81" s="204"/>
      <c r="BN81" s="221"/>
      <c r="BO81" s="107"/>
      <c r="BP81" s="107">
        <f>Tabla3[[#This Row],[% AutorizadoBeca Colegiatura 17-18]]+Tabla3[[#This Row],[% Beca Prestacion 17-18]]+Tabla3[[#This Row],[% Beca UNAM 17-18]]</f>
        <v>0.5</v>
      </c>
      <c r="BQ81" s="108">
        <f t="shared" si="3"/>
        <v>573.5</v>
      </c>
      <c r="BR81" s="107">
        <f>Tabla3[[#This Row],[% Beca Comunidad 17-18]]</f>
        <v>0.5</v>
      </c>
      <c r="BS81" s="108">
        <f t="shared" si="4"/>
        <v>573.5</v>
      </c>
      <c r="BT81" s="108">
        <f t="shared" si="5"/>
        <v>143.375</v>
      </c>
      <c r="BU81" s="108">
        <f>Tabla3[[#This Row],[Monto3]]*75%</f>
        <v>430.125</v>
      </c>
      <c r="BV81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81" s="107" t="e">
        <f>VLOOKUP(Tabla3[[#This Row],[Nombre del Alumno]],'[3]BECAS COLEGIATURAS'!$I:$N,6,0)</f>
        <v>#N/A</v>
      </c>
      <c r="BX81" s="107" t="e">
        <f>VLOOKUP(Tabla3[[#This Row],[Nombre del Alumno]],[1]!Tabla1[[NOMBRE DEL ALUMNO]:[MATRIZ]],6,0)</f>
        <v>#REF!</v>
      </c>
      <c r="BY81" s="107" t="e">
        <f>VLOOKUP(Tabla3[[#This Row],[Nombre del Alumno]],'[3]BECAS COLEGIATURAS'!$I:$L,4,0)</f>
        <v>#N/A</v>
      </c>
      <c r="BZ81" s="108" t="e">
        <f>VLOOKUP(Tabla3[[#This Row],[Grado 18-19]],[2]Cuotas!$Q:$U,2,0)</f>
        <v>#N/A</v>
      </c>
      <c r="CA81" s="108" t="e">
        <f>VLOOKUP(Tabla3[[#This Row],[Grado 18-19]],[2]Cuotas!$Q:$U,3,0)</f>
        <v>#N/A</v>
      </c>
      <c r="CB81" s="108" t="e">
        <f>VLOOKUP(Tabla3[[#This Row],[Grado 18-19]],[2]Cuotas!$Q:$U,4,0)</f>
        <v>#N/A</v>
      </c>
      <c r="CC81" s="107" t="s">
        <v>609</v>
      </c>
      <c r="CD81" s="222">
        <v>0.5</v>
      </c>
      <c r="CE81" s="218" t="e">
        <f>Tabla3[[#This Row],[Monto Colegiatura 2018-2019]]*Tabla3[[#This Row],[% AutorizadoBeca Colegiatura 18-19]]</f>
        <v>#N/A</v>
      </c>
      <c r="CF81" s="223"/>
      <c r="CG81" s="218" t="e">
        <f>Tabla3[[#This Row],[Monto Colegiatura 2018-2019]]*Tabla3[[#This Row],[% Beca Prestacion 18-19]]</f>
        <v>#N/A</v>
      </c>
      <c r="CH81" s="223"/>
      <c r="CI81" s="218" t="e">
        <f>Tabla3[[#This Row],[Canasta 2018-2019]]*Tabla3[[#This Row],[% Beca Canasta 18-19]]</f>
        <v>#N/A</v>
      </c>
      <c r="CJ81" s="223"/>
      <c r="CK81" s="218" t="e">
        <f>Tabla3[[#This Row],[Reinscripción 2019-2020]]*Tabla3[[#This Row],[% Beca Reinscripciones 19-20]]</f>
        <v>#N/A</v>
      </c>
      <c r="CL81" s="218" t="e">
        <f>Tabla3[[#This Row],[Cantidad Beca Comunidad Colegiatura 18-19]]*25%</f>
        <v>#N/A</v>
      </c>
      <c r="CM81" s="224" t="e">
        <f>Tabla3[[#This Row],[Cantidad Beca Reinscripciones Comunidad 19-20]]*25%</f>
        <v>#N/A</v>
      </c>
      <c r="CN81" s="222"/>
      <c r="CO81" s="218" t="e">
        <f>Tabla3[[#This Row],[Monto Colegiatura 2018-2019]]*Tabla3[[#This Row],[% Beca UNAM 18-19]]</f>
        <v>#N/A</v>
      </c>
      <c r="CP81" s="225"/>
      <c r="CQ81" s="224">
        <f>3328*Tabla3[[#This Row],[% Beca Reinscripciones UNAM 18-19]]</f>
        <v>0</v>
      </c>
      <c r="CR81" s="226" t="e">
        <f>Tabla3[[#This Row],[Cantidad Beca Colegiatura 18-19]]+Tabla3[[#This Row],[Cantidad Beca Canasta 18-19]]+Tabla3[[#This Row],[Cantidad Beca Reinscripciones 19-20]]</f>
        <v>#N/A</v>
      </c>
      <c r="CS81" s="222">
        <v>0.5</v>
      </c>
      <c r="CT81" s="218" t="e">
        <f>Tabla3[[#This Row],[Monto Colegiatura 2018-2019]]*Tabla3[[#This Row],[% Beca Comunidad 18-19]]</f>
        <v>#N/A</v>
      </c>
      <c r="CU81" s="218" t="e">
        <f>Tabla3[[#This Row],[Cantidad Beca Comunidad Colegiatura 18-19]]*75%</f>
        <v>#N/A</v>
      </c>
      <c r="CV81" s="223"/>
      <c r="CW81" s="218" t="e">
        <f>Tabla3[[#This Row],[Reinscripción 2019-2020]]*Tabla3[[#This Row],[% Beca Reinscripciones Comunidad 19-20]]</f>
        <v>#N/A</v>
      </c>
      <c r="CX81" s="218" t="e">
        <f>Tabla3[[#This Row],[Cantidad Beca Reinscripciones Comunidad 19-20]]*75%</f>
        <v>#N/A</v>
      </c>
      <c r="CY81" s="227" t="e">
        <f>Tabla3[[#This Row],[75% Cantidad Beca Comunidad Colegiatura 18-19]]+Tabla3[[#This Row],[75% Cantidad Beca Reinscripciones 19-20]]</f>
        <v>#N/A</v>
      </c>
      <c r="CZ81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81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81" s="108">
        <f>1440*(Tabla3[[#This Row],[% AutorizadoBeca Colegiatura 18-19]]+Tabla3[[#This Row],[% Beca Prestacion 18-19]]+Tabla3[[#This Row],[% Beca UNAM 18-19]]+Tabla3[[#This Row],[% Beca Comunidad 18-19]])</f>
        <v>1440</v>
      </c>
    </row>
    <row r="82" spans="2:106" ht="15" customHeight="1" x14ac:dyDescent="0.2">
      <c r="B82" s="107" t="s">
        <v>603</v>
      </c>
      <c r="C82" s="107" t="e">
        <f>VLOOKUP(Tabla3[[#This Row],[Nombre del Padre]],[1]!Tabla1[[PADRE]:[PADRE_CELULAR]],2,0)</f>
        <v>#REF!</v>
      </c>
      <c r="D82" s="107" t="e">
        <f>VLOOKUP(Tabla3[[#This Row],[Nombre del Padre]],[1]!Tabla1[[PADRE]:[PADRE_CELULAR]],3,0)</f>
        <v>#REF!</v>
      </c>
      <c r="E82" s="107" t="s">
        <v>604</v>
      </c>
      <c r="F82" s="107" t="e">
        <f>VLOOKUP(Tabla3[[#This Row],[Nombre de la Madre]],[1]!Tabla1[[MADRE]:[MADRE_TELEFONO]],2,0)</f>
        <v>#REF!</v>
      </c>
      <c r="G82" s="202" t="e">
        <f>VLOOKUP(Tabla3[[#This Row],[Nombre de la Madre]],[1]!Tabla1[[MADRE]:[MADRE_TELEFONO]],3,0)</f>
        <v>#REF!</v>
      </c>
      <c r="H82" s="228"/>
      <c r="I82" s="204">
        <v>2141</v>
      </c>
      <c r="J82" s="204" t="s">
        <v>605</v>
      </c>
      <c r="K82" s="204" t="s">
        <v>273</v>
      </c>
      <c r="L82" s="204" t="s">
        <v>612</v>
      </c>
      <c r="M82" s="205"/>
      <c r="N82" s="204"/>
      <c r="O82" s="206"/>
      <c r="P82" s="206"/>
      <c r="Q82" s="206"/>
      <c r="R82" s="207"/>
      <c r="S82" s="206"/>
      <c r="T82" s="206"/>
      <c r="U82" s="206"/>
      <c r="V82" s="208"/>
      <c r="W82" s="206"/>
      <c r="X82" s="206"/>
      <c r="Y82" s="206"/>
      <c r="Z82" s="206"/>
      <c r="AA82" s="208"/>
      <c r="AB82" s="206"/>
      <c r="AC82" s="206"/>
      <c r="AD82" s="206"/>
      <c r="AE82" s="206"/>
      <c r="AF82" s="206"/>
      <c r="AG82" s="232" t="s">
        <v>289</v>
      </c>
      <c r="AH82" s="210" t="s">
        <v>613</v>
      </c>
      <c r="AI82" s="211" t="s">
        <v>291</v>
      </c>
      <c r="AJ82" s="206" t="e">
        <f>VLOOKUP(Tabla3[[#This Row],[Grado 17-18]],[2]Cuotas!$H:$L,2,0)</f>
        <v>#N/A</v>
      </c>
      <c r="AK82" s="206" t="e">
        <f>VLOOKUP(Tabla3[[#This Row],[Grado 17-18]],[2]Cuotas!$H:$L,3,0)</f>
        <v>#N/A</v>
      </c>
      <c r="AL82" s="206" t="e">
        <f>VLOOKUP(Tabla3[[#This Row],[Grado 17-18]],[2]Cuotas!$H:$L,4,0)</f>
        <v>#N/A</v>
      </c>
      <c r="AM82" s="229">
        <v>1</v>
      </c>
      <c r="AN82" s="213">
        <v>0.5</v>
      </c>
      <c r="AO82" s="206" t="e">
        <f>Tabla3[[#This Row],[Monto Colegiatura ]]*Tabla3[[#This Row],[% AutorizadoBeca Colegiatura 17-18]]</f>
        <v>#N/A</v>
      </c>
      <c r="AP82" s="208"/>
      <c r="AQ82" s="206" t="e">
        <f>Tabla3[[#This Row],[Monto Colegiatura ]]*Tabla3[[#This Row],[% Beca Prestacion 17-18]]</f>
        <v>#N/A</v>
      </c>
      <c r="AR82" s="208"/>
      <c r="AS82" s="206" t="e">
        <f>Tabla3[[#This Row],[Canasta]]*Tabla3[[#This Row],[% Beca Canasta 17-18]]</f>
        <v>#N/A</v>
      </c>
      <c r="AT82" s="208"/>
      <c r="AU82" s="214">
        <v>0</v>
      </c>
      <c r="AV82" s="206" t="e">
        <f>Tabla3[[#This Row],[Cantidad Beca Comunidad Colegiatura 17-18]]*25%</f>
        <v>#N/A</v>
      </c>
      <c r="AW82" s="206"/>
      <c r="AX82" s="215"/>
      <c r="AY82" s="206" t="e">
        <f>Tabla3[[#This Row],[Monto Colegiatura ]]*Tabla3[[#This Row],[% Beca UNAM 17-18]]</f>
        <v>#N/A</v>
      </c>
      <c r="AZ82" s="206"/>
      <c r="BA82" s="216">
        <f>3200*Tabla3[[#This Row],[% Beca Reinscripciones UNAM 17-18]]</f>
        <v>0</v>
      </c>
      <c r="BB82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82" s="217">
        <v>0.5</v>
      </c>
      <c r="BD82" s="218" t="e">
        <f>Tabla3[[#This Row],[Monto Colegiatura ]]*Tabla3[[#This Row],[% Beca Comunidad 17-18]]</f>
        <v>#N/A</v>
      </c>
      <c r="BE82" s="218" t="e">
        <f>Tabla3[[#This Row],[Cantidad Beca Comunidad Colegiatura 17-18]]*75%</f>
        <v>#N/A</v>
      </c>
      <c r="BF82" s="219"/>
      <c r="BG82" s="218" t="e">
        <f>Tabla3[[#This Row],[Reinscripción]]*Tabla3[[#This Row],[% Beca Reinscripciones Comunidad 18-19]]</f>
        <v>#N/A</v>
      </c>
      <c r="BH82" s="218" t="e">
        <f>Tabla3[[#This Row],[Cantidad Beca Reinscripciones Comunidad 18-19]]*70%</f>
        <v>#N/A</v>
      </c>
      <c r="BI82" s="216" t="e">
        <f>Tabla3[[#This Row],[75% Cantidad Beca Comunidad Colegiatura 17-18]]+Tabla3[[#This Row],[70% Cantidad Beca Reinscripciones 18-19]]</f>
        <v>#N/A</v>
      </c>
      <c r="BJ82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82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82" s="220"/>
      <c r="BM82" s="204"/>
      <c r="BN82" s="221"/>
      <c r="BO82" s="107"/>
      <c r="BP82" s="107">
        <f>Tabla3[[#This Row],[% AutorizadoBeca Colegiatura 17-18]]+Tabla3[[#This Row],[% Beca Prestacion 17-18]]+Tabla3[[#This Row],[% Beca UNAM 17-18]]</f>
        <v>0.5</v>
      </c>
      <c r="BQ82" s="108">
        <f t="shared" si="3"/>
        <v>573.5</v>
      </c>
      <c r="BR82" s="107">
        <f>Tabla3[[#This Row],[% Beca Comunidad 17-18]]</f>
        <v>0.5</v>
      </c>
      <c r="BS82" s="108">
        <f t="shared" si="4"/>
        <v>573.5</v>
      </c>
      <c r="BT82" s="108">
        <f t="shared" si="5"/>
        <v>143.375</v>
      </c>
      <c r="BU82" s="108">
        <f>Tabla3[[#This Row],[Monto3]]*75%</f>
        <v>430.125</v>
      </c>
      <c r="BV82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82" s="107" t="e">
        <f>VLOOKUP(Tabla3[[#This Row],[Nombre del Alumno]],'[3]BECAS COLEGIATURAS'!$I:$N,6,0)</f>
        <v>#N/A</v>
      </c>
      <c r="BX82" s="107" t="e">
        <f>VLOOKUP(Tabla3[[#This Row],[Nombre del Alumno]],[1]!Tabla1[[NOMBRE DEL ALUMNO]:[MATRIZ]],6,0)</f>
        <v>#REF!</v>
      </c>
      <c r="BY82" s="107" t="e">
        <f>VLOOKUP(Tabla3[[#This Row],[Nombre del Alumno]],'[3]BECAS COLEGIATURAS'!$I:$L,4,0)</f>
        <v>#N/A</v>
      </c>
      <c r="BZ82" s="108" t="e">
        <f>VLOOKUP(Tabla3[[#This Row],[Grado 18-19]],[2]Cuotas!$Q:$U,2,0)</f>
        <v>#N/A</v>
      </c>
      <c r="CA82" s="108" t="e">
        <f>VLOOKUP(Tabla3[[#This Row],[Grado 18-19]],[2]Cuotas!$Q:$U,3,0)</f>
        <v>#N/A</v>
      </c>
      <c r="CB82" s="108" t="e">
        <f>VLOOKUP(Tabla3[[#This Row],[Grado 18-19]],[2]Cuotas!$Q:$U,4,0)</f>
        <v>#N/A</v>
      </c>
      <c r="CC82" s="107" t="s">
        <v>609</v>
      </c>
      <c r="CD82" s="222">
        <v>0.5</v>
      </c>
      <c r="CE82" s="218" t="e">
        <f>Tabla3[[#This Row],[Monto Colegiatura 2018-2019]]*Tabla3[[#This Row],[% AutorizadoBeca Colegiatura 18-19]]</f>
        <v>#N/A</v>
      </c>
      <c r="CF82" s="223"/>
      <c r="CG82" s="218" t="e">
        <f>Tabla3[[#This Row],[Monto Colegiatura 2018-2019]]*Tabla3[[#This Row],[% Beca Prestacion 18-19]]</f>
        <v>#N/A</v>
      </c>
      <c r="CH82" s="223"/>
      <c r="CI82" s="218" t="e">
        <f>Tabla3[[#This Row],[Canasta 2018-2019]]*Tabla3[[#This Row],[% Beca Canasta 18-19]]</f>
        <v>#N/A</v>
      </c>
      <c r="CJ82" s="223"/>
      <c r="CK82" s="218" t="e">
        <f>Tabla3[[#This Row],[Reinscripción 2019-2020]]*Tabla3[[#This Row],[% Beca Reinscripciones 19-20]]</f>
        <v>#N/A</v>
      </c>
      <c r="CL82" s="218" t="e">
        <f>Tabla3[[#This Row],[Cantidad Beca Comunidad Colegiatura 18-19]]*25%</f>
        <v>#N/A</v>
      </c>
      <c r="CM82" s="224" t="e">
        <f>Tabla3[[#This Row],[Cantidad Beca Reinscripciones Comunidad 19-20]]*25%</f>
        <v>#N/A</v>
      </c>
      <c r="CN82" s="222"/>
      <c r="CO82" s="218" t="e">
        <f>Tabla3[[#This Row],[Monto Colegiatura 2018-2019]]*Tabla3[[#This Row],[% Beca UNAM 18-19]]</f>
        <v>#N/A</v>
      </c>
      <c r="CP82" s="225"/>
      <c r="CQ82" s="224">
        <f>3328*Tabla3[[#This Row],[% Beca Reinscripciones UNAM 18-19]]</f>
        <v>0</v>
      </c>
      <c r="CR82" s="226" t="e">
        <f>Tabla3[[#This Row],[Cantidad Beca Colegiatura 18-19]]+Tabla3[[#This Row],[Cantidad Beca Canasta 18-19]]+Tabla3[[#This Row],[Cantidad Beca Reinscripciones 19-20]]</f>
        <v>#N/A</v>
      </c>
      <c r="CS82" s="222">
        <v>0.5</v>
      </c>
      <c r="CT82" s="218" t="e">
        <f>Tabla3[[#This Row],[Monto Colegiatura 2018-2019]]*Tabla3[[#This Row],[% Beca Comunidad 18-19]]</f>
        <v>#N/A</v>
      </c>
      <c r="CU82" s="218" t="e">
        <f>Tabla3[[#This Row],[Cantidad Beca Comunidad Colegiatura 18-19]]*75%</f>
        <v>#N/A</v>
      </c>
      <c r="CV82" s="223"/>
      <c r="CW82" s="218" t="e">
        <f>Tabla3[[#This Row],[Reinscripción 2019-2020]]*Tabla3[[#This Row],[% Beca Reinscripciones Comunidad 19-20]]</f>
        <v>#N/A</v>
      </c>
      <c r="CX82" s="218" t="e">
        <f>Tabla3[[#This Row],[Cantidad Beca Reinscripciones Comunidad 19-20]]*75%</f>
        <v>#N/A</v>
      </c>
      <c r="CY82" s="227" t="e">
        <f>Tabla3[[#This Row],[75% Cantidad Beca Comunidad Colegiatura 18-19]]+Tabla3[[#This Row],[75% Cantidad Beca Reinscripciones 19-20]]</f>
        <v>#N/A</v>
      </c>
      <c r="CZ82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82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82" s="108">
        <f>1440*(Tabla3[[#This Row],[% AutorizadoBeca Colegiatura 18-19]]+Tabla3[[#This Row],[% Beca Prestacion 18-19]]+Tabla3[[#This Row],[% Beca UNAM 18-19]]+Tabla3[[#This Row],[% Beca Comunidad 18-19]])</f>
        <v>1440</v>
      </c>
    </row>
    <row r="83" spans="2:106" ht="15" customHeight="1" x14ac:dyDescent="0.2">
      <c r="B83" s="107" t="s">
        <v>603</v>
      </c>
      <c r="C83" s="107" t="e">
        <f>VLOOKUP(Tabla3[[#This Row],[Nombre del Padre]],[1]!Tabla1[[PADRE]:[PADRE_CELULAR]],2,0)</f>
        <v>#REF!</v>
      </c>
      <c r="D83" s="107" t="e">
        <f>VLOOKUP(Tabla3[[#This Row],[Nombre del Padre]],[1]!Tabla1[[PADRE]:[PADRE_CELULAR]],3,0)</f>
        <v>#REF!</v>
      </c>
      <c r="E83" s="107" t="s">
        <v>604</v>
      </c>
      <c r="F83" s="107" t="e">
        <f>VLOOKUP(Tabla3[[#This Row],[Nombre de la Madre]],[1]!Tabla1[[MADRE]:[MADRE_TELEFONO]],2,0)</f>
        <v>#REF!</v>
      </c>
      <c r="G83" s="202" t="e">
        <f>VLOOKUP(Tabla3[[#This Row],[Nombre de la Madre]],[1]!Tabla1[[MADRE]:[MADRE_TELEFONO]],3,0)</f>
        <v>#REF!</v>
      </c>
      <c r="H83" s="228"/>
      <c r="I83" s="204">
        <v>2141</v>
      </c>
      <c r="J83" s="204" t="s">
        <v>605</v>
      </c>
      <c r="K83" s="204" t="s">
        <v>273</v>
      </c>
      <c r="L83" s="204" t="s">
        <v>83</v>
      </c>
      <c r="M83" s="205"/>
      <c r="N83" s="204"/>
      <c r="O83" s="206"/>
      <c r="P83" s="206"/>
      <c r="Q83" s="206"/>
      <c r="R83" s="207"/>
      <c r="S83" s="206"/>
      <c r="T83" s="206"/>
      <c r="U83" s="206"/>
      <c r="V83" s="208"/>
      <c r="W83" s="206"/>
      <c r="X83" s="206"/>
      <c r="Y83" s="206"/>
      <c r="Z83" s="206"/>
      <c r="AA83" s="208"/>
      <c r="AB83" s="206"/>
      <c r="AC83" s="206"/>
      <c r="AD83" s="206"/>
      <c r="AE83" s="206"/>
      <c r="AF83" s="206"/>
      <c r="AG83" s="232" t="s">
        <v>289</v>
      </c>
      <c r="AH83" s="210" t="s">
        <v>480</v>
      </c>
      <c r="AI83" s="211" t="s">
        <v>276</v>
      </c>
      <c r="AJ83" s="206" t="e">
        <f>VLOOKUP(Tabla3[[#This Row],[Grado 17-18]],[2]Cuotas!$H:$L,2,0)</f>
        <v>#N/A</v>
      </c>
      <c r="AK83" s="206" t="e">
        <f>VLOOKUP(Tabla3[[#This Row],[Grado 17-18]],[2]Cuotas!$H:$L,3,0)</f>
        <v>#N/A</v>
      </c>
      <c r="AL83" s="206" t="e">
        <f>VLOOKUP(Tabla3[[#This Row],[Grado 17-18]],[2]Cuotas!$H:$L,4,0)</f>
        <v>#N/A</v>
      </c>
      <c r="AM83" s="229">
        <v>1</v>
      </c>
      <c r="AN83" s="213">
        <v>0.5</v>
      </c>
      <c r="AO83" s="206" t="e">
        <f>Tabla3[[#This Row],[Monto Colegiatura ]]*Tabla3[[#This Row],[% AutorizadoBeca Colegiatura 17-18]]</f>
        <v>#N/A</v>
      </c>
      <c r="AP83" s="208"/>
      <c r="AQ83" s="206" t="e">
        <f>Tabla3[[#This Row],[Monto Colegiatura ]]*Tabla3[[#This Row],[% Beca Prestacion 17-18]]</f>
        <v>#N/A</v>
      </c>
      <c r="AR83" s="208"/>
      <c r="AS83" s="206" t="e">
        <f>Tabla3[[#This Row],[Canasta]]*Tabla3[[#This Row],[% Beca Canasta 17-18]]</f>
        <v>#N/A</v>
      </c>
      <c r="AT83" s="208"/>
      <c r="AU83" s="214">
        <v>0</v>
      </c>
      <c r="AV83" s="206" t="e">
        <f>Tabla3[[#This Row],[Cantidad Beca Comunidad Colegiatura 17-18]]*25%</f>
        <v>#N/A</v>
      </c>
      <c r="AW83" s="206"/>
      <c r="AX83" s="215"/>
      <c r="AY83" s="206" t="e">
        <f>Tabla3[[#This Row],[Monto Colegiatura ]]*Tabla3[[#This Row],[% Beca UNAM 17-18]]</f>
        <v>#N/A</v>
      </c>
      <c r="AZ83" s="206"/>
      <c r="BA83" s="216">
        <f>3200*Tabla3[[#This Row],[% Beca Reinscripciones UNAM 17-18]]</f>
        <v>0</v>
      </c>
      <c r="BB83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83" s="217">
        <v>0.5</v>
      </c>
      <c r="BD83" s="218" t="e">
        <f>Tabla3[[#This Row],[Monto Colegiatura ]]*Tabla3[[#This Row],[% Beca Comunidad 17-18]]</f>
        <v>#N/A</v>
      </c>
      <c r="BE83" s="218" t="e">
        <f>Tabla3[[#This Row],[Cantidad Beca Comunidad Colegiatura 17-18]]*75%</f>
        <v>#N/A</v>
      </c>
      <c r="BF83" s="219"/>
      <c r="BG83" s="218" t="e">
        <f>Tabla3[[#This Row],[Reinscripción]]*Tabla3[[#This Row],[% Beca Reinscripciones Comunidad 18-19]]</f>
        <v>#N/A</v>
      </c>
      <c r="BH83" s="218" t="e">
        <f>Tabla3[[#This Row],[Cantidad Beca Reinscripciones Comunidad 18-19]]*70%</f>
        <v>#N/A</v>
      </c>
      <c r="BI83" s="216" t="e">
        <f>Tabla3[[#This Row],[75% Cantidad Beca Comunidad Colegiatura 17-18]]+Tabla3[[#This Row],[70% Cantidad Beca Reinscripciones 18-19]]</f>
        <v>#N/A</v>
      </c>
      <c r="BJ83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83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83" s="220"/>
      <c r="BM83" s="204"/>
      <c r="BN83" s="221"/>
      <c r="BO83" s="107"/>
      <c r="BP83" s="107">
        <f>Tabla3[[#This Row],[% AutorizadoBeca Colegiatura 17-18]]+Tabla3[[#This Row],[% Beca Prestacion 17-18]]+Tabla3[[#This Row],[% Beca UNAM 17-18]]</f>
        <v>0.5</v>
      </c>
      <c r="BQ83" s="108">
        <f t="shared" si="3"/>
        <v>573.5</v>
      </c>
      <c r="BR83" s="107">
        <f>Tabla3[[#This Row],[% Beca Comunidad 17-18]]</f>
        <v>0.5</v>
      </c>
      <c r="BS83" s="108">
        <f t="shared" si="4"/>
        <v>573.5</v>
      </c>
      <c r="BT83" s="108">
        <f t="shared" si="5"/>
        <v>143.375</v>
      </c>
      <c r="BU83" s="108">
        <f>Tabla3[[#This Row],[Monto3]]*75%</f>
        <v>430.125</v>
      </c>
      <c r="BV83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83" s="107" t="e">
        <f>VLOOKUP(Tabla3[[#This Row],[Nombre del Alumno]],'[3]BECAS COLEGIATURAS'!$I:$N,6,0)</f>
        <v>#N/A</v>
      </c>
      <c r="BX83" s="107" t="e">
        <f>VLOOKUP(Tabla3[[#This Row],[Nombre del Alumno]],[1]!Tabla1[[NOMBRE DEL ALUMNO]:[MATRIZ]],6,0)</f>
        <v>#REF!</v>
      </c>
      <c r="BY83" s="107" t="e">
        <f>VLOOKUP(Tabla3[[#This Row],[Nombre del Alumno]],'[3]BECAS COLEGIATURAS'!$I:$L,4,0)</f>
        <v>#N/A</v>
      </c>
      <c r="BZ83" s="108" t="e">
        <f>VLOOKUP(Tabla3[[#This Row],[Grado 18-19]],[2]Cuotas!$Q:$U,2,0)</f>
        <v>#N/A</v>
      </c>
      <c r="CA83" s="108" t="e">
        <f>VLOOKUP(Tabla3[[#This Row],[Grado 18-19]],[2]Cuotas!$Q:$U,3,0)</f>
        <v>#N/A</v>
      </c>
      <c r="CB83" s="108" t="e">
        <f>VLOOKUP(Tabla3[[#This Row],[Grado 18-19]],[2]Cuotas!$Q:$U,4,0)</f>
        <v>#N/A</v>
      </c>
      <c r="CC83" s="107" t="s">
        <v>609</v>
      </c>
      <c r="CD83" s="222">
        <v>0.5</v>
      </c>
      <c r="CE83" s="218" t="e">
        <f>Tabla3[[#This Row],[Monto Colegiatura 2018-2019]]*Tabla3[[#This Row],[% AutorizadoBeca Colegiatura 18-19]]</f>
        <v>#N/A</v>
      </c>
      <c r="CF83" s="223"/>
      <c r="CG83" s="218" t="e">
        <f>Tabla3[[#This Row],[Monto Colegiatura 2018-2019]]*Tabla3[[#This Row],[% Beca Prestacion 18-19]]</f>
        <v>#N/A</v>
      </c>
      <c r="CH83" s="223"/>
      <c r="CI83" s="218" t="e">
        <f>Tabla3[[#This Row],[Canasta 2018-2019]]*Tabla3[[#This Row],[% Beca Canasta 18-19]]</f>
        <v>#N/A</v>
      </c>
      <c r="CJ83" s="223"/>
      <c r="CK83" s="218" t="e">
        <f>Tabla3[[#This Row],[Reinscripción 2019-2020]]*Tabla3[[#This Row],[% Beca Reinscripciones 19-20]]</f>
        <v>#N/A</v>
      </c>
      <c r="CL83" s="218" t="e">
        <f>Tabla3[[#This Row],[Cantidad Beca Comunidad Colegiatura 18-19]]*25%</f>
        <v>#N/A</v>
      </c>
      <c r="CM83" s="224" t="e">
        <f>Tabla3[[#This Row],[Cantidad Beca Reinscripciones Comunidad 19-20]]*25%</f>
        <v>#N/A</v>
      </c>
      <c r="CN83" s="222"/>
      <c r="CO83" s="218" t="e">
        <f>Tabla3[[#This Row],[Monto Colegiatura 2018-2019]]*Tabla3[[#This Row],[% Beca UNAM 18-19]]</f>
        <v>#N/A</v>
      </c>
      <c r="CP83" s="225"/>
      <c r="CQ83" s="224">
        <f>3328*Tabla3[[#This Row],[% Beca Reinscripciones UNAM 18-19]]</f>
        <v>0</v>
      </c>
      <c r="CR83" s="226" t="e">
        <f>Tabla3[[#This Row],[Cantidad Beca Colegiatura 18-19]]+Tabla3[[#This Row],[Cantidad Beca Canasta 18-19]]+Tabla3[[#This Row],[Cantidad Beca Reinscripciones 19-20]]</f>
        <v>#N/A</v>
      </c>
      <c r="CS83" s="222">
        <v>0.5</v>
      </c>
      <c r="CT83" s="218" t="e">
        <f>Tabla3[[#This Row],[Monto Colegiatura 2018-2019]]*Tabla3[[#This Row],[% Beca Comunidad 18-19]]</f>
        <v>#N/A</v>
      </c>
      <c r="CU83" s="218" t="e">
        <f>Tabla3[[#This Row],[Cantidad Beca Comunidad Colegiatura 18-19]]*75%</f>
        <v>#N/A</v>
      </c>
      <c r="CV83" s="223"/>
      <c r="CW83" s="218" t="e">
        <f>Tabla3[[#This Row],[Reinscripción 2019-2020]]*Tabla3[[#This Row],[% Beca Reinscripciones Comunidad 19-20]]</f>
        <v>#N/A</v>
      </c>
      <c r="CX83" s="218" t="e">
        <f>Tabla3[[#This Row],[Cantidad Beca Reinscripciones Comunidad 19-20]]*75%</f>
        <v>#N/A</v>
      </c>
      <c r="CY83" s="227" t="e">
        <f>Tabla3[[#This Row],[75% Cantidad Beca Comunidad Colegiatura 18-19]]+Tabla3[[#This Row],[75% Cantidad Beca Reinscripciones 19-20]]</f>
        <v>#N/A</v>
      </c>
      <c r="CZ83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83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83" s="108">
        <f>1440*(Tabla3[[#This Row],[% AutorizadoBeca Colegiatura 18-19]]+Tabla3[[#This Row],[% Beca Prestacion 18-19]]+Tabla3[[#This Row],[% Beca UNAM 18-19]]+Tabla3[[#This Row],[% Beca Comunidad 18-19]])</f>
        <v>1440</v>
      </c>
    </row>
    <row r="84" spans="2:106" ht="15" customHeight="1" x14ac:dyDescent="0.2">
      <c r="B84" s="107" t="s">
        <v>614</v>
      </c>
      <c r="C84" s="107" t="e">
        <f>VLOOKUP(Tabla3[[#This Row],[Nombre del Padre]],[1]!Tabla1[[PADRE]:[PADRE_CELULAR]],2,0)</f>
        <v>#REF!</v>
      </c>
      <c r="D84" s="107" t="e">
        <f>VLOOKUP(Tabla3[[#This Row],[Nombre del Padre]],[1]!Tabla1[[PADRE]:[PADRE_CELULAR]],3,0)</f>
        <v>#REF!</v>
      </c>
      <c r="E84" s="107" t="s">
        <v>615</v>
      </c>
      <c r="F84" s="107" t="e">
        <f>VLOOKUP(Tabla3[[#This Row],[Nombre de la Madre]],[1]!Tabla1[[MADRE]:[MADRE_TELEFONO]],2,0)</f>
        <v>#REF!</v>
      </c>
      <c r="G84" s="202" t="e">
        <f>VLOOKUP(Tabla3[[#This Row],[Nombre de la Madre]],[1]!Tabla1[[MADRE]:[MADRE_TELEFONO]],3,0)</f>
        <v>#REF!</v>
      </c>
      <c r="H84" s="230">
        <v>48</v>
      </c>
      <c r="I84" s="204">
        <v>2125</v>
      </c>
      <c r="J84" s="204" t="s">
        <v>616</v>
      </c>
      <c r="K84" s="204" t="s">
        <v>273</v>
      </c>
      <c r="L84" s="204" t="s">
        <v>617</v>
      </c>
      <c r="M84" s="205" t="s">
        <v>618</v>
      </c>
      <c r="N84" s="204" t="s">
        <v>330</v>
      </c>
      <c r="O84" s="206" t="e">
        <f>VLOOKUP(Tabla3[[#This Row],[Grado]],[2]Cuotas!$A:$E,2,0)</f>
        <v>#N/A</v>
      </c>
      <c r="P84" s="206" t="e">
        <f>VLOOKUP(Tabla3[[#This Row],[Grado]],[2]Cuotas!$A:$E,4,0)</f>
        <v>#N/A</v>
      </c>
      <c r="Q84" s="206" t="e">
        <f>VLOOKUP(Tabla3[[#This Row],[Grado]],[2]Cuotas!$A:$E,3,0)</f>
        <v>#N/A</v>
      </c>
      <c r="R84" s="207">
        <v>0.2</v>
      </c>
      <c r="S84" s="206" t="e">
        <f>Tabla3[[#This Row],[Monto Colegiatura]]*Tabla3[[#This Row],[% Beca Colegio 16-17]]</f>
        <v>#N/A</v>
      </c>
      <c r="T84" s="206"/>
      <c r="U84" s="206" t="e">
        <f>Tabla3[[#This Row],[Monto Colegiatura]]*Tabla3[[#This Row],[% Beca Prestación 16-17]]</f>
        <v>#N/A</v>
      </c>
      <c r="V84" s="208">
        <v>0.8</v>
      </c>
      <c r="W84" s="206" t="e">
        <f>Tabla3[[#This Row],[Monto Colegiatura]]*Tabla3[[#This Row],[% Beca Comunidad 16-17]]</f>
        <v>#N/A</v>
      </c>
      <c r="X84" s="206" t="e">
        <f>Tabla3[[#This Row],[Cantidad Beca Comunidad 16-17]]*25%</f>
        <v>#N/A</v>
      </c>
      <c r="Y84" s="206"/>
      <c r="Z84" s="206" t="e">
        <f>Tabla3[[#This Row],[Monto Colegiatura]]*Tabla3[[#This Row],[% Beca UNAM 16-17]]</f>
        <v>#N/A</v>
      </c>
      <c r="AA84" s="208"/>
      <c r="AB84" s="206" t="e">
        <f>Tabla3[[#This Row],[Monto Reinscripción]]*Tabla3[[#This Row],[% Beca Reinscripción 16-17]]</f>
        <v>#N/A</v>
      </c>
      <c r="AC84" s="206"/>
      <c r="AD84" s="206" t="e">
        <f>Tabla3[[#This Row],[Monto Canasta]]*Tabla3[[#This Row],[% Beca Canasta 16-17]]</f>
        <v>#N/A</v>
      </c>
      <c r="AE84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84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84" s="209" t="e">
        <f>VLOOKUP(Tabla3[[#This Row],[Nombre del Alumno]],[2]!Tabla1[[Alumno]:[Cuenta Ciclos]],2,0)</f>
        <v>#REF!</v>
      </c>
      <c r="AH84" s="210" t="s">
        <v>619</v>
      </c>
      <c r="AI84" s="211" t="s">
        <v>332</v>
      </c>
      <c r="AJ84" s="206" t="e">
        <f>VLOOKUP(Tabla3[[#This Row],[Grado 17-18]],[2]Cuotas!$H:$L,2,0)</f>
        <v>#N/A</v>
      </c>
      <c r="AK84" s="206" t="e">
        <f>VLOOKUP(Tabla3[[#This Row],[Grado 17-18]],[2]Cuotas!$H:$L,3,0)</f>
        <v>#N/A</v>
      </c>
      <c r="AL84" s="206" t="e">
        <f>VLOOKUP(Tabla3[[#This Row],[Grado 17-18]],[2]Cuotas!$H:$L,4,0)</f>
        <v>#N/A</v>
      </c>
      <c r="AM84" s="229">
        <v>1</v>
      </c>
      <c r="AN84" s="213">
        <v>0.2</v>
      </c>
      <c r="AO84" s="206" t="e">
        <f>Tabla3[[#This Row],[Monto Colegiatura ]]*Tabla3[[#This Row],[% AutorizadoBeca Colegiatura 17-18]]</f>
        <v>#N/A</v>
      </c>
      <c r="AP84" s="208"/>
      <c r="AQ84" s="206" t="e">
        <f>Tabla3[[#This Row],[Monto Colegiatura ]]*Tabla3[[#This Row],[% Beca Prestacion 17-18]]</f>
        <v>#N/A</v>
      </c>
      <c r="AR84" s="208"/>
      <c r="AS84" s="206" t="e">
        <f>Tabla3[[#This Row],[Canasta]]*Tabla3[[#This Row],[% Beca Canasta 17-18]]</f>
        <v>#N/A</v>
      </c>
      <c r="AT84" s="208"/>
      <c r="AU84" s="214">
        <v>0</v>
      </c>
      <c r="AV84" s="206" t="e">
        <f>Tabla3[[#This Row],[Cantidad Beca Comunidad Colegiatura 17-18]]*25%</f>
        <v>#N/A</v>
      </c>
      <c r="AW84" s="206"/>
      <c r="AX84" s="215"/>
      <c r="AY84" s="206" t="e">
        <f>Tabla3[[#This Row],[Monto Colegiatura ]]*Tabla3[[#This Row],[% Beca UNAM 17-18]]</f>
        <v>#N/A</v>
      </c>
      <c r="AZ84" s="206"/>
      <c r="BA84" s="216">
        <f>3200*Tabla3[[#This Row],[% Beca Reinscripciones UNAM 17-18]]</f>
        <v>0</v>
      </c>
      <c r="BB84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84" s="231">
        <v>0.8</v>
      </c>
      <c r="BD84" s="218" t="e">
        <f>Tabla3[[#This Row],[Monto Colegiatura ]]*Tabla3[[#This Row],[% Beca Comunidad 17-18]]</f>
        <v>#N/A</v>
      </c>
      <c r="BE84" s="218" t="e">
        <f>Tabla3[[#This Row],[Cantidad Beca Comunidad Colegiatura 17-18]]*75%</f>
        <v>#N/A</v>
      </c>
      <c r="BF84" s="219"/>
      <c r="BG84" s="218" t="e">
        <f>Tabla3[[#This Row],[Reinscripción]]*Tabla3[[#This Row],[% Beca Reinscripciones Comunidad 18-19]]</f>
        <v>#N/A</v>
      </c>
      <c r="BH84" s="218" t="e">
        <f>Tabla3[[#This Row],[Cantidad Beca Reinscripciones Comunidad 18-19]]*70%</f>
        <v>#N/A</v>
      </c>
      <c r="BI84" s="216" t="e">
        <f>Tabla3[[#This Row],[75% Cantidad Beca Comunidad Colegiatura 17-18]]+Tabla3[[#This Row],[70% Cantidad Beca Reinscripciones 18-19]]</f>
        <v>#N/A</v>
      </c>
      <c r="BJ84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84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84" s="220"/>
      <c r="BM84" s="229"/>
      <c r="BN84" s="221"/>
      <c r="BO84" s="107"/>
      <c r="BP84" s="107">
        <f>Tabla3[[#This Row],[% AutorizadoBeca Colegiatura 17-18]]+Tabla3[[#This Row],[% Beca Prestacion 17-18]]+Tabla3[[#This Row],[% Beca UNAM 17-18]]</f>
        <v>0.2</v>
      </c>
      <c r="BQ84" s="108">
        <f t="shared" si="3"/>
        <v>229.4</v>
      </c>
      <c r="BR84" s="107">
        <f>Tabla3[[#This Row],[% Beca Comunidad 17-18]]</f>
        <v>0.8</v>
      </c>
      <c r="BS84" s="108">
        <f t="shared" si="4"/>
        <v>917.6</v>
      </c>
      <c r="BT84" s="108">
        <f t="shared" si="5"/>
        <v>229.4</v>
      </c>
      <c r="BU84" s="108">
        <f>Tabla3[[#This Row],[Monto3]]*75%</f>
        <v>688.2</v>
      </c>
      <c r="BV84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84" s="107" t="e">
        <f>VLOOKUP(Tabla3[[#This Row],[Nombre del Alumno]],'[3]BECAS COLEGIATURAS'!$I:$N,6,0)</f>
        <v>#N/A</v>
      </c>
      <c r="BX84" s="107" t="e">
        <f>VLOOKUP(Tabla3[[#This Row],[Nombre del Alumno]],[1]!Tabla1[[NOMBRE DEL ALUMNO]:[MATRIZ]],6,0)</f>
        <v>#REF!</v>
      </c>
      <c r="BY84" s="107" t="e">
        <f>VLOOKUP(Tabla3[[#This Row],[Nombre del Alumno]],'[3]BECAS COLEGIATURAS'!$I:$L,4,0)</f>
        <v>#N/A</v>
      </c>
      <c r="BZ84" s="108" t="e">
        <f>VLOOKUP(Tabla3[[#This Row],[Grado 18-19]],[2]Cuotas!$Q:$U,2,0)</f>
        <v>#N/A</v>
      </c>
      <c r="CA84" s="108" t="e">
        <f>VLOOKUP(Tabla3[[#This Row],[Grado 18-19]],[2]Cuotas!$Q:$U,3,0)</f>
        <v>#N/A</v>
      </c>
      <c r="CB84" s="108" t="e">
        <f>VLOOKUP(Tabla3[[#This Row],[Grado 18-19]],[2]Cuotas!$Q:$U,4,0)</f>
        <v>#N/A</v>
      </c>
      <c r="CC84" s="107" t="s">
        <v>620</v>
      </c>
      <c r="CD84" s="222">
        <v>0.2</v>
      </c>
      <c r="CE84" s="218" t="e">
        <f>Tabla3[[#This Row],[Monto Colegiatura 2018-2019]]*Tabla3[[#This Row],[% AutorizadoBeca Colegiatura 18-19]]</f>
        <v>#N/A</v>
      </c>
      <c r="CF84" s="223"/>
      <c r="CG84" s="218" t="e">
        <f>Tabla3[[#This Row],[Monto Colegiatura 2018-2019]]*Tabla3[[#This Row],[% Beca Prestacion 18-19]]</f>
        <v>#N/A</v>
      </c>
      <c r="CH84" s="223"/>
      <c r="CI84" s="218" t="e">
        <f>Tabla3[[#This Row],[Canasta 2018-2019]]*Tabla3[[#This Row],[% Beca Canasta 18-19]]</f>
        <v>#N/A</v>
      </c>
      <c r="CJ84" s="223"/>
      <c r="CK84" s="218" t="e">
        <f>Tabla3[[#This Row],[Reinscripción 2019-2020]]*Tabla3[[#This Row],[% Beca Reinscripciones 19-20]]</f>
        <v>#N/A</v>
      </c>
      <c r="CL84" s="218" t="e">
        <f>Tabla3[[#This Row],[Cantidad Beca Comunidad Colegiatura 18-19]]*25%</f>
        <v>#N/A</v>
      </c>
      <c r="CM84" s="224" t="e">
        <f>Tabla3[[#This Row],[Cantidad Beca Reinscripciones Comunidad 19-20]]*25%</f>
        <v>#N/A</v>
      </c>
      <c r="CN84" s="222"/>
      <c r="CO84" s="218" t="e">
        <f>Tabla3[[#This Row],[Monto Colegiatura 2018-2019]]*Tabla3[[#This Row],[% Beca UNAM 18-19]]</f>
        <v>#N/A</v>
      </c>
      <c r="CP84" s="225"/>
      <c r="CQ84" s="224">
        <f>3328*Tabla3[[#This Row],[% Beca Reinscripciones UNAM 18-19]]</f>
        <v>0</v>
      </c>
      <c r="CR84" s="226" t="e">
        <f>Tabla3[[#This Row],[Cantidad Beca Colegiatura 18-19]]+Tabla3[[#This Row],[Cantidad Beca Canasta 18-19]]+Tabla3[[#This Row],[Cantidad Beca Reinscripciones 19-20]]</f>
        <v>#N/A</v>
      </c>
      <c r="CS84" s="222">
        <v>0.8</v>
      </c>
      <c r="CT84" s="218" t="e">
        <f>Tabla3[[#This Row],[Monto Colegiatura 2018-2019]]*Tabla3[[#This Row],[% Beca Comunidad 18-19]]</f>
        <v>#N/A</v>
      </c>
      <c r="CU84" s="218" t="e">
        <f>Tabla3[[#This Row],[Cantidad Beca Comunidad Colegiatura 18-19]]*75%</f>
        <v>#N/A</v>
      </c>
      <c r="CV84" s="223"/>
      <c r="CW84" s="218" t="e">
        <f>Tabla3[[#This Row],[Reinscripción 2019-2020]]*Tabla3[[#This Row],[% Beca Reinscripciones Comunidad 19-20]]</f>
        <v>#N/A</v>
      </c>
      <c r="CX84" s="218" t="e">
        <f>Tabla3[[#This Row],[Cantidad Beca Reinscripciones Comunidad 19-20]]*75%</f>
        <v>#N/A</v>
      </c>
      <c r="CY84" s="227" t="e">
        <f>Tabla3[[#This Row],[75% Cantidad Beca Comunidad Colegiatura 18-19]]+Tabla3[[#This Row],[75% Cantidad Beca Reinscripciones 19-20]]</f>
        <v>#N/A</v>
      </c>
      <c r="CZ84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84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84" s="108">
        <f>1440*(Tabla3[[#This Row],[% AutorizadoBeca Colegiatura 18-19]]+Tabla3[[#This Row],[% Beca Prestacion 18-19]]+Tabla3[[#This Row],[% Beca UNAM 18-19]]+Tabla3[[#This Row],[% Beca Comunidad 18-19]])</f>
        <v>1440</v>
      </c>
    </row>
    <row r="85" spans="2:106" ht="15" customHeight="1" x14ac:dyDescent="0.2">
      <c r="B85" s="107" t="s">
        <v>614</v>
      </c>
      <c r="C85" s="107" t="e">
        <f>VLOOKUP(Tabla3[[#This Row],[Nombre del Padre]],[1]!Tabla1[[PADRE]:[PADRE_CELULAR]],2,0)</f>
        <v>#REF!</v>
      </c>
      <c r="D85" s="107" t="e">
        <f>VLOOKUP(Tabla3[[#This Row],[Nombre del Padre]],[1]!Tabla1[[PADRE]:[PADRE_CELULAR]],3,0)</f>
        <v>#REF!</v>
      </c>
      <c r="E85" s="107" t="s">
        <v>615</v>
      </c>
      <c r="F85" s="107" t="e">
        <f>VLOOKUP(Tabla3[[#This Row],[Nombre de la Madre]],[1]!Tabla1[[MADRE]:[MADRE_TELEFONO]],2,0)</f>
        <v>#REF!</v>
      </c>
      <c r="G85" s="202" t="e">
        <f>VLOOKUP(Tabla3[[#This Row],[Nombre de la Madre]],[1]!Tabla1[[MADRE]:[MADRE_TELEFONO]],3,0)</f>
        <v>#REF!</v>
      </c>
      <c r="H85" s="228"/>
      <c r="I85" s="204">
        <v>2125</v>
      </c>
      <c r="J85" s="204" t="s">
        <v>616</v>
      </c>
      <c r="K85" s="204" t="s">
        <v>273</v>
      </c>
      <c r="L85" s="204" t="s">
        <v>84</v>
      </c>
      <c r="M85" s="205" t="s">
        <v>621</v>
      </c>
      <c r="N85" s="204" t="s">
        <v>338</v>
      </c>
      <c r="O85" s="206" t="e">
        <f>VLOOKUP(Tabla3[[#This Row],[Grado]],[2]Cuotas!$A:$E,2,0)</f>
        <v>#N/A</v>
      </c>
      <c r="P85" s="206" t="e">
        <f>VLOOKUP(Tabla3[[#This Row],[Grado]],[2]Cuotas!$A:$E,4,0)</f>
        <v>#N/A</v>
      </c>
      <c r="Q85" s="206" t="e">
        <f>VLOOKUP(Tabla3[[#This Row],[Grado]],[2]Cuotas!$A:$E,3,0)</f>
        <v>#N/A</v>
      </c>
      <c r="R85" s="207">
        <v>0.2</v>
      </c>
      <c r="S85" s="206" t="e">
        <f>Tabla3[[#This Row],[Monto Colegiatura]]*Tabla3[[#This Row],[% Beca Colegio 16-17]]</f>
        <v>#N/A</v>
      </c>
      <c r="T85" s="206"/>
      <c r="U85" s="206" t="e">
        <f>Tabla3[[#This Row],[Monto Colegiatura]]*Tabla3[[#This Row],[% Beca Prestación 16-17]]</f>
        <v>#N/A</v>
      </c>
      <c r="V85" s="208">
        <v>0.8</v>
      </c>
      <c r="W85" s="206" t="e">
        <f>Tabla3[[#This Row],[Monto Colegiatura]]*Tabla3[[#This Row],[% Beca Comunidad 16-17]]</f>
        <v>#N/A</v>
      </c>
      <c r="X85" s="206" t="e">
        <f>Tabla3[[#This Row],[Cantidad Beca Comunidad 16-17]]*25%</f>
        <v>#N/A</v>
      </c>
      <c r="Y85" s="206"/>
      <c r="Z85" s="206" t="e">
        <f>Tabla3[[#This Row],[Monto Colegiatura]]*Tabla3[[#This Row],[% Beca UNAM 16-17]]</f>
        <v>#N/A</v>
      </c>
      <c r="AA85" s="208"/>
      <c r="AB85" s="206" t="e">
        <f>Tabla3[[#This Row],[Monto Reinscripción]]*Tabla3[[#This Row],[% Beca Reinscripción 16-17]]</f>
        <v>#N/A</v>
      </c>
      <c r="AC85" s="206"/>
      <c r="AD85" s="206" t="e">
        <f>Tabla3[[#This Row],[Monto Canasta]]*Tabla3[[#This Row],[% Beca Canasta 16-17]]</f>
        <v>#N/A</v>
      </c>
      <c r="AE85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85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85" s="209" t="e">
        <f>VLOOKUP(Tabla3[[#This Row],[Nombre del Alumno]],[2]!Tabla1[[Alumno]:[Cuenta Ciclos]],2,0)</f>
        <v>#REF!</v>
      </c>
      <c r="AH85" s="210" t="s">
        <v>622</v>
      </c>
      <c r="AI85" s="211" t="s">
        <v>276</v>
      </c>
      <c r="AJ85" s="206" t="e">
        <f>VLOOKUP(Tabla3[[#This Row],[Grado 17-18]],[2]Cuotas!$H:$L,2,0)</f>
        <v>#N/A</v>
      </c>
      <c r="AK85" s="206" t="e">
        <f>VLOOKUP(Tabla3[[#This Row],[Grado 17-18]],[2]Cuotas!$H:$L,3,0)</f>
        <v>#N/A</v>
      </c>
      <c r="AL85" s="206" t="e">
        <f>VLOOKUP(Tabla3[[#This Row],[Grado 17-18]],[2]Cuotas!$H:$L,4,0)</f>
        <v>#N/A</v>
      </c>
      <c r="AM85" s="229">
        <v>1</v>
      </c>
      <c r="AN85" s="213">
        <v>0.2</v>
      </c>
      <c r="AO85" s="206" t="e">
        <f>Tabla3[[#This Row],[Monto Colegiatura ]]*Tabla3[[#This Row],[% AutorizadoBeca Colegiatura 17-18]]</f>
        <v>#N/A</v>
      </c>
      <c r="AP85" s="208"/>
      <c r="AQ85" s="206" t="e">
        <f>Tabla3[[#This Row],[Monto Colegiatura ]]*Tabla3[[#This Row],[% Beca Prestacion 17-18]]</f>
        <v>#N/A</v>
      </c>
      <c r="AR85" s="208"/>
      <c r="AS85" s="206" t="e">
        <f>Tabla3[[#This Row],[Canasta]]*Tabla3[[#This Row],[% Beca Canasta 17-18]]</f>
        <v>#N/A</v>
      </c>
      <c r="AT85" s="208"/>
      <c r="AU85" s="214">
        <v>0</v>
      </c>
      <c r="AV85" s="206" t="e">
        <f>Tabla3[[#This Row],[Cantidad Beca Comunidad Colegiatura 17-18]]*25%</f>
        <v>#N/A</v>
      </c>
      <c r="AW85" s="206"/>
      <c r="AX85" s="215"/>
      <c r="AY85" s="206" t="e">
        <f>Tabla3[[#This Row],[Monto Colegiatura ]]*Tabla3[[#This Row],[% Beca UNAM 17-18]]</f>
        <v>#N/A</v>
      </c>
      <c r="AZ85" s="206"/>
      <c r="BA85" s="216">
        <f>3200*Tabla3[[#This Row],[% Beca Reinscripciones UNAM 17-18]]</f>
        <v>0</v>
      </c>
      <c r="BB85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85" s="231">
        <v>0.8</v>
      </c>
      <c r="BD85" s="218" t="e">
        <f>Tabla3[[#This Row],[Monto Colegiatura ]]*Tabla3[[#This Row],[% Beca Comunidad 17-18]]</f>
        <v>#N/A</v>
      </c>
      <c r="BE85" s="218" t="e">
        <f>Tabla3[[#This Row],[Cantidad Beca Comunidad Colegiatura 17-18]]*75%</f>
        <v>#N/A</v>
      </c>
      <c r="BF85" s="219"/>
      <c r="BG85" s="218" t="e">
        <f>Tabla3[[#This Row],[Reinscripción]]*Tabla3[[#This Row],[% Beca Reinscripciones Comunidad 18-19]]</f>
        <v>#N/A</v>
      </c>
      <c r="BH85" s="218" t="e">
        <f>Tabla3[[#This Row],[Cantidad Beca Reinscripciones Comunidad 18-19]]*70%</f>
        <v>#N/A</v>
      </c>
      <c r="BI85" s="216" t="e">
        <f>Tabla3[[#This Row],[75% Cantidad Beca Comunidad Colegiatura 17-18]]+Tabla3[[#This Row],[70% Cantidad Beca Reinscripciones 18-19]]</f>
        <v>#N/A</v>
      </c>
      <c r="BJ85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85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85" s="220"/>
      <c r="BM85" s="229"/>
      <c r="BN85" s="221"/>
      <c r="BO85" s="107"/>
      <c r="BP85" s="107">
        <f>Tabla3[[#This Row],[% AutorizadoBeca Colegiatura 17-18]]+Tabla3[[#This Row],[% Beca Prestacion 17-18]]+Tabla3[[#This Row],[% Beca UNAM 17-18]]</f>
        <v>0.2</v>
      </c>
      <c r="BQ85" s="108">
        <f t="shared" si="3"/>
        <v>229.4</v>
      </c>
      <c r="BR85" s="107">
        <f>Tabla3[[#This Row],[% Beca Comunidad 17-18]]</f>
        <v>0.8</v>
      </c>
      <c r="BS85" s="108">
        <f t="shared" si="4"/>
        <v>917.6</v>
      </c>
      <c r="BT85" s="108">
        <f t="shared" si="5"/>
        <v>229.4</v>
      </c>
      <c r="BU85" s="108">
        <f>Tabla3[[#This Row],[Monto3]]*75%</f>
        <v>688.2</v>
      </c>
      <c r="BV85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85" s="107" t="e">
        <f>VLOOKUP(Tabla3[[#This Row],[Nombre del Alumno]],'[3]BECAS COLEGIATURAS'!$I:$N,6,0)</f>
        <v>#N/A</v>
      </c>
      <c r="BX85" s="107" t="e">
        <f>VLOOKUP(Tabla3[[#This Row],[Nombre del Alumno]],[1]!Tabla1[[NOMBRE DEL ALUMNO]:[MATRIZ]],6,0)</f>
        <v>#REF!</v>
      </c>
      <c r="BY85" s="107" t="e">
        <f>VLOOKUP(Tabla3[[#This Row],[Nombre del Alumno]],'[3]BECAS COLEGIATURAS'!$I:$L,4,0)</f>
        <v>#N/A</v>
      </c>
      <c r="BZ85" s="108" t="e">
        <f>VLOOKUP(Tabla3[[#This Row],[Grado 18-19]],[2]Cuotas!$Q:$U,2,0)</f>
        <v>#N/A</v>
      </c>
      <c r="CA85" s="108" t="e">
        <f>VLOOKUP(Tabla3[[#This Row],[Grado 18-19]],[2]Cuotas!$Q:$U,3,0)</f>
        <v>#N/A</v>
      </c>
      <c r="CB85" s="108" t="e">
        <f>VLOOKUP(Tabla3[[#This Row],[Grado 18-19]],[2]Cuotas!$Q:$U,4,0)</f>
        <v>#N/A</v>
      </c>
      <c r="CC85" s="107" t="s">
        <v>620</v>
      </c>
      <c r="CD85" s="222">
        <v>0.2</v>
      </c>
      <c r="CE85" s="218" t="e">
        <f>Tabla3[[#This Row],[Monto Colegiatura 2018-2019]]*Tabla3[[#This Row],[% AutorizadoBeca Colegiatura 18-19]]</f>
        <v>#N/A</v>
      </c>
      <c r="CF85" s="223"/>
      <c r="CG85" s="218" t="e">
        <f>Tabla3[[#This Row],[Monto Colegiatura 2018-2019]]*Tabla3[[#This Row],[% Beca Prestacion 18-19]]</f>
        <v>#N/A</v>
      </c>
      <c r="CH85" s="223"/>
      <c r="CI85" s="218" t="e">
        <f>Tabla3[[#This Row],[Canasta 2018-2019]]*Tabla3[[#This Row],[% Beca Canasta 18-19]]</f>
        <v>#N/A</v>
      </c>
      <c r="CJ85" s="223"/>
      <c r="CK85" s="218" t="e">
        <f>Tabla3[[#This Row],[Reinscripción 2019-2020]]*Tabla3[[#This Row],[% Beca Reinscripciones 19-20]]</f>
        <v>#N/A</v>
      </c>
      <c r="CL85" s="218" t="e">
        <f>Tabla3[[#This Row],[Cantidad Beca Comunidad Colegiatura 18-19]]*25%</f>
        <v>#N/A</v>
      </c>
      <c r="CM85" s="224" t="e">
        <f>Tabla3[[#This Row],[Cantidad Beca Reinscripciones Comunidad 19-20]]*25%</f>
        <v>#N/A</v>
      </c>
      <c r="CN85" s="222"/>
      <c r="CO85" s="218" t="e">
        <f>Tabla3[[#This Row],[Monto Colegiatura 2018-2019]]*Tabla3[[#This Row],[% Beca UNAM 18-19]]</f>
        <v>#N/A</v>
      </c>
      <c r="CP85" s="225"/>
      <c r="CQ85" s="224">
        <f>3328*Tabla3[[#This Row],[% Beca Reinscripciones UNAM 18-19]]</f>
        <v>0</v>
      </c>
      <c r="CR85" s="226" t="e">
        <f>Tabla3[[#This Row],[Cantidad Beca Colegiatura 18-19]]+Tabla3[[#This Row],[Cantidad Beca Canasta 18-19]]+Tabla3[[#This Row],[Cantidad Beca Reinscripciones 19-20]]</f>
        <v>#N/A</v>
      </c>
      <c r="CS85" s="222">
        <v>0.8</v>
      </c>
      <c r="CT85" s="218" t="e">
        <f>Tabla3[[#This Row],[Monto Colegiatura 2018-2019]]*Tabla3[[#This Row],[% Beca Comunidad 18-19]]</f>
        <v>#N/A</v>
      </c>
      <c r="CU85" s="218" t="e">
        <f>Tabla3[[#This Row],[Cantidad Beca Comunidad Colegiatura 18-19]]*75%</f>
        <v>#N/A</v>
      </c>
      <c r="CV85" s="223"/>
      <c r="CW85" s="218" t="e">
        <f>Tabla3[[#This Row],[Reinscripción 2019-2020]]*Tabla3[[#This Row],[% Beca Reinscripciones Comunidad 19-20]]</f>
        <v>#N/A</v>
      </c>
      <c r="CX85" s="218" t="e">
        <f>Tabla3[[#This Row],[Cantidad Beca Reinscripciones Comunidad 19-20]]*75%</f>
        <v>#N/A</v>
      </c>
      <c r="CY85" s="227" t="e">
        <f>Tabla3[[#This Row],[75% Cantidad Beca Comunidad Colegiatura 18-19]]+Tabla3[[#This Row],[75% Cantidad Beca Reinscripciones 19-20]]</f>
        <v>#N/A</v>
      </c>
      <c r="CZ85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85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85" s="108">
        <f>1440*(Tabla3[[#This Row],[% AutorizadoBeca Colegiatura 18-19]]+Tabla3[[#This Row],[% Beca Prestacion 18-19]]+Tabla3[[#This Row],[% Beca UNAM 18-19]]+Tabla3[[#This Row],[% Beca Comunidad 18-19]])</f>
        <v>1440</v>
      </c>
    </row>
    <row r="86" spans="2:106" ht="15" customHeight="1" x14ac:dyDescent="0.2">
      <c r="B86" s="107" t="s">
        <v>614</v>
      </c>
      <c r="C86" s="107" t="e">
        <f>VLOOKUP(Tabla3[[#This Row],[Nombre del Padre]],[1]!Tabla1[[PADRE]:[PADRE_CELULAR]],2,0)</f>
        <v>#REF!</v>
      </c>
      <c r="D86" s="107" t="e">
        <f>VLOOKUP(Tabla3[[#This Row],[Nombre del Padre]],[1]!Tabla1[[PADRE]:[PADRE_CELULAR]],3,0)</f>
        <v>#REF!</v>
      </c>
      <c r="E86" s="107" t="s">
        <v>615</v>
      </c>
      <c r="F86" s="107" t="e">
        <f>VLOOKUP(Tabla3[[#This Row],[Nombre de la Madre]],[1]!Tabla1[[MADRE]:[MADRE_TELEFONO]],2,0)</f>
        <v>#REF!</v>
      </c>
      <c r="G86" s="202" t="e">
        <f>VLOOKUP(Tabla3[[#This Row],[Nombre de la Madre]],[1]!Tabla1[[MADRE]:[MADRE_TELEFONO]],3,0)</f>
        <v>#REF!</v>
      </c>
      <c r="H86" s="228"/>
      <c r="I86" s="204">
        <v>2125</v>
      </c>
      <c r="J86" s="204" t="s">
        <v>616</v>
      </c>
      <c r="K86" s="204" t="s">
        <v>273</v>
      </c>
      <c r="L86" s="204" t="s">
        <v>623</v>
      </c>
      <c r="M86" s="205" t="s">
        <v>618</v>
      </c>
      <c r="N86" s="204" t="s">
        <v>330</v>
      </c>
      <c r="O86" s="206" t="e">
        <f>VLOOKUP(Tabla3[[#This Row],[Grado]],[2]Cuotas!$A:$E,2,0)</f>
        <v>#N/A</v>
      </c>
      <c r="P86" s="206" t="e">
        <f>VLOOKUP(Tabla3[[#This Row],[Grado]],[2]Cuotas!$A:$E,4,0)</f>
        <v>#N/A</v>
      </c>
      <c r="Q86" s="206" t="e">
        <f>VLOOKUP(Tabla3[[#This Row],[Grado]],[2]Cuotas!$A:$E,3,0)</f>
        <v>#N/A</v>
      </c>
      <c r="R86" s="207">
        <v>0.2</v>
      </c>
      <c r="S86" s="206" t="e">
        <f>Tabla3[[#This Row],[Monto Colegiatura]]*Tabla3[[#This Row],[% Beca Colegio 16-17]]</f>
        <v>#N/A</v>
      </c>
      <c r="T86" s="206"/>
      <c r="U86" s="206" t="e">
        <f>Tabla3[[#This Row],[Monto Colegiatura]]*Tabla3[[#This Row],[% Beca Prestación 16-17]]</f>
        <v>#N/A</v>
      </c>
      <c r="V86" s="208">
        <v>0.8</v>
      </c>
      <c r="W86" s="206" t="e">
        <f>Tabla3[[#This Row],[Monto Colegiatura]]*Tabla3[[#This Row],[% Beca Comunidad 16-17]]</f>
        <v>#N/A</v>
      </c>
      <c r="X86" s="206" t="e">
        <f>Tabla3[[#This Row],[Cantidad Beca Comunidad 16-17]]*25%</f>
        <v>#N/A</v>
      </c>
      <c r="Y86" s="206"/>
      <c r="Z86" s="206" t="e">
        <f>Tabla3[[#This Row],[Monto Colegiatura]]*Tabla3[[#This Row],[% Beca UNAM 16-17]]</f>
        <v>#N/A</v>
      </c>
      <c r="AA86" s="208"/>
      <c r="AB86" s="206" t="e">
        <f>Tabla3[[#This Row],[Monto Reinscripción]]*Tabla3[[#This Row],[% Beca Reinscripción 16-17]]</f>
        <v>#N/A</v>
      </c>
      <c r="AC86" s="206"/>
      <c r="AD86" s="206" t="e">
        <f>Tabla3[[#This Row],[Monto Canasta]]*Tabla3[[#This Row],[% Beca Canasta 16-17]]</f>
        <v>#N/A</v>
      </c>
      <c r="AE86" s="206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86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86" s="209" t="e">
        <f>VLOOKUP(Tabla3[[#This Row],[Nombre del Alumno]],[2]!Tabla1[[Alumno]:[Cuenta Ciclos]],2,0)</f>
        <v>#REF!</v>
      </c>
      <c r="AH86" s="210" t="s">
        <v>619</v>
      </c>
      <c r="AI86" s="211" t="s">
        <v>332</v>
      </c>
      <c r="AJ86" s="206" t="e">
        <f>VLOOKUP(Tabla3[[#This Row],[Grado 17-18]],[2]Cuotas!$H:$L,2,0)</f>
        <v>#N/A</v>
      </c>
      <c r="AK86" s="206">
        <v>2573.7919999999999</v>
      </c>
      <c r="AL86" s="206" t="e">
        <f>VLOOKUP(Tabla3[[#This Row],[Grado 17-18]],[2]Cuotas!$H:$L,4,0)</f>
        <v>#N/A</v>
      </c>
      <c r="AM86" s="229">
        <v>1</v>
      </c>
      <c r="AN86" s="213">
        <v>0.2</v>
      </c>
      <c r="AO86" s="206" t="e">
        <f>Tabla3[[#This Row],[Monto Colegiatura ]]*Tabla3[[#This Row],[% AutorizadoBeca Colegiatura 17-18]]</f>
        <v>#N/A</v>
      </c>
      <c r="AP86" s="208"/>
      <c r="AQ86" s="206" t="e">
        <f>Tabla3[[#This Row],[Monto Colegiatura ]]*Tabla3[[#This Row],[% Beca Prestacion 17-18]]</f>
        <v>#N/A</v>
      </c>
      <c r="AR86" s="208"/>
      <c r="AS86" s="206" t="e">
        <f>Tabla3[[#This Row],[Canasta]]*Tabla3[[#This Row],[% Beca Canasta 17-18]]</f>
        <v>#N/A</v>
      </c>
      <c r="AT86" s="208"/>
      <c r="AU86" s="214">
        <v>0</v>
      </c>
      <c r="AV86" s="206" t="e">
        <f>Tabla3[[#This Row],[Cantidad Beca Comunidad Colegiatura 17-18]]*25%</f>
        <v>#N/A</v>
      </c>
      <c r="AW86" s="206"/>
      <c r="AX86" s="215"/>
      <c r="AY86" s="206" t="e">
        <f>Tabla3[[#This Row],[Monto Colegiatura ]]*Tabla3[[#This Row],[% Beca UNAM 17-18]]</f>
        <v>#N/A</v>
      </c>
      <c r="AZ86" s="206"/>
      <c r="BA86" s="216">
        <f>3200*Tabla3[[#This Row],[% Beca Reinscripciones UNAM 17-18]]</f>
        <v>0</v>
      </c>
      <c r="BB86" s="206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86" s="231">
        <v>0.8</v>
      </c>
      <c r="BD86" s="218" t="e">
        <f>Tabla3[[#This Row],[Monto Colegiatura ]]*Tabla3[[#This Row],[% Beca Comunidad 17-18]]</f>
        <v>#N/A</v>
      </c>
      <c r="BE86" s="218" t="e">
        <f>Tabla3[[#This Row],[Cantidad Beca Comunidad Colegiatura 17-18]]*75%</f>
        <v>#N/A</v>
      </c>
      <c r="BF86" s="219"/>
      <c r="BG86" s="218">
        <f>Tabla3[[#This Row],[Reinscripción]]*Tabla3[[#This Row],[% Beca Reinscripciones Comunidad 18-19]]</f>
        <v>0</v>
      </c>
      <c r="BH86" s="218">
        <f>Tabla3[[#This Row],[Cantidad Beca Reinscripciones Comunidad 18-19]]*70%</f>
        <v>0</v>
      </c>
      <c r="BI86" s="216" t="e">
        <f>Tabla3[[#This Row],[75% Cantidad Beca Comunidad Colegiatura 17-18]]+Tabla3[[#This Row],[70% Cantidad Beca Reinscripciones 18-19]]</f>
        <v>#N/A</v>
      </c>
      <c r="BJ86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86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86" s="220"/>
      <c r="BM86" s="229"/>
      <c r="BN86" s="221"/>
      <c r="BO86" s="107"/>
      <c r="BP86" s="107">
        <f>Tabla3[[#This Row],[% AutorizadoBeca Colegiatura 17-18]]+Tabla3[[#This Row],[% Beca Prestacion 17-18]]+Tabla3[[#This Row],[% Beca UNAM 17-18]]</f>
        <v>0.2</v>
      </c>
      <c r="BQ86" s="108">
        <f t="shared" si="3"/>
        <v>229.4</v>
      </c>
      <c r="BR86" s="107">
        <f>Tabla3[[#This Row],[% Beca Comunidad 17-18]]</f>
        <v>0.8</v>
      </c>
      <c r="BS86" s="108">
        <f t="shared" si="4"/>
        <v>917.6</v>
      </c>
      <c r="BT86" s="108">
        <f t="shared" si="5"/>
        <v>229.4</v>
      </c>
      <c r="BU86" s="108">
        <f>Tabla3[[#This Row],[Monto3]]*75%</f>
        <v>688.2</v>
      </c>
      <c r="BV86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86" s="107" t="e">
        <f>VLOOKUP(Tabla3[[#This Row],[Nombre del Alumno]],'[3]BECAS COLEGIATURAS'!$I:$N,6,0)</f>
        <v>#N/A</v>
      </c>
      <c r="BX86" s="107" t="e">
        <f>VLOOKUP(Tabla3[[#This Row],[Nombre del Alumno]],[1]!Tabla1[[NOMBRE DEL ALUMNO]:[MATRIZ]],6,0)</f>
        <v>#REF!</v>
      </c>
      <c r="BY86" s="107" t="e">
        <f>VLOOKUP(Tabla3[[#This Row],[Nombre del Alumno]],'[3]BECAS COLEGIATURAS'!$I:$L,4,0)</f>
        <v>#N/A</v>
      </c>
      <c r="BZ86" s="108" t="e">
        <f>VLOOKUP(Tabla3[[#This Row],[Grado 18-19]],[2]Cuotas!$Q:$U,2,0)</f>
        <v>#N/A</v>
      </c>
      <c r="CA86" s="108" t="e">
        <f>VLOOKUP(Tabla3[[#This Row],[Grado 18-19]],[2]Cuotas!$Q:$U,3,0)</f>
        <v>#N/A</v>
      </c>
      <c r="CB86" s="108" t="e">
        <f>VLOOKUP(Tabla3[[#This Row],[Grado 18-19]],[2]Cuotas!$Q:$U,4,0)</f>
        <v>#N/A</v>
      </c>
      <c r="CC86" s="107" t="s">
        <v>620</v>
      </c>
      <c r="CD86" s="222">
        <v>0.2</v>
      </c>
      <c r="CE86" s="218" t="e">
        <f>Tabla3[[#This Row],[Monto Colegiatura 2018-2019]]*Tabla3[[#This Row],[% AutorizadoBeca Colegiatura 18-19]]</f>
        <v>#N/A</v>
      </c>
      <c r="CF86" s="223"/>
      <c r="CG86" s="218" t="e">
        <f>Tabla3[[#This Row],[Monto Colegiatura 2018-2019]]*Tabla3[[#This Row],[% Beca Prestacion 18-19]]</f>
        <v>#N/A</v>
      </c>
      <c r="CH86" s="223"/>
      <c r="CI86" s="218" t="e">
        <f>Tabla3[[#This Row],[Canasta 2018-2019]]*Tabla3[[#This Row],[% Beca Canasta 18-19]]</f>
        <v>#N/A</v>
      </c>
      <c r="CJ86" s="223"/>
      <c r="CK86" s="218" t="e">
        <f>Tabla3[[#This Row],[Reinscripción 2019-2020]]*Tabla3[[#This Row],[% Beca Reinscripciones 19-20]]</f>
        <v>#N/A</v>
      </c>
      <c r="CL86" s="218" t="e">
        <f>Tabla3[[#This Row],[Cantidad Beca Comunidad Colegiatura 18-19]]*25%</f>
        <v>#N/A</v>
      </c>
      <c r="CM86" s="224" t="e">
        <f>Tabla3[[#This Row],[Cantidad Beca Reinscripciones Comunidad 19-20]]*25%</f>
        <v>#N/A</v>
      </c>
      <c r="CN86" s="222"/>
      <c r="CO86" s="218" t="e">
        <f>Tabla3[[#This Row],[Monto Colegiatura 2018-2019]]*Tabla3[[#This Row],[% Beca UNAM 18-19]]</f>
        <v>#N/A</v>
      </c>
      <c r="CP86" s="225"/>
      <c r="CQ86" s="224">
        <f>3328*Tabla3[[#This Row],[% Beca Reinscripciones UNAM 18-19]]</f>
        <v>0</v>
      </c>
      <c r="CR86" s="226" t="e">
        <f>Tabla3[[#This Row],[Cantidad Beca Colegiatura 18-19]]+Tabla3[[#This Row],[Cantidad Beca Canasta 18-19]]+Tabla3[[#This Row],[Cantidad Beca Reinscripciones 19-20]]</f>
        <v>#N/A</v>
      </c>
      <c r="CS86" s="222">
        <v>0.8</v>
      </c>
      <c r="CT86" s="218" t="e">
        <f>Tabla3[[#This Row],[Monto Colegiatura 2018-2019]]*Tabla3[[#This Row],[% Beca Comunidad 18-19]]</f>
        <v>#N/A</v>
      </c>
      <c r="CU86" s="218" t="e">
        <f>Tabla3[[#This Row],[Cantidad Beca Comunidad Colegiatura 18-19]]*75%</f>
        <v>#N/A</v>
      </c>
      <c r="CV86" s="223"/>
      <c r="CW86" s="218" t="e">
        <f>Tabla3[[#This Row],[Reinscripción 2019-2020]]*Tabla3[[#This Row],[% Beca Reinscripciones Comunidad 19-20]]</f>
        <v>#N/A</v>
      </c>
      <c r="CX86" s="218" t="e">
        <f>Tabla3[[#This Row],[Cantidad Beca Reinscripciones Comunidad 19-20]]*75%</f>
        <v>#N/A</v>
      </c>
      <c r="CY86" s="227" t="e">
        <f>Tabla3[[#This Row],[75% Cantidad Beca Comunidad Colegiatura 18-19]]+Tabla3[[#This Row],[75% Cantidad Beca Reinscripciones 19-20]]</f>
        <v>#N/A</v>
      </c>
      <c r="CZ86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86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86" s="108">
        <f>1440*(Tabla3[[#This Row],[% AutorizadoBeca Colegiatura 18-19]]+Tabla3[[#This Row],[% Beca Prestacion 18-19]]+Tabla3[[#This Row],[% Beca UNAM 18-19]]+Tabla3[[#This Row],[% Beca Comunidad 18-19]])</f>
        <v>1440</v>
      </c>
    </row>
    <row r="87" spans="2:106" ht="15" customHeight="1" x14ac:dyDescent="0.2">
      <c r="B87" s="107" t="s">
        <v>614</v>
      </c>
      <c r="C87" s="107" t="e">
        <f>VLOOKUP(Tabla3[[#This Row],[Nombre del Padre]],[1]!Tabla1[[PADRE]:[PADRE_CELULAR]],2,0)</f>
        <v>#REF!</v>
      </c>
      <c r="D87" s="107" t="e">
        <f>VLOOKUP(Tabla3[[#This Row],[Nombre del Padre]],[1]!Tabla1[[PADRE]:[PADRE_CELULAR]],3,0)</f>
        <v>#REF!</v>
      </c>
      <c r="E87" s="107" t="s">
        <v>615</v>
      </c>
      <c r="F87" s="107" t="e">
        <f>VLOOKUP(Tabla3[[#This Row],[Nombre de la Madre]],[1]!Tabla1[[MADRE]:[MADRE_TELEFONO]],2,0)</f>
        <v>#REF!</v>
      </c>
      <c r="G87" s="202" t="e">
        <f>VLOOKUP(Tabla3[[#This Row],[Nombre de la Madre]],[1]!Tabla1[[MADRE]:[MADRE_TELEFONO]],3,0)</f>
        <v>#REF!</v>
      </c>
      <c r="H87" s="228"/>
      <c r="I87" s="249">
        <v>2125</v>
      </c>
      <c r="J87" s="250" t="s">
        <v>616</v>
      </c>
      <c r="K87" s="249" t="s">
        <v>273</v>
      </c>
      <c r="L87" s="249" t="s">
        <v>624</v>
      </c>
      <c r="M87" s="205" t="s">
        <v>625</v>
      </c>
      <c r="N87" s="204" t="s">
        <v>282</v>
      </c>
      <c r="O87" s="218" t="e">
        <f>VLOOKUP(Tabla3[[#This Row],[Grado]],[2]Cuotas!$A:$E,2,0)</f>
        <v>#N/A</v>
      </c>
      <c r="P87" s="218" t="e">
        <f>VLOOKUP(Tabla3[[#This Row],[Grado]],[2]Cuotas!$A:$E,4,0)</f>
        <v>#N/A</v>
      </c>
      <c r="Q87" s="218" t="e">
        <f>VLOOKUP(Tabla3[[#This Row],[Grado]],[2]Cuotas!$A:$E,3,0)</f>
        <v>#N/A</v>
      </c>
      <c r="R87" s="247">
        <v>1</v>
      </c>
      <c r="S87" s="206" t="e">
        <f>Tabla3[[#This Row],[Monto Colegiatura]]*Tabla3[[#This Row],[% Beca Colegio 16-17]]</f>
        <v>#N/A</v>
      </c>
      <c r="T87" s="218"/>
      <c r="U87" s="218" t="e">
        <f>Tabla3[[#This Row],[Monto Colegiatura]]*Tabla3[[#This Row],[% Beca Prestación 16-17]]</f>
        <v>#N/A</v>
      </c>
      <c r="V87" s="219"/>
      <c r="W87" s="206" t="e">
        <f>Tabla3[[#This Row],[Monto Colegiatura]]*Tabla3[[#This Row],[% Beca Comunidad 16-17]]</f>
        <v>#N/A</v>
      </c>
      <c r="X87" s="218" t="e">
        <f>Tabla3[[#This Row],[Cantidad Beca Comunidad 16-17]]*25%</f>
        <v>#N/A</v>
      </c>
      <c r="Y87" s="218"/>
      <c r="Z87" s="218" t="e">
        <f>Tabla3[[#This Row],[Monto Colegiatura]]*Tabla3[[#This Row],[% Beca UNAM 16-17]]</f>
        <v>#N/A</v>
      </c>
      <c r="AA87" s="219"/>
      <c r="AB87" s="218" t="e">
        <f>Tabla3[[#This Row],[Monto Reinscripción]]*Tabla3[[#This Row],[% Beca Reinscripción 16-17]]</f>
        <v>#N/A</v>
      </c>
      <c r="AC87" s="218"/>
      <c r="AD87" s="218" t="e">
        <f>Tabla3[[#This Row],[Monto Canasta]]*Tabla3[[#This Row],[% Beca Canasta 16-17]]</f>
        <v>#N/A</v>
      </c>
      <c r="AE87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87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87" s="209" t="e">
        <f>VLOOKUP(Tabla3[[#This Row],[Nombre del Alumno]],[2]!Tabla1[[Alumno]:[Cuenta Ciclos]],2,0)</f>
        <v>#REF!</v>
      </c>
      <c r="AH87" s="205" t="s">
        <v>626</v>
      </c>
      <c r="AI87" s="211" t="s">
        <v>284</v>
      </c>
      <c r="AJ87" s="206" t="e">
        <f>VLOOKUP(Tabla3[[#This Row],[Grado 17-18]],[2]Cuotas!$H:$L,2,0)</f>
        <v>#N/A</v>
      </c>
      <c r="AK87" s="206">
        <v>2517.84</v>
      </c>
      <c r="AL87" s="206" t="e">
        <f>VLOOKUP(Tabla3[[#This Row],[Grado 17-18]],[2]Cuotas!$H:$L,4,0)</f>
        <v>#N/A</v>
      </c>
      <c r="AM87" s="251">
        <v>1</v>
      </c>
      <c r="AN87" s="252">
        <v>1</v>
      </c>
      <c r="AO87" s="206" t="e">
        <f>Tabla3[[#This Row],[Monto Colegiatura ]]*Tabla3[[#This Row],[% AutorizadoBeca Colegiatura 17-18]]</f>
        <v>#N/A</v>
      </c>
      <c r="AP87" s="219"/>
      <c r="AQ87" s="206" t="e">
        <f>Tabla3[[#This Row],[Monto Colegiatura ]]*Tabla3[[#This Row],[% Beca Prestacion 17-18]]</f>
        <v>#N/A</v>
      </c>
      <c r="AR87" s="219"/>
      <c r="AS87" s="206" t="e">
        <f>Tabla3[[#This Row],[Canasta]]*Tabla3[[#This Row],[% Beca Canasta 17-18]]</f>
        <v>#N/A</v>
      </c>
      <c r="AT87" s="219"/>
      <c r="AU87" s="253">
        <v>0</v>
      </c>
      <c r="AV87" s="206" t="e">
        <f>Tabla3[[#This Row],[Cantidad Beca Comunidad Colegiatura 17-18]]*25%</f>
        <v>#N/A</v>
      </c>
      <c r="AW87" s="206"/>
      <c r="AX87" s="254"/>
      <c r="AY87" s="206" t="e">
        <f>Tabla3[[#This Row],[Monto Colegiatura ]]*Tabla3[[#This Row],[% Beca UNAM 17-18]]</f>
        <v>#N/A</v>
      </c>
      <c r="AZ87" s="218"/>
      <c r="BA87" s="224">
        <f>3200*Tabla3[[#This Row],[% Beca Reinscripciones UNAM 17-18]]</f>
        <v>0</v>
      </c>
      <c r="BB87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87" s="231"/>
      <c r="BD87" s="218" t="e">
        <f>Tabla3[[#This Row],[Monto Colegiatura ]]*Tabla3[[#This Row],[% Beca Comunidad 17-18]]</f>
        <v>#N/A</v>
      </c>
      <c r="BE87" s="218" t="e">
        <f>Tabla3[[#This Row],[Cantidad Beca Comunidad Colegiatura 17-18]]*75%</f>
        <v>#N/A</v>
      </c>
      <c r="BF87" s="219"/>
      <c r="BG87" s="218">
        <f>Tabla3[[#This Row],[Reinscripción]]*Tabla3[[#This Row],[% Beca Reinscripciones Comunidad 18-19]]</f>
        <v>0</v>
      </c>
      <c r="BH87" s="218">
        <f>Tabla3[[#This Row],[Cantidad Beca Reinscripciones Comunidad 18-19]]*70%</f>
        <v>0</v>
      </c>
      <c r="BI87" s="224" t="e">
        <f>Tabla3[[#This Row],[75% Cantidad Beca Comunidad Colegiatura 17-18]]+Tabla3[[#This Row],[70% Cantidad Beca Reinscripciones 18-19]]</f>
        <v>#N/A</v>
      </c>
      <c r="BJ87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87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87" s="255"/>
      <c r="BM87" s="225"/>
      <c r="BN87" s="221"/>
      <c r="BO87" s="107"/>
      <c r="BP87" s="107">
        <f>Tabla3[[#This Row],[% AutorizadoBeca Colegiatura 17-18]]+Tabla3[[#This Row],[% Beca Prestacion 17-18]]+Tabla3[[#This Row],[% Beca UNAM 17-18]]</f>
        <v>1</v>
      </c>
      <c r="BQ87" s="108">
        <f t="shared" si="3"/>
        <v>1147</v>
      </c>
      <c r="BR87" s="107">
        <f>Tabla3[[#This Row],[% Beca Comunidad 17-18]]</f>
        <v>0</v>
      </c>
      <c r="BS87" s="108">
        <f t="shared" si="4"/>
        <v>0</v>
      </c>
      <c r="BT87" s="108">
        <f t="shared" si="5"/>
        <v>0</v>
      </c>
      <c r="BU87" s="108">
        <f>Tabla3[[#This Row],[Monto3]]*75%</f>
        <v>0</v>
      </c>
      <c r="BV87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87" s="107" t="e">
        <f>VLOOKUP(Tabla3[[#This Row],[Nombre del Alumno]],'[3]BECAS COLEGIATURAS'!$I:$N,6,0)</f>
        <v>#N/A</v>
      </c>
      <c r="BX87" s="107" t="e">
        <f>VLOOKUP(Tabla3[[#This Row],[Nombre del Alumno]],[1]!Tabla1[[NOMBRE DEL ALUMNO]:[MATRIZ]],6,0)</f>
        <v>#REF!</v>
      </c>
      <c r="BY87" s="107" t="e">
        <f>VLOOKUP(Tabla3[[#This Row],[Nombre del Alumno]],'[3]BECAS COLEGIATURAS'!$I:$L,4,0)</f>
        <v>#N/A</v>
      </c>
      <c r="BZ87" s="108" t="e">
        <f>VLOOKUP(Tabla3[[#This Row],[Grado 18-19]],[2]Cuotas!$Q:$U,2,0)</f>
        <v>#N/A</v>
      </c>
      <c r="CA87" s="108" t="e">
        <f>VLOOKUP(Tabla3[[#This Row],[Grado 18-19]],[2]Cuotas!$Q:$U,3,0)</f>
        <v>#N/A</v>
      </c>
      <c r="CB87" s="108" t="e">
        <f>VLOOKUP(Tabla3[[#This Row],[Grado 18-19]],[2]Cuotas!$Q:$U,4,0)</f>
        <v>#N/A</v>
      </c>
      <c r="CC87" s="107">
        <v>0</v>
      </c>
      <c r="CD87" s="222">
        <v>1</v>
      </c>
      <c r="CE87" s="218" t="e">
        <f>Tabla3[[#This Row],[Monto Colegiatura 2018-2019]]*Tabla3[[#This Row],[% AutorizadoBeca Colegiatura 18-19]]</f>
        <v>#N/A</v>
      </c>
      <c r="CF87" s="223"/>
      <c r="CG87" s="218" t="e">
        <f>Tabla3[[#This Row],[Monto Colegiatura 2018-2019]]*Tabla3[[#This Row],[% Beca Prestacion 18-19]]</f>
        <v>#N/A</v>
      </c>
      <c r="CH87" s="223"/>
      <c r="CI87" s="218" t="e">
        <f>Tabla3[[#This Row],[Canasta 2018-2019]]*Tabla3[[#This Row],[% Beca Canasta 18-19]]</f>
        <v>#N/A</v>
      </c>
      <c r="CJ87" s="223"/>
      <c r="CK87" s="218" t="e">
        <f>Tabla3[[#This Row],[Reinscripción 2019-2020]]*Tabla3[[#This Row],[% Beca Reinscripciones 19-20]]</f>
        <v>#N/A</v>
      </c>
      <c r="CL87" s="218" t="e">
        <f>Tabla3[[#This Row],[Cantidad Beca Comunidad Colegiatura 18-19]]*25%</f>
        <v>#N/A</v>
      </c>
      <c r="CM87" s="224" t="e">
        <f>Tabla3[[#This Row],[Cantidad Beca Reinscripciones Comunidad 19-20]]*25%</f>
        <v>#N/A</v>
      </c>
      <c r="CN87" s="222"/>
      <c r="CO87" s="218" t="e">
        <f>Tabla3[[#This Row],[Monto Colegiatura 2018-2019]]*Tabla3[[#This Row],[% Beca UNAM 18-19]]</f>
        <v>#N/A</v>
      </c>
      <c r="CP87" s="225"/>
      <c r="CQ87" s="224">
        <f>3328*Tabla3[[#This Row],[% Beca Reinscripciones UNAM 18-19]]</f>
        <v>0</v>
      </c>
      <c r="CR87" s="226" t="e">
        <f>Tabla3[[#This Row],[Cantidad Beca Colegiatura 18-19]]+Tabla3[[#This Row],[Cantidad Beca Canasta 18-19]]+Tabla3[[#This Row],[Cantidad Beca Reinscripciones 19-20]]</f>
        <v>#N/A</v>
      </c>
      <c r="CS87" s="222"/>
      <c r="CT87" s="218" t="e">
        <f>Tabla3[[#This Row],[Monto Colegiatura 2018-2019]]*Tabla3[[#This Row],[% Beca Comunidad 18-19]]</f>
        <v>#N/A</v>
      </c>
      <c r="CU87" s="218" t="e">
        <f>Tabla3[[#This Row],[Cantidad Beca Comunidad Colegiatura 18-19]]*75%</f>
        <v>#N/A</v>
      </c>
      <c r="CV87" s="223"/>
      <c r="CW87" s="218" t="e">
        <f>Tabla3[[#This Row],[Reinscripción 2019-2020]]*Tabla3[[#This Row],[% Beca Reinscripciones Comunidad 19-20]]</f>
        <v>#N/A</v>
      </c>
      <c r="CX87" s="218" t="e">
        <f>Tabla3[[#This Row],[Cantidad Beca Reinscripciones Comunidad 19-20]]*75%</f>
        <v>#N/A</v>
      </c>
      <c r="CY87" s="227" t="e">
        <f>Tabla3[[#This Row],[75% Cantidad Beca Comunidad Colegiatura 18-19]]+Tabla3[[#This Row],[75% Cantidad Beca Reinscripciones 19-20]]</f>
        <v>#N/A</v>
      </c>
      <c r="CZ87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87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87" s="108">
        <f>1440*(Tabla3[[#This Row],[% AutorizadoBeca Colegiatura 18-19]]+Tabla3[[#This Row],[% Beca Prestacion 18-19]]+Tabla3[[#This Row],[% Beca UNAM 18-19]]+Tabla3[[#This Row],[% Beca Comunidad 18-19]])</f>
        <v>1440</v>
      </c>
    </row>
    <row r="88" spans="2:106" ht="15" customHeight="1" x14ac:dyDescent="0.2">
      <c r="B88" s="107" t="s">
        <v>627</v>
      </c>
      <c r="C88" s="107" t="e">
        <f>VLOOKUP(Tabla3[[#This Row],[Nombre del Padre]],[1]!Tabla1[[PADRE]:[PADRE_CELULAR]],2,0)</f>
        <v>#REF!</v>
      </c>
      <c r="D88" s="107" t="e">
        <f>VLOOKUP(Tabla3[[#This Row],[Nombre del Padre]],[1]!Tabla1[[PADRE]:[PADRE_CELULAR]],3,0)</f>
        <v>#REF!</v>
      </c>
      <c r="E88" s="107" t="s">
        <v>628</v>
      </c>
      <c r="F88" s="107" t="e">
        <f>VLOOKUP(Tabla3[[#This Row],[Nombre de la Madre]],[1]!Tabla1[[MADRE]:[MADRE_TELEFONO]],2,0)</f>
        <v>#REF!</v>
      </c>
      <c r="G88" s="202" t="e">
        <f>VLOOKUP(Tabla3[[#This Row],[Nombre de la Madre]],[1]!Tabla1[[MADRE]:[MADRE_TELEFONO]],3,0)</f>
        <v>#REF!</v>
      </c>
      <c r="H88" s="228">
        <v>49</v>
      </c>
      <c r="I88" s="249">
        <v>2232</v>
      </c>
      <c r="J88" s="225" t="s">
        <v>629</v>
      </c>
      <c r="K88" s="225" t="s">
        <v>420</v>
      </c>
      <c r="L88" s="225" t="s">
        <v>630</v>
      </c>
      <c r="M88" s="205" t="s">
        <v>631</v>
      </c>
      <c r="N88" s="204" t="s">
        <v>291</v>
      </c>
      <c r="O88" s="218" t="e">
        <f>VLOOKUP(Tabla3[[#This Row],[Grado]],[2]Cuotas!$A:$E,2,0)</f>
        <v>#N/A</v>
      </c>
      <c r="P88" s="218" t="e">
        <f>VLOOKUP(Tabla3[[#This Row],[Grado]],[2]Cuotas!$A:$E,4,0)</f>
        <v>#N/A</v>
      </c>
      <c r="Q88" s="218" t="e">
        <f>VLOOKUP(Tabla3[[#This Row],[Grado]],[2]Cuotas!$A:$E,3,0)</f>
        <v>#N/A</v>
      </c>
      <c r="R88" s="247">
        <v>0.25</v>
      </c>
      <c r="S88" s="206" t="e">
        <f>Tabla3[[#This Row],[Monto Colegiatura]]*Tabla3[[#This Row],[% Beca Colegio 16-17]]</f>
        <v>#N/A</v>
      </c>
      <c r="T88" s="218"/>
      <c r="U88" s="218" t="e">
        <f>Tabla3[[#This Row],[Monto Colegiatura]]*Tabla3[[#This Row],[% Beca Prestación 16-17]]</f>
        <v>#N/A</v>
      </c>
      <c r="V88" s="219"/>
      <c r="W88" s="206" t="e">
        <f>Tabla3[[#This Row],[Monto Colegiatura]]*Tabla3[[#This Row],[% Beca Comunidad 16-17]]</f>
        <v>#N/A</v>
      </c>
      <c r="X88" s="218" t="e">
        <f>Tabla3[[#This Row],[Cantidad Beca Comunidad 16-17]]*25%</f>
        <v>#N/A</v>
      </c>
      <c r="Y88" s="218"/>
      <c r="Z88" s="218" t="e">
        <f>Tabla3[[#This Row],[Monto Colegiatura]]*Tabla3[[#This Row],[% Beca UNAM 16-17]]</f>
        <v>#N/A</v>
      </c>
      <c r="AA88" s="219"/>
      <c r="AB88" s="218" t="e">
        <f>Tabla3[[#This Row],[Monto Reinscripción]]*Tabla3[[#This Row],[% Beca Reinscripción 16-17]]</f>
        <v>#N/A</v>
      </c>
      <c r="AC88" s="218"/>
      <c r="AD88" s="218" t="e">
        <f>Tabla3[[#This Row],[Monto Canasta]]*Tabla3[[#This Row],[% Beca Canasta 16-17]]</f>
        <v>#N/A</v>
      </c>
      <c r="AE88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88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88" s="209" t="e">
        <f>VLOOKUP(Tabla3[[#This Row],[Nombre del Alumno]],[2]!Tabla1[[Alumno]:[Cuenta Ciclos]],2,0)</f>
        <v>#REF!</v>
      </c>
      <c r="AH88" s="210" t="s">
        <v>632</v>
      </c>
      <c r="AI88" s="211" t="s">
        <v>409</v>
      </c>
      <c r="AJ88" s="206" t="e">
        <f>VLOOKUP(Tabla3[[#This Row],[Grado 17-18]],[2]Cuotas!$H:$L,2,0)</f>
        <v>#N/A</v>
      </c>
      <c r="AK88" s="206" t="e">
        <f>VLOOKUP(Tabla3[[#This Row],[Grado 17-18]],[2]Cuotas!$H:$L,3,0)</f>
        <v>#N/A</v>
      </c>
      <c r="AL88" s="206" t="e">
        <f>VLOOKUP(Tabla3[[#This Row],[Grado 17-18]],[2]Cuotas!$H:$L,4,0)</f>
        <v>#N/A</v>
      </c>
      <c r="AM88" s="251">
        <v>0.5</v>
      </c>
      <c r="AN88" s="252">
        <v>0.25</v>
      </c>
      <c r="AO88" s="206" t="e">
        <f>Tabla3[[#This Row],[Monto Colegiatura ]]*Tabla3[[#This Row],[% AutorizadoBeca Colegiatura 17-18]]</f>
        <v>#N/A</v>
      </c>
      <c r="AP88" s="219"/>
      <c r="AQ88" s="206" t="e">
        <f>Tabla3[[#This Row],[Monto Colegiatura ]]*Tabla3[[#This Row],[% Beca Prestacion 17-18]]</f>
        <v>#N/A</v>
      </c>
      <c r="AR88" s="219"/>
      <c r="AS88" s="206" t="e">
        <f>Tabla3[[#This Row],[Canasta]]*Tabla3[[#This Row],[% Beca Canasta 17-18]]</f>
        <v>#N/A</v>
      </c>
      <c r="AT88" s="219"/>
      <c r="AU88" s="253">
        <v>0</v>
      </c>
      <c r="AV88" s="206" t="e">
        <f>Tabla3[[#This Row],[Cantidad Beca Comunidad Colegiatura 17-18]]*25%</f>
        <v>#N/A</v>
      </c>
      <c r="AW88" s="206"/>
      <c r="AX88" s="254"/>
      <c r="AY88" s="206" t="e">
        <f>Tabla3[[#This Row],[Monto Colegiatura ]]*Tabla3[[#This Row],[% Beca UNAM 17-18]]</f>
        <v>#N/A</v>
      </c>
      <c r="AZ88" s="218"/>
      <c r="BA88" s="224">
        <f>3200*Tabla3[[#This Row],[% Beca Reinscripciones UNAM 17-18]]</f>
        <v>0</v>
      </c>
      <c r="BB88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88" s="231"/>
      <c r="BD88" s="218" t="e">
        <f>Tabla3[[#This Row],[Monto Colegiatura ]]*Tabla3[[#This Row],[% Beca Comunidad 17-18]]</f>
        <v>#N/A</v>
      </c>
      <c r="BE88" s="218" t="e">
        <f>Tabla3[[#This Row],[Cantidad Beca Comunidad Colegiatura 17-18]]*75%</f>
        <v>#N/A</v>
      </c>
      <c r="BF88" s="219"/>
      <c r="BG88" s="218" t="e">
        <f>Tabla3[[#This Row],[Reinscripción]]*Tabla3[[#This Row],[% Beca Reinscripciones Comunidad 18-19]]</f>
        <v>#N/A</v>
      </c>
      <c r="BH88" s="218" t="e">
        <f>Tabla3[[#This Row],[Cantidad Beca Reinscripciones Comunidad 18-19]]*70%</f>
        <v>#N/A</v>
      </c>
      <c r="BI88" s="224" t="e">
        <f>Tabla3[[#This Row],[75% Cantidad Beca Comunidad Colegiatura 17-18]]+Tabla3[[#This Row],[70% Cantidad Beca Reinscripciones 18-19]]</f>
        <v>#N/A</v>
      </c>
      <c r="BJ88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88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88" s="255"/>
      <c r="BM88" s="225"/>
      <c r="BN88" s="221" t="s">
        <v>633</v>
      </c>
      <c r="BO88" s="107"/>
      <c r="BP88" s="107">
        <f>Tabla3[[#This Row],[% AutorizadoBeca Colegiatura 17-18]]+Tabla3[[#This Row],[% Beca Prestacion 17-18]]+Tabla3[[#This Row],[% Beca UNAM 17-18]]</f>
        <v>0.25</v>
      </c>
      <c r="BQ88" s="108">
        <f t="shared" si="3"/>
        <v>286.75</v>
      </c>
      <c r="BR88" s="107">
        <f>Tabla3[[#This Row],[% Beca Comunidad 17-18]]</f>
        <v>0</v>
      </c>
      <c r="BS88" s="108">
        <f t="shared" si="4"/>
        <v>0</v>
      </c>
      <c r="BT88" s="108">
        <f t="shared" si="5"/>
        <v>0</v>
      </c>
      <c r="BU88" s="108">
        <f>Tabla3[[#This Row],[Monto3]]*75%</f>
        <v>0</v>
      </c>
      <c r="BV88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88" s="107" t="e">
        <f>VLOOKUP(Tabla3[[#This Row],[Nombre del Alumno]],'[3]BECAS COLEGIATURAS'!$I:$N,6,0)</f>
        <v>#N/A</v>
      </c>
      <c r="BX88" s="107" t="e">
        <f>VLOOKUP(Tabla3[[#This Row],[Nombre del Alumno]],[1]!Tabla1[[NOMBRE DEL ALUMNO]:[MATRIZ]],6,0)</f>
        <v>#REF!</v>
      </c>
      <c r="BY88" s="107" t="e">
        <f>VLOOKUP(Tabla3[[#This Row],[Nombre del Alumno]],'[3]BECAS COLEGIATURAS'!$I:$L,4,0)</f>
        <v>#N/A</v>
      </c>
      <c r="BZ88" s="108" t="e">
        <f>VLOOKUP(Tabla3[[#This Row],[Grado 18-19]],[2]Cuotas!$Q:$U,2,0)</f>
        <v>#N/A</v>
      </c>
      <c r="CA88" s="108" t="e">
        <f>VLOOKUP(Tabla3[[#This Row],[Grado 18-19]],[2]Cuotas!$Q:$U,3,0)</f>
        <v>#N/A</v>
      </c>
      <c r="CB88" s="108" t="e">
        <f>VLOOKUP(Tabla3[[#This Row],[Grado 18-19]],[2]Cuotas!$Q:$U,4,0)</f>
        <v>#N/A</v>
      </c>
      <c r="CC88" s="107">
        <v>60</v>
      </c>
      <c r="CD88" s="222">
        <v>0.25</v>
      </c>
      <c r="CE88" s="218" t="e">
        <f>Tabla3[[#This Row],[Monto Colegiatura 2018-2019]]*Tabla3[[#This Row],[% AutorizadoBeca Colegiatura 18-19]]</f>
        <v>#N/A</v>
      </c>
      <c r="CF88" s="223"/>
      <c r="CG88" s="218" t="e">
        <f>Tabla3[[#This Row],[Monto Colegiatura 2018-2019]]*Tabla3[[#This Row],[% Beca Prestacion 18-19]]</f>
        <v>#N/A</v>
      </c>
      <c r="CH88" s="223"/>
      <c r="CI88" s="218" t="e">
        <f>Tabla3[[#This Row],[Canasta 2018-2019]]*Tabla3[[#This Row],[% Beca Canasta 18-19]]</f>
        <v>#N/A</v>
      </c>
      <c r="CJ88" s="223"/>
      <c r="CK88" s="218" t="e">
        <f>Tabla3[[#This Row],[Reinscripción 2019-2020]]*Tabla3[[#This Row],[% Beca Reinscripciones 19-20]]</f>
        <v>#N/A</v>
      </c>
      <c r="CL88" s="218" t="e">
        <f>Tabla3[[#This Row],[Cantidad Beca Comunidad Colegiatura 18-19]]*25%</f>
        <v>#N/A</v>
      </c>
      <c r="CM88" s="224" t="e">
        <f>Tabla3[[#This Row],[Cantidad Beca Reinscripciones Comunidad 19-20]]*25%</f>
        <v>#N/A</v>
      </c>
      <c r="CN88" s="222"/>
      <c r="CO88" s="218" t="e">
        <f>Tabla3[[#This Row],[Monto Colegiatura 2018-2019]]*Tabla3[[#This Row],[% Beca UNAM 18-19]]</f>
        <v>#N/A</v>
      </c>
      <c r="CP88" s="225"/>
      <c r="CQ88" s="224">
        <f>3328*Tabla3[[#This Row],[% Beca Reinscripciones UNAM 18-19]]</f>
        <v>0</v>
      </c>
      <c r="CR88" s="226" t="e">
        <f>Tabla3[[#This Row],[Cantidad Beca Colegiatura 18-19]]+Tabla3[[#This Row],[Cantidad Beca Canasta 18-19]]+Tabla3[[#This Row],[Cantidad Beca Reinscripciones 19-20]]</f>
        <v>#N/A</v>
      </c>
      <c r="CS88" s="222"/>
      <c r="CT88" s="218" t="e">
        <f>Tabla3[[#This Row],[Monto Colegiatura 2018-2019]]*Tabla3[[#This Row],[% Beca Comunidad 18-19]]</f>
        <v>#N/A</v>
      </c>
      <c r="CU88" s="218" t="e">
        <f>Tabla3[[#This Row],[Cantidad Beca Comunidad Colegiatura 18-19]]*75%</f>
        <v>#N/A</v>
      </c>
      <c r="CV88" s="223"/>
      <c r="CW88" s="218" t="e">
        <f>Tabla3[[#This Row],[Reinscripción 2019-2020]]*Tabla3[[#This Row],[% Beca Reinscripciones Comunidad 19-20]]</f>
        <v>#N/A</v>
      </c>
      <c r="CX88" s="218" t="e">
        <f>Tabla3[[#This Row],[Cantidad Beca Reinscripciones Comunidad 19-20]]*75%</f>
        <v>#N/A</v>
      </c>
      <c r="CY88" s="227" t="e">
        <f>Tabla3[[#This Row],[75% Cantidad Beca Comunidad Colegiatura 18-19]]+Tabla3[[#This Row],[75% Cantidad Beca Reinscripciones 19-20]]</f>
        <v>#N/A</v>
      </c>
      <c r="CZ88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88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88" s="108">
        <f>1440*(Tabla3[[#This Row],[% AutorizadoBeca Colegiatura 18-19]]+Tabla3[[#This Row],[% Beca Prestacion 18-19]]+Tabla3[[#This Row],[% Beca UNAM 18-19]]+Tabla3[[#This Row],[% Beca Comunidad 18-19]])</f>
        <v>360</v>
      </c>
    </row>
    <row r="89" spans="2:106" ht="15" customHeight="1" x14ac:dyDescent="0.2">
      <c r="B89" s="107" t="s">
        <v>634</v>
      </c>
      <c r="C89" s="107" t="e">
        <f>VLOOKUP(Tabla3[[#This Row],[Nombre del Padre]],[1]!Tabla1[[PADRE]:[PADRE_CELULAR]],2,0)</f>
        <v>#REF!</v>
      </c>
      <c r="D89" s="107" t="e">
        <f>VLOOKUP(Tabla3[[#This Row],[Nombre del Padre]],[1]!Tabla1[[PADRE]:[PADRE_CELULAR]],3,0)</f>
        <v>#REF!</v>
      </c>
      <c r="E89" s="107" t="s">
        <v>635</v>
      </c>
      <c r="F89" s="107" t="e">
        <f>VLOOKUP(Tabla3[[#This Row],[Nombre de la Madre]],[1]!Tabla1[[MADRE]:[MADRE_TELEFONO]],2,0)</f>
        <v>#REF!</v>
      </c>
      <c r="G89" s="202" t="e">
        <f>VLOOKUP(Tabla3[[#This Row],[Nombre de la Madre]],[1]!Tabla1[[MADRE]:[MADRE_TELEFONO]],3,0)</f>
        <v>#REF!</v>
      </c>
      <c r="H89" s="228"/>
      <c r="I89" s="225">
        <v>2237</v>
      </c>
      <c r="J89" s="225" t="s">
        <v>636</v>
      </c>
      <c r="K89" s="225" t="s">
        <v>637</v>
      </c>
      <c r="L89" s="225" t="s">
        <v>638</v>
      </c>
      <c r="M89" s="205" t="s">
        <v>639</v>
      </c>
      <c r="N89" s="204" t="s">
        <v>306</v>
      </c>
      <c r="O89" s="218" t="e">
        <f>VLOOKUP(Tabla3[[#This Row],[Grado]],[2]Cuotas!$A:$E,2,0)</f>
        <v>#N/A</v>
      </c>
      <c r="P89" s="218" t="e">
        <f>VLOOKUP(Tabla3[[#This Row],[Grado]],[2]Cuotas!$A:$E,4,0)</f>
        <v>#N/A</v>
      </c>
      <c r="Q89" s="218" t="e">
        <f>VLOOKUP(Tabla3[[#This Row],[Grado]],[2]Cuotas!$A:$E,3,0)</f>
        <v>#N/A</v>
      </c>
      <c r="R89" s="247"/>
      <c r="S89" s="206" t="e">
        <f>Tabla3[[#This Row],[Monto Colegiatura]]*Tabla3[[#This Row],[% Beca Colegio 16-17]]</f>
        <v>#N/A</v>
      </c>
      <c r="T89" s="219">
        <v>0.4</v>
      </c>
      <c r="U89" s="218" t="e">
        <f>Tabla3[[#This Row],[Monto Colegiatura]]*Tabla3[[#This Row],[% Beca Prestación 16-17]]</f>
        <v>#N/A</v>
      </c>
      <c r="V89" s="219"/>
      <c r="W89" s="206" t="e">
        <f>Tabla3[[#This Row],[Monto Colegiatura]]*Tabla3[[#This Row],[% Beca Comunidad 16-17]]</f>
        <v>#N/A</v>
      </c>
      <c r="X89" s="218" t="e">
        <f>Tabla3[[#This Row],[Cantidad Beca Comunidad 16-17]]*25%</f>
        <v>#N/A</v>
      </c>
      <c r="Y89" s="218"/>
      <c r="Z89" s="218" t="e">
        <f>Tabla3[[#This Row],[Monto Colegiatura]]*Tabla3[[#This Row],[% Beca UNAM 16-17]]</f>
        <v>#N/A</v>
      </c>
      <c r="AA89" s="219"/>
      <c r="AB89" s="218" t="e">
        <f>Tabla3[[#This Row],[Monto Reinscripción]]*Tabla3[[#This Row],[% Beca Reinscripción 16-17]]</f>
        <v>#N/A</v>
      </c>
      <c r="AC89" s="218"/>
      <c r="AD89" s="218" t="e">
        <f>Tabla3[[#This Row],[Monto Canasta]]*Tabla3[[#This Row],[% Beca Canasta 16-17]]</f>
        <v>#N/A</v>
      </c>
      <c r="AE89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89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89" s="209" t="e">
        <f>VLOOKUP(Tabla3[[#This Row],[Nombre del Alumno]],[2]!Tabla1[[Alumno]:[Cuenta Ciclos]],2,0)</f>
        <v>#REF!</v>
      </c>
      <c r="AH89" s="210" t="s">
        <v>640</v>
      </c>
      <c r="AI89" s="211" t="s">
        <v>282</v>
      </c>
      <c r="AJ89" s="206" t="e">
        <f>VLOOKUP(Tabla3[[#This Row],[Grado 17-18]],[2]Cuotas!$H:$L,2,0)</f>
        <v>#N/A</v>
      </c>
      <c r="AK89" s="206" t="e">
        <f>VLOOKUP(Tabla3[[#This Row],[Grado 17-18]],[2]Cuotas!$H:$L,3,0)</f>
        <v>#N/A</v>
      </c>
      <c r="AL89" s="206" t="e">
        <f>VLOOKUP(Tabla3[[#This Row],[Grado 17-18]],[2]Cuotas!$H:$L,4,0)</f>
        <v>#N/A</v>
      </c>
      <c r="AM89" s="223"/>
      <c r="AN89" s="252"/>
      <c r="AO89" s="206" t="e">
        <f>Tabla3[[#This Row],[Monto Colegiatura ]]*Tabla3[[#This Row],[% AutorizadoBeca Colegiatura 17-18]]</f>
        <v>#N/A</v>
      </c>
      <c r="AP89" s="219">
        <v>0.4</v>
      </c>
      <c r="AQ89" s="206" t="e">
        <f>Tabla3[[#This Row],[Monto Colegiatura ]]*Tabla3[[#This Row],[% Beca Prestacion 17-18]]</f>
        <v>#N/A</v>
      </c>
      <c r="AR89" s="219"/>
      <c r="AS89" s="206" t="e">
        <f>Tabla3[[#This Row],[Canasta]]*Tabla3[[#This Row],[% Beca Canasta 17-18]]</f>
        <v>#N/A</v>
      </c>
      <c r="AT89" s="219"/>
      <c r="AU89" s="253">
        <v>0</v>
      </c>
      <c r="AV89" s="206" t="e">
        <f>Tabla3[[#This Row],[Cantidad Beca Comunidad Colegiatura 17-18]]*25%</f>
        <v>#N/A</v>
      </c>
      <c r="AW89" s="206"/>
      <c r="AX89" s="254"/>
      <c r="AY89" s="206" t="e">
        <f>Tabla3[[#This Row],[Monto Colegiatura ]]*Tabla3[[#This Row],[% Beca UNAM 17-18]]</f>
        <v>#N/A</v>
      </c>
      <c r="AZ89" s="218"/>
      <c r="BA89" s="224">
        <f>3200*Tabla3[[#This Row],[% Beca Reinscripciones UNAM 17-18]]</f>
        <v>0</v>
      </c>
      <c r="BB89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89" s="217"/>
      <c r="BD89" s="218" t="e">
        <f>Tabla3[[#This Row],[Monto Colegiatura ]]*Tabla3[[#This Row],[% Beca Comunidad 17-18]]</f>
        <v>#N/A</v>
      </c>
      <c r="BE89" s="218" t="e">
        <f>Tabla3[[#This Row],[Cantidad Beca Comunidad Colegiatura 17-18]]*75%</f>
        <v>#N/A</v>
      </c>
      <c r="BF89" s="219"/>
      <c r="BG89" s="218" t="e">
        <f>Tabla3[[#This Row],[Reinscripción]]*Tabla3[[#This Row],[% Beca Reinscripciones Comunidad 18-19]]</f>
        <v>#N/A</v>
      </c>
      <c r="BH89" s="218" t="e">
        <f>Tabla3[[#This Row],[Cantidad Beca Reinscripciones Comunidad 18-19]]*70%</f>
        <v>#N/A</v>
      </c>
      <c r="BI89" s="224" t="e">
        <f>Tabla3[[#This Row],[75% Cantidad Beca Comunidad Colegiatura 17-18]]+Tabla3[[#This Row],[70% Cantidad Beca Reinscripciones 18-19]]</f>
        <v>#N/A</v>
      </c>
      <c r="BJ89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89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89" s="255"/>
      <c r="BM89" s="225"/>
      <c r="BN89" s="221"/>
      <c r="BO89" s="107"/>
      <c r="BP89" s="107">
        <f>Tabla3[[#This Row],[% AutorizadoBeca Colegiatura 17-18]]+Tabla3[[#This Row],[% Beca Prestacion 17-18]]+Tabla3[[#This Row],[% Beca UNAM 17-18]]</f>
        <v>0.4</v>
      </c>
      <c r="BQ89" s="108">
        <f t="shared" si="3"/>
        <v>458.8</v>
      </c>
      <c r="BR89" s="107">
        <f>Tabla3[[#This Row],[% Beca Comunidad 17-18]]</f>
        <v>0</v>
      </c>
      <c r="BS89" s="108">
        <f t="shared" si="4"/>
        <v>0</v>
      </c>
      <c r="BT89" s="108">
        <f t="shared" si="5"/>
        <v>0</v>
      </c>
      <c r="BU89" s="108">
        <f>Tabla3[[#This Row],[Monto3]]*75%</f>
        <v>0</v>
      </c>
      <c r="BV89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89" s="107" t="e">
        <f>VLOOKUP(Tabla3[[#This Row],[Nombre del Alumno]],'[3]BECAS COLEGIATURAS'!$I:$N,6,0)</f>
        <v>#N/A</v>
      </c>
      <c r="BX89" s="107" t="e">
        <f>VLOOKUP(Tabla3[[#This Row],[Nombre del Alumno]],[1]!Tabla1[[NOMBRE DEL ALUMNO]:[MATRIZ]],6,0)</f>
        <v>#REF!</v>
      </c>
      <c r="BY89" s="107" t="e">
        <f>VLOOKUP(Tabla3[[#This Row],[Nombre del Alumno]],'[3]BECAS COLEGIATURAS'!$I:$L,4,0)</f>
        <v>#N/A</v>
      </c>
      <c r="BZ89" s="108" t="e">
        <f>VLOOKUP(Tabla3[[#This Row],[Grado 18-19]],[2]Cuotas!$Q:$U,2,0)</f>
        <v>#N/A</v>
      </c>
      <c r="CA89" s="108" t="e">
        <f>VLOOKUP(Tabla3[[#This Row],[Grado 18-19]],[2]Cuotas!$Q:$U,3,0)</f>
        <v>#N/A</v>
      </c>
      <c r="CB89" s="108" t="e">
        <f>VLOOKUP(Tabla3[[#This Row],[Grado 18-19]],[2]Cuotas!$Q:$U,4,0)</f>
        <v>#N/A</v>
      </c>
      <c r="CC89" s="107">
        <v>0</v>
      </c>
      <c r="CD89" s="222"/>
      <c r="CE89" s="218" t="e">
        <f>Tabla3[[#This Row],[Monto Colegiatura 2018-2019]]*Tabla3[[#This Row],[% AutorizadoBeca Colegiatura 18-19]]</f>
        <v>#N/A</v>
      </c>
      <c r="CF89" s="223">
        <v>0.4</v>
      </c>
      <c r="CG89" s="218" t="e">
        <f>Tabla3[[#This Row],[Monto Colegiatura 2018-2019]]*Tabla3[[#This Row],[% Beca Prestacion 18-19]]</f>
        <v>#N/A</v>
      </c>
      <c r="CH89" s="223"/>
      <c r="CI89" s="218" t="e">
        <f>Tabla3[[#This Row],[Canasta 2018-2019]]*Tabla3[[#This Row],[% Beca Canasta 18-19]]</f>
        <v>#N/A</v>
      </c>
      <c r="CJ89" s="223"/>
      <c r="CK89" s="218" t="e">
        <f>Tabla3[[#This Row],[Reinscripción 2019-2020]]*Tabla3[[#This Row],[% Beca Reinscripciones 19-20]]</f>
        <v>#N/A</v>
      </c>
      <c r="CL89" s="218" t="e">
        <f>Tabla3[[#This Row],[Cantidad Beca Comunidad Colegiatura 18-19]]*25%</f>
        <v>#N/A</v>
      </c>
      <c r="CM89" s="224" t="e">
        <f>Tabla3[[#This Row],[Cantidad Beca Reinscripciones Comunidad 19-20]]*25%</f>
        <v>#N/A</v>
      </c>
      <c r="CN89" s="222"/>
      <c r="CO89" s="218" t="e">
        <f>Tabla3[[#This Row],[Monto Colegiatura 2018-2019]]*Tabla3[[#This Row],[% Beca UNAM 18-19]]</f>
        <v>#N/A</v>
      </c>
      <c r="CP89" s="225"/>
      <c r="CQ89" s="224">
        <f>3328*Tabla3[[#This Row],[% Beca Reinscripciones UNAM 18-19]]</f>
        <v>0</v>
      </c>
      <c r="CR89" s="226" t="e">
        <f>Tabla3[[#This Row],[Cantidad Beca Colegiatura 18-19]]+Tabla3[[#This Row],[Cantidad Beca Canasta 18-19]]+Tabla3[[#This Row],[Cantidad Beca Reinscripciones 19-20]]</f>
        <v>#N/A</v>
      </c>
      <c r="CS89" s="222"/>
      <c r="CT89" s="218" t="e">
        <f>Tabla3[[#This Row],[Monto Colegiatura 2018-2019]]*Tabla3[[#This Row],[% Beca Comunidad 18-19]]</f>
        <v>#N/A</v>
      </c>
      <c r="CU89" s="218" t="e">
        <f>Tabla3[[#This Row],[Cantidad Beca Comunidad Colegiatura 18-19]]*75%</f>
        <v>#N/A</v>
      </c>
      <c r="CV89" s="223"/>
      <c r="CW89" s="218" t="e">
        <f>Tabla3[[#This Row],[Reinscripción 2019-2020]]*Tabla3[[#This Row],[% Beca Reinscripciones Comunidad 19-20]]</f>
        <v>#N/A</v>
      </c>
      <c r="CX89" s="218" t="e">
        <f>Tabla3[[#This Row],[Cantidad Beca Reinscripciones Comunidad 19-20]]*75%</f>
        <v>#N/A</v>
      </c>
      <c r="CY89" s="227" t="e">
        <f>Tabla3[[#This Row],[75% Cantidad Beca Comunidad Colegiatura 18-19]]+Tabla3[[#This Row],[75% Cantidad Beca Reinscripciones 19-20]]</f>
        <v>#N/A</v>
      </c>
      <c r="CZ89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89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89" s="108">
        <f>1440*(Tabla3[[#This Row],[% AutorizadoBeca Colegiatura 18-19]]+Tabla3[[#This Row],[% Beca Prestacion 18-19]]+Tabla3[[#This Row],[% Beca UNAM 18-19]]+Tabla3[[#This Row],[% Beca Comunidad 18-19]])</f>
        <v>576</v>
      </c>
    </row>
    <row r="90" spans="2:106" ht="15" customHeight="1" x14ac:dyDescent="0.2">
      <c r="B90" s="107" t="s">
        <v>634</v>
      </c>
      <c r="C90" s="107" t="e">
        <f>VLOOKUP(Tabla3[[#This Row],[Nombre del Padre]],[1]!Tabla1[[PADRE]:[PADRE_CELULAR]],2,0)</f>
        <v>#REF!</v>
      </c>
      <c r="D90" s="107" t="e">
        <f>VLOOKUP(Tabla3[[#This Row],[Nombre del Padre]],[1]!Tabla1[[PADRE]:[PADRE_CELULAR]],3,0)</f>
        <v>#REF!</v>
      </c>
      <c r="E90" s="107" t="s">
        <v>635</v>
      </c>
      <c r="F90" s="107" t="e">
        <f>VLOOKUP(Tabla3[[#This Row],[Nombre de la Madre]],[1]!Tabla1[[MADRE]:[MADRE_TELEFONO]],2,0)</f>
        <v>#REF!</v>
      </c>
      <c r="G90" s="202" t="e">
        <f>VLOOKUP(Tabla3[[#This Row],[Nombre de la Madre]],[1]!Tabla1[[MADRE]:[MADRE_TELEFONO]],3,0)</f>
        <v>#REF!</v>
      </c>
      <c r="H90" s="228"/>
      <c r="I90" s="225">
        <v>2237</v>
      </c>
      <c r="J90" s="225" t="s">
        <v>636</v>
      </c>
      <c r="K90" s="225" t="s">
        <v>637</v>
      </c>
      <c r="L90" s="225" t="s">
        <v>641</v>
      </c>
      <c r="M90" s="205" t="s">
        <v>281</v>
      </c>
      <c r="N90" s="204" t="s">
        <v>282</v>
      </c>
      <c r="O90" s="218" t="e">
        <f>VLOOKUP(Tabla3[[#This Row],[Grado]],[2]Cuotas!$A:$E,2,0)</f>
        <v>#N/A</v>
      </c>
      <c r="P90" s="218" t="e">
        <f>VLOOKUP(Tabla3[[#This Row],[Grado]],[2]Cuotas!$A:$E,4,0)</f>
        <v>#N/A</v>
      </c>
      <c r="Q90" s="218" t="e">
        <f>VLOOKUP(Tabla3[[#This Row],[Grado]],[2]Cuotas!$A:$E,3,0)</f>
        <v>#N/A</v>
      </c>
      <c r="R90" s="247"/>
      <c r="S90" s="206" t="e">
        <f>Tabla3[[#This Row],[Monto Colegiatura]]*Tabla3[[#This Row],[% Beca Colegio 16-17]]</f>
        <v>#N/A</v>
      </c>
      <c r="T90" s="219">
        <v>0.4</v>
      </c>
      <c r="U90" s="218" t="e">
        <f>Tabla3[[#This Row],[Monto Colegiatura]]*Tabla3[[#This Row],[% Beca Prestación 16-17]]</f>
        <v>#N/A</v>
      </c>
      <c r="V90" s="219"/>
      <c r="W90" s="206" t="e">
        <f>Tabla3[[#This Row],[Monto Colegiatura]]*Tabla3[[#This Row],[% Beca Comunidad 16-17]]</f>
        <v>#N/A</v>
      </c>
      <c r="X90" s="218" t="e">
        <f>Tabla3[[#This Row],[Cantidad Beca Comunidad 16-17]]*25%</f>
        <v>#N/A</v>
      </c>
      <c r="Y90" s="218"/>
      <c r="Z90" s="218" t="e">
        <f>Tabla3[[#This Row],[Monto Colegiatura]]*Tabla3[[#This Row],[% Beca UNAM 16-17]]</f>
        <v>#N/A</v>
      </c>
      <c r="AA90" s="219"/>
      <c r="AB90" s="218" t="e">
        <f>Tabla3[[#This Row],[Monto Reinscripción]]*Tabla3[[#This Row],[% Beca Reinscripción 16-17]]</f>
        <v>#N/A</v>
      </c>
      <c r="AC90" s="218"/>
      <c r="AD90" s="218" t="e">
        <f>Tabla3[[#This Row],[Monto Canasta]]*Tabla3[[#This Row],[% Beca Canasta 16-17]]</f>
        <v>#N/A</v>
      </c>
      <c r="AE90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90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90" s="209" t="e">
        <f>VLOOKUP(Tabla3[[#This Row],[Nombre del Alumno]],[2]!Tabla1[[Alumno]:[Cuenta Ciclos]],2,0)</f>
        <v>#REF!</v>
      </c>
      <c r="AH90" s="210" t="s">
        <v>283</v>
      </c>
      <c r="AI90" s="211" t="s">
        <v>284</v>
      </c>
      <c r="AJ90" s="206" t="e">
        <f>VLOOKUP(Tabla3[[#This Row],[Grado 17-18]],[2]Cuotas!$H:$L,2,0)</f>
        <v>#N/A</v>
      </c>
      <c r="AK90" s="206" t="e">
        <f>VLOOKUP(Tabla3[[#This Row],[Grado 17-18]],[2]Cuotas!$H:$L,3,0)</f>
        <v>#N/A</v>
      </c>
      <c r="AL90" s="206" t="e">
        <f>VLOOKUP(Tabla3[[#This Row],[Grado 17-18]],[2]Cuotas!$H:$L,4,0)</f>
        <v>#N/A</v>
      </c>
      <c r="AM90" s="223"/>
      <c r="AN90" s="252"/>
      <c r="AO90" s="206" t="e">
        <f>Tabla3[[#This Row],[Monto Colegiatura ]]*Tabla3[[#This Row],[% AutorizadoBeca Colegiatura 17-18]]</f>
        <v>#N/A</v>
      </c>
      <c r="AP90" s="219">
        <v>0.4</v>
      </c>
      <c r="AQ90" s="206" t="e">
        <f>Tabla3[[#This Row],[Monto Colegiatura ]]*Tabla3[[#This Row],[% Beca Prestacion 17-18]]</f>
        <v>#N/A</v>
      </c>
      <c r="AR90" s="219"/>
      <c r="AS90" s="206" t="e">
        <f>Tabla3[[#This Row],[Canasta]]*Tabla3[[#This Row],[% Beca Canasta 17-18]]</f>
        <v>#N/A</v>
      </c>
      <c r="AT90" s="219"/>
      <c r="AU90" s="253">
        <v>0</v>
      </c>
      <c r="AV90" s="206" t="e">
        <f>Tabla3[[#This Row],[Cantidad Beca Comunidad Colegiatura 17-18]]*25%</f>
        <v>#N/A</v>
      </c>
      <c r="AW90" s="206"/>
      <c r="AX90" s="254"/>
      <c r="AY90" s="206" t="e">
        <f>Tabla3[[#This Row],[Monto Colegiatura ]]*Tabla3[[#This Row],[% Beca UNAM 17-18]]</f>
        <v>#N/A</v>
      </c>
      <c r="AZ90" s="218"/>
      <c r="BA90" s="224">
        <f>3200*Tabla3[[#This Row],[% Beca Reinscripciones UNAM 17-18]]</f>
        <v>0</v>
      </c>
      <c r="BB90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90" s="217"/>
      <c r="BD90" s="218" t="e">
        <f>Tabla3[[#This Row],[Monto Colegiatura ]]*Tabla3[[#This Row],[% Beca Comunidad 17-18]]</f>
        <v>#N/A</v>
      </c>
      <c r="BE90" s="218" t="e">
        <f>Tabla3[[#This Row],[Cantidad Beca Comunidad Colegiatura 17-18]]*75%</f>
        <v>#N/A</v>
      </c>
      <c r="BF90" s="219"/>
      <c r="BG90" s="218" t="e">
        <f>Tabla3[[#This Row],[Reinscripción]]*Tabla3[[#This Row],[% Beca Reinscripciones Comunidad 18-19]]</f>
        <v>#N/A</v>
      </c>
      <c r="BH90" s="218" t="e">
        <f>Tabla3[[#This Row],[Cantidad Beca Reinscripciones Comunidad 18-19]]*70%</f>
        <v>#N/A</v>
      </c>
      <c r="BI90" s="224" t="e">
        <f>Tabla3[[#This Row],[75% Cantidad Beca Comunidad Colegiatura 17-18]]+Tabla3[[#This Row],[70% Cantidad Beca Reinscripciones 18-19]]</f>
        <v>#N/A</v>
      </c>
      <c r="BJ90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90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90" s="255"/>
      <c r="BM90" s="225"/>
      <c r="BN90" s="221"/>
      <c r="BO90" s="107"/>
      <c r="BP90" s="107">
        <f>Tabla3[[#This Row],[% AutorizadoBeca Colegiatura 17-18]]+Tabla3[[#This Row],[% Beca Prestacion 17-18]]+Tabla3[[#This Row],[% Beca UNAM 17-18]]</f>
        <v>0.4</v>
      </c>
      <c r="BQ90" s="108">
        <f t="shared" si="3"/>
        <v>458.8</v>
      </c>
      <c r="BR90" s="107">
        <f>Tabla3[[#This Row],[% Beca Comunidad 17-18]]</f>
        <v>0</v>
      </c>
      <c r="BS90" s="108">
        <f t="shared" si="4"/>
        <v>0</v>
      </c>
      <c r="BT90" s="108">
        <f t="shared" si="5"/>
        <v>0</v>
      </c>
      <c r="BU90" s="108">
        <f>Tabla3[[#This Row],[Monto3]]*75%</f>
        <v>0</v>
      </c>
      <c r="BV90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90" s="107" t="e">
        <f>VLOOKUP(Tabla3[[#This Row],[Nombre del Alumno]],'[3]BECAS COLEGIATURAS'!$I:$N,6,0)</f>
        <v>#N/A</v>
      </c>
      <c r="BX90" s="107" t="e">
        <f>VLOOKUP(Tabla3[[#This Row],[Nombre del Alumno]],[1]!Tabla1[[NOMBRE DEL ALUMNO]:[MATRIZ]],6,0)</f>
        <v>#REF!</v>
      </c>
      <c r="BY90" s="107" t="e">
        <f>VLOOKUP(Tabla3[[#This Row],[Nombre del Alumno]],'[3]BECAS COLEGIATURAS'!$I:$L,4,0)</f>
        <v>#N/A</v>
      </c>
      <c r="BZ90" s="108" t="e">
        <f>VLOOKUP(Tabla3[[#This Row],[Grado 18-19]],[2]Cuotas!$Q:$U,2,0)</f>
        <v>#N/A</v>
      </c>
      <c r="CA90" s="108" t="e">
        <f>VLOOKUP(Tabla3[[#This Row],[Grado 18-19]],[2]Cuotas!$Q:$U,3,0)</f>
        <v>#N/A</v>
      </c>
      <c r="CB90" s="108" t="e">
        <f>VLOOKUP(Tabla3[[#This Row],[Grado 18-19]],[2]Cuotas!$Q:$U,4,0)</f>
        <v>#N/A</v>
      </c>
      <c r="CC90" s="107">
        <v>0</v>
      </c>
      <c r="CD90" s="222"/>
      <c r="CE90" s="218" t="e">
        <f>Tabla3[[#This Row],[Monto Colegiatura 2018-2019]]*Tabla3[[#This Row],[% AutorizadoBeca Colegiatura 18-19]]</f>
        <v>#N/A</v>
      </c>
      <c r="CF90" s="223">
        <v>0.4</v>
      </c>
      <c r="CG90" s="218" t="e">
        <f>Tabla3[[#This Row],[Monto Colegiatura 2018-2019]]*Tabla3[[#This Row],[% Beca Prestacion 18-19]]</f>
        <v>#N/A</v>
      </c>
      <c r="CH90" s="223"/>
      <c r="CI90" s="218" t="e">
        <f>Tabla3[[#This Row],[Canasta 2018-2019]]*Tabla3[[#This Row],[% Beca Canasta 18-19]]</f>
        <v>#N/A</v>
      </c>
      <c r="CJ90" s="223"/>
      <c r="CK90" s="218" t="e">
        <f>Tabla3[[#This Row],[Reinscripción 2019-2020]]*Tabla3[[#This Row],[% Beca Reinscripciones 19-20]]</f>
        <v>#N/A</v>
      </c>
      <c r="CL90" s="218" t="e">
        <f>Tabla3[[#This Row],[Cantidad Beca Comunidad Colegiatura 18-19]]*25%</f>
        <v>#N/A</v>
      </c>
      <c r="CM90" s="224" t="e">
        <f>Tabla3[[#This Row],[Cantidad Beca Reinscripciones Comunidad 19-20]]*25%</f>
        <v>#N/A</v>
      </c>
      <c r="CN90" s="222"/>
      <c r="CO90" s="218" t="e">
        <f>Tabla3[[#This Row],[Monto Colegiatura 2018-2019]]*Tabla3[[#This Row],[% Beca UNAM 18-19]]</f>
        <v>#N/A</v>
      </c>
      <c r="CP90" s="225"/>
      <c r="CQ90" s="224">
        <f>3328*Tabla3[[#This Row],[% Beca Reinscripciones UNAM 18-19]]</f>
        <v>0</v>
      </c>
      <c r="CR90" s="226" t="e">
        <f>Tabla3[[#This Row],[Cantidad Beca Colegiatura 18-19]]+Tabla3[[#This Row],[Cantidad Beca Canasta 18-19]]+Tabla3[[#This Row],[Cantidad Beca Reinscripciones 19-20]]</f>
        <v>#N/A</v>
      </c>
      <c r="CS90" s="222"/>
      <c r="CT90" s="218" t="e">
        <f>Tabla3[[#This Row],[Monto Colegiatura 2018-2019]]*Tabla3[[#This Row],[% Beca Comunidad 18-19]]</f>
        <v>#N/A</v>
      </c>
      <c r="CU90" s="218" t="e">
        <f>Tabla3[[#This Row],[Cantidad Beca Comunidad Colegiatura 18-19]]*75%</f>
        <v>#N/A</v>
      </c>
      <c r="CV90" s="223"/>
      <c r="CW90" s="218" t="e">
        <f>Tabla3[[#This Row],[Reinscripción 2019-2020]]*Tabla3[[#This Row],[% Beca Reinscripciones Comunidad 19-20]]</f>
        <v>#N/A</v>
      </c>
      <c r="CX90" s="218" t="e">
        <f>Tabla3[[#This Row],[Cantidad Beca Reinscripciones Comunidad 19-20]]*75%</f>
        <v>#N/A</v>
      </c>
      <c r="CY90" s="227" t="e">
        <f>Tabla3[[#This Row],[75% Cantidad Beca Comunidad Colegiatura 18-19]]+Tabla3[[#This Row],[75% Cantidad Beca Reinscripciones 19-20]]</f>
        <v>#N/A</v>
      </c>
      <c r="CZ90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90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90" s="108">
        <f>1440*(Tabla3[[#This Row],[% AutorizadoBeca Colegiatura 18-19]]+Tabla3[[#This Row],[% Beca Prestacion 18-19]]+Tabla3[[#This Row],[% Beca UNAM 18-19]]+Tabla3[[#This Row],[% Beca Comunidad 18-19]])</f>
        <v>576</v>
      </c>
    </row>
    <row r="91" spans="2:106" ht="15" customHeight="1" x14ac:dyDescent="0.2">
      <c r="B91" s="107" t="s">
        <v>642</v>
      </c>
      <c r="C91" s="107" t="e">
        <f>VLOOKUP(Tabla3[[#This Row],[Nombre del Padre]],[1]!Tabla1[[PADRE]:[PADRE_CELULAR]],2,0)</f>
        <v>#REF!</v>
      </c>
      <c r="D91" s="107" t="e">
        <f>VLOOKUP(Tabla3[[#This Row],[Nombre del Padre]],[1]!Tabla1[[PADRE]:[PADRE_CELULAR]],3,0)</f>
        <v>#REF!</v>
      </c>
      <c r="E91" s="107" t="s">
        <v>643</v>
      </c>
      <c r="F91" s="107" t="e">
        <f>VLOOKUP(Tabla3[[#This Row],[Nombre de la Madre]],[1]!Tabla1[[MADRE]:[MADRE_TELEFONO]],2,0)</f>
        <v>#REF!</v>
      </c>
      <c r="G91" s="202" t="e">
        <f>VLOOKUP(Tabla3[[#This Row],[Nombre de la Madre]],[1]!Tabla1[[MADRE]:[MADRE_TELEFONO]],3,0)</f>
        <v>#REF!</v>
      </c>
      <c r="H91" s="228">
        <v>50</v>
      </c>
      <c r="I91" s="225">
        <v>1402</v>
      </c>
      <c r="J91" s="225" t="s">
        <v>644</v>
      </c>
      <c r="K91" s="225" t="s">
        <v>273</v>
      </c>
      <c r="L91" s="225" t="s">
        <v>148</v>
      </c>
      <c r="M91" s="205" t="s">
        <v>645</v>
      </c>
      <c r="N91" s="204" t="s">
        <v>276</v>
      </c>
      <c r="O91" s="218" t="e">
        <f>VLOOKUP(Tabla3[[#This Row],[Grado]],[2]Cuotas!$A:$E,2,0)</f>
        <v>#N/A</v>
      </c>
      <c r="P91" s="218" t="e">
        <f>VLOOKUP(Tabla3[[#This Row],[Grado]],[2]Cuotas!$A:$E,4,0)</f>
        <v>#N/A</v>
      </c>
      <c r="Q91" s="218" t="e">
        <f>VLOOKUP(Tabla3[[#This Row],[Grado]],[2]Cuotas!$A:$E,3,0)</f>
        <v>#N/A</v>
      </c>
      <c r="R91" s="247">
        <v>0.6</v>
      </c>
      <c r="S91" s="206" t="e">
        <f>Tabla3[[#This Row],[Monto Colegiatura]]*Tabla3[[#This Row],[% Beca Colegio 16-17]]</f>
        <v>#N/A</v>
      </c>
      <c r="T91" s="218"/>
      <c r="U91" s="218" t="e">
        <f>Tabla3[[#This Row],[Monto Colegiatura]]*Tabla3[[#This Row],[% Beca Prestación 16-17]]</f>
        <v>#N/A</v>
      </c>
      <c r="V91" s="219">
        <v>0.4</v>
      </c>
      <c r="W91" s="206" t="e">
        <f>Tabla3[[#This Row],[Monto Colegiatura]]*Tabla3[[#This Row],[% Beca Comunidad 16-17]]</f>
        <v>#N/A</v>
      </c>
      <c r="X91" s="218" t="e">
        <f>Tabla3[[#This Row],[Cantidad Beca Comunidad 16-17]]*25%</f>
        <v>#N/A</v>
      </c>
      <c r="Y91" s="218"/>
      <c r="Z91" s="218" t="e">
        <f>Tabla3[[#This Row],[Monto Colegiatura]]*Tabla3[[#This Row],[% Beca UNAM 16-17]]</f>
        <v>#N/A</v>
      </c>
      <c r="AA91" s="219"/>
      <c r="AB91" s="218" t="e">
        <f>Tabla3[[#This Row],[Monto Reinscripción]]*Tabla3[[#This Row],[% Beca Reinscripción 16-17]]</f>
        <v>#N/A</v>
      </c>
      <c r="AC91" s="218"/>
      <c r="AD91" s="218" t="e">
        <f>Tabla3[[#This Row],[Monto Canasta]]*Tabla3[[#This Row],[% Beca Canasta 16-17]]</f>
        <v>#N/A</v>
      </c>
      <c r="AE91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91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91" s="209" t="e">
        <f>VLOOKUP(Tabla3[[#This Row],[Nombre del Alumno]],[2]!Tabla1[[Alumno]:[Cuenta Ciclos]],2,0)</f>
        <v>#REF!</v>
      </c>
      <c r="AH91" s="210" t="s">
        <v>646</v>
      </c>
      <c r="AI91" s="211" t="s">
        <v>278</v>
      </c>
      <c r="AJ91" s="206" t="e">
        <f>VLOOKUP(Tabla3[[#This Row],[Grado 17-18]],[2]Cuotas!$H:$L,2,0)</f>
        <v>#N/A</v>
      </c>
      <c r="AK91" s="206" t="e">
        <f>VLOOKUP(Tabla3[[#This Row],[Grado 17-18]],[2]Cuotas!$H:$L,3,0)</f>
        <v>#N/A</v>
      </c>
      <c r="AL91" s="206" t="e">
        <f>VLOOKUP(Tabla3[[#This Row],[Grado 17-18]],[2]Cuotas!$H:$L,4,0)</f>
        <v>#N/A</v>
      </c>
      <c r="AM91" s="251">
        <v>0.6</v>
      </c>
      <c r="AN91" s="252">
        <v>0.6</v>
      </c>
      <c r="AO91" s="206" t="e">
        <f>Tabla3[[#This Row],[Monto Colegiatura ]]*Tabla3[[#This Row],[% AutorizadoBeca Colegiatura 17-18]]</f>
        <v>#N/A</v>
      </c>
      <c r="AP91" s="219"/>
      <c r="AQ91" s="206" t="e">
        <f>Tabla3[[#This Row],[Monto Colegiatura ]]*Tabla3[[#This Row],[% Beca Prestacion 17-18]]</f>
        <v>#N/A</v>
      </c>
      <c r="AR91" s="219"/>
      <c r="AS91" s="206" t="e">
        <f>Tabla3[[#This Row],[Canasta]]*Tabla3[[#This Row],[% Beca Canasta 17-18]]</f>
        <v>#N/A</v>
      </c>
      <c r="AT91" s="219"/>
      <c r="AU91" s="253">
        <v>0</v>
      </c>
      <c r="AV91" s="206" t="e">
        <f>Tabla3[[#This Row],[Cantidad Beca Comunidad Colegiatura 17-18]]*25%</f>
        <v>#N/A</v>
      </c>
      <c r="AW91" s="206"/>
      <c r="AX91" s="254"/>
      <c r="AY91" s="206" t="e">
        <f>Tabla3[[#This Row],[Monto Colegiatura ]]*Tabla3[[#This Row],[% Beca UNAM 17-18]]</f>
        <v>#N/A</v>
      </c>
      <c r="AZ91" s="218"/>
      <c r="BA91" s="224">
        <f>3200*Tabla3[[#This Row],[% Beca Reinscripciones UNAM 17-18]]</f>
        <v>0</v>
      </c>
      <c r="BB91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91" s="231">
        <v>0.4</v>
      </c>
      <c r="BD91" s="218" t="e">
        <f>Tabla3[[#This Row],[Monto Colegiatura ]]*Tabla3[[#This Row],[% Beca Comunidad 17-18]]</f>
        <v>#N/A</v>
      </c>
      <c r="BE91" s="218" t="e">
        <f>Tabla3[[#This Row],[Cantidad Beca Comunidad Colegiatura 17-18]]*75%</f>
        <v>#N/A</v>
      </c>
      <c r="BF91" s="219"/>
      <c r="BG91" s="218" t="e">
        <f>Tabla3[[#This Row],[Reinscripción]]*Tabla3[[#This Row],[% Beca Reinscripciones Comunidad 18-19]]</f>
        <v>#N/A</v>
      </c>
      <c r="BH91" s="218" t="e">
        <f>Tabla3[[#This Row],[Cantidad Beca Reinscripciones Comunidad 18-19]]*70%</f>
        <v>#N/A</v>
      </c>
      <c r="BI91" s="224" t="e">
        <f>Tabla3[[#This Row],[75% Cantidad Beca Comunidad Colegiatura 17-18]]+Tabla3[[#This Row],[70% Cantidad Beca Reinscripciones 18-19]]</f>
        <v>#N/A</v>
      </c>
      <c r="BJ91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91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91" s="255"/>
      <c r="BM91" s="251"/>
      <c r="BN91" s="221" t="s">
        <v>647</v>
      </c>
      <c r="BO91" s="107"/>
      <c r="BP91" s="107">
        <f>Tabla3[[#This Row],[% AutorizadoBeca Colegiatura 17-18]]+Tabla3[[#This Row],[% Beca Prestacion 17-18]]+Tabla3[[#This Row],[% Beca UNAM 17-18]]</f>
        <v>0.6</v>
      </c>
      <c r="BQ91" s="108">
        <f t="shared" si="3"/>
        <v>688.19999999999993</v>
      </c>
      <c r="BR91" s="107">
        <f>Tabla3[[#This Row],[% Beca Comunidad 17-18]]</f>
        <v>0.4</v>
      </c>
      <c r="BS91" s="108">
        <f t="shared" si="4"/>
        <v>458.8</v>
      </c>
      <c r="BT91" s="108">
        <f t="shared" si="5"/>
        <v>114.7</v>
      </c>
      <c r="BU91" s="108">
        <f>Tabla3[[#This Row],[Monto3]]*75%</f>
        <v>344.1</v>
      </c>
      <c r="BV91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91" s="107" t="e">
        <f>VLOOKUP(Tabla3[[#This Row],[Nombre del Alumno]],'[3]BECAS COLEGIATURAS'!$I:$N,6,0)</f>
        <v>#N/A</v>
      </c>
      <c r="BX91" s="107" t="e">
        <f>VLOOKUP(Tabla3[[#This Row],[Nombre del Alumno]],[1]!Tabla1[[NOMBRE DEL ALUMNO]:[MATRIZ]],6,0)</f>
        <v>#REF!</v>
      </c>
      <c r="BY91" s="107" t="e">
        <f>VLOOKUP(Tabla3[[#This Row],[Nombre del Alumno]],'[3]BECAS COLEGIATURAS'!$I:$L,4,0)</f>
        <v>#N/A</v>
      </c>
      <c r="BZ91" s="108" t="e">
        <f>VLOOKUP(Tabla3[[#This Row],[Grado 18-19]],[2]Cuotas!$Q:$U,2,0)</f>
        <v>#N/A</v>
      </c>
      <c r="CA91" s="108" t="e">
        <f>VLOOKUP(Tabla3[[#This Row],[Grado 18-19]],[2]Cuotas!$Q:$U,3,0)</f>
        <v>#N/A</v>
      </c>
      <c r="CB91" s="108" t="e">
        <f>VLOOKUP(Tabla3[[#This Row],[Grado 18-19]],[2]Cuotas!$Q:$U,4,0)</f>
        <v>#N/A</v>
      </c>
      <c r="CC91" s="107">
        <v>60</v>
      </c>
      <c r="CD91" s="222">
        <v>0.6</v>
      </c>
      <c r="CE91" s="218" t="e">
        <f>Tabla3[[#This Row],[Monto Colegiatura 2018-2019]]*Tabla3[[#This Row],[% AutorizadoBeca Colegiatura 18-19]]</f>
        <v>#N/A</v>
      </c>
      <c r="CF91" s="223"/>
      <c r="CG91" s="218" t="e">
        <f>Tabla3[[#This Row],[Monto Colegiatura 2018-2019]]*Tabla3[[#This Row],[% Beca Prestacion 18-19]]</f>
        <v>#N/A</v>
      </c>
      <c r="CH91" s="223"/>
      <c r="CI91" s="218" t="e">
        <f>Tabla3[[#This Row],[Canasta 2018-2019]]*Tabla3[[#This Row],[% Beca Canasta 18-19]]</f>
        <v>#N/A</v>
      </c>
      <c r="CJ91" s="223"/>
      <c r="CK91" s="218" t="e">
        <f>Tabla3[[#This Row],[Reinscripción 2019-2020]]*Tabla3[[#This Row],[% Beca Reinscripciones 19-20]]</f>
        <v>#N/A</v>
      </c>
      <c r="CL91" s="218" t="e">
        <f>Tabla3[[#This Row],[Cantidad Beca Comunidad Colegiatura 18-19]]*25%</f>
        <v>#N/A</v>
      </c>
      <c r="CM91" s="224" t="e">
        <f>Tabla3[[#This Row],[Cantidad Beca Reinscripciones Comunidad 19-20]]*25%</f>
        <v>#N/A</v>
      </c>
      <c r="CN91" s="222"/>
      <c r="CO91" s="218" t="e">
        <f>Tabla3[[#This Row],[Monto Colegiatura 2018-2019]]*Tabla3[[#This Row],[% Beca UNAM 18-19]]</f>
        <v>#N/A</v>
      </c>
      <c r="CP91" s="225"/>
      <c r="CQ91" s="224">
        <f>3328*Tabla3[[#This Row],[% Beca Reinscripciones UNAM 18-19]]</f>
        <v>0</v>
      </c>
      <c r="CR91" s="226" t="e">
        <f>Tabla3[[#This Row],[Cantidad Beca Colegiatura 18-19]]+Tabla3[[#This Row],[Cantidad Beca Canasta 18-19]]+Tabla3[[#This Row],[Cantidad Beca Reinscripciones 19-20]]</f>
        <v>#N/A</v>
      </c>
      <c r="CS91" s="222">
        <v>0.4</v>
      </c>
      <c r="CT91" s="218" t="e">
        <f>Tabla3[[#This Row],[Monto Colegiatura 2018-2019]]*Tabla3[[#This Row],[% Beca Comunidad 18-19]]</f>
        <v>#N/A</v>
      </c>
      <c r="CU91" s="218" t="e">
        <f>Tabla3[[#This Row],[Cantidad Beca Comunidad Colegiatura 18-19]]*75%</f>
        <v>#N/A</v>
      </c>
      <c r="CV91" s="223"/>
      <c r="CW91" s="218" t="e">
        <f>Tabla3[[#This Row],[Reinscripción 2019-2020]]*Tabla3[[#This Row],[% Beca Reinscripciones Comunidad 19-20]]</f>
        <v>#N/A</v>
      </c>
      <c r="CX91" s="218" t="e">
        <f>Tabla3[[#This Row],[Cantidad Beca Reinscripciones Comunidad 19-20]]*75%</f>
        <v>#N/A</v>
      </c>
      <c r="CY91" s="227" t="e">
        <f>Tabla3[[#This Row],[75% Cantidad Beca Comunidad Colegiatura 18-19]]+Tabla3[[#This Row],[75% Cantidad Beca Reinscripciones 19-20]]</f>
        <v>#N/A</v>
      </c>
      <c r="CZ91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91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91" s="108">
        <f>1440*(Tabla3[[#This Row],[% AutorizadoBeca Colegiatura 18-19]]+Tabla3[[#This Row],[% Beca Prestacion 18-19]]+Tabla3[[#This Row],[% Beca UNAM 18-19]]+Tabla3[[#This Row],[% Beca Comunidad 18-19]])</f>
        <v>1440</v>
      </c>
    </row>
    <row r="92" spans="2:106" ht="15" customHeight="1" x14ac:dyDescent="0.2">
      <c r="B92" s="107" t="s">
        <v>648</v>
      </c>
      <c r="C92" s="107" t="e">
        <f>VLOOKUP(Tabla3[[#This Row],[Nombre del Padre]],[1]!Tabla1[[PADRE]:[PADRE_CELULAR]],2,0)</f>
        <v>#REF!</v>
      </c>
      <c r="D92" s="107" t="e">
        <f>VLOOKUP(Tabla3[[#This Row],[Nombre del Padre]],[1]!Tabla1[[PADRE]:[PADRE_CELULAR]],3,0)</f>
        <v>#REF!</v>
      </c>
      <c r="E92" s="107" t="s">
        <v>649</v>
      </c>
      <c r="F92" s="107" t="e">
        <f>VLOOKUP(Tabla3[[#This Row],[Nombre de la Madre]],[1]!Tabla1[[MADRE]:[MADRE_TELEFONO]],2,0)</f>
        <v>#REF!</v>
      </c>
      <c r="G92" s="202" t="e">
        <f>VLOOKUP(Tabla3[[#This Row],[Nombre de la Madre]],[1]!Tabla1[[MADRE]:[MADRE_TELEFONO]],3,0)</f>
        <v>#REF!</v>
      </c>
      <c r="H92" s="228">
        <v>51</v>
      </c>
      <c r="I92" s="225">
        <v>2128</v>
      </c>
      <c r="J92" s="225" t="s">
        <v>650</v>
      </c>
      <c r="K92" s="225" t="s">
        <v>273</v>
      </c>
      <c r="L92" s="225" t="s">
        <v>651</v>
      </c>
      <c r="M92" s="205" t="s">
        <v>652</v>
      </c>
      <c r="N92" s="204" t="s">
        <v>278</v>
      </c>
      <c r="O92" s="218" t="e">
        <f>VLOOKUP(Tabla3[[#This Row],[Grado]],[2]Cuotas!$A:$E,2,0)</f>
        <v>#N/A</v>
      </c>
      <c r="P92" s="218" t="e">
        <f>VLOOKUP(Tabla3[[#This Row],[Grado]],[2]Cuotas!$A:$E,4,0)</f>
        <v>#N/A</v>
      </c>
      <c r="Q92" s="218" t="e">
        <f>VLOOKUP(Tabla3[[#This Row],[Grado]],[2]Cuotas!$A:$E,3,0)</f>
        <v>#N/A</v>
      </c>
      <c r="R92" s="247"/>
      <c r="S92" s="206" t="e">
        <f>Tabla3[[#This Row],[Monto Colegiatura]]*Tabla3[[#This Row],[% Beca Colegio 16-17]]</f>
        <v>#N/A</v>
      </c>
      <c r="T92" s="218"/>
      <c r="U92" s="218" t="e">
        <f>Tabla3[[#This Row],[Monto Colegiatura]]*Tabla3[[#This Row],[% Beca Prestación 16-17]]</f>
        <v>#N/A</v>
      </c>
      <c r="V92" s="219">
        <v>0.7</v>
      </c>
      <c r="W92" s="206" t="e">
        <f>Tabla3[[#This Row],[Monto Colegiatura]]*Tabla3[[#This Row],[% Beca Comunidad 16-17]]</f>
        <v>#N/A</v>
      </c>
      <c r="X92" s="218" t="e">
        <f>Tabla3[[#This Row],[Cantidad Beca Comunidad 16-17]]*25%</f>
        <v>#N/A</v>
      </c>
      <c r="Y92" s="218"/>
      <c r="Z92" s="218" t="e">
        <f>Tabla3[[#This Row],[Monto Colegiatura]]*Tabla3[[#This Row],[% Beca UNAM 16-17]]</f>
        <v>#N/A</v>
      </c>
      <c r="AA92" s="219"/>
      <c r="AB92" s="218" t="e">
        <f>Tabla3[[#This Row],[Monto Reinscripción]]*Tabla3[[#This Row],[% Beca Reinscripción 16-17]]</f>
        <v>#N/A</v>
      </c>
      <c r="AC92" s="218"/>
      <c r="AD92" s="218" t="e">
        <f>Tabla3[[#This Row],[Monto Canasta]]*Tabla3[[#This Row],[% Beca Canasta 16-17]]</f>
        <v>#N/A</v>
      </c>
      <c r="AE92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92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92" s="209" t="e">
        <f>VLOOKUP(Tabla3[[#This Row],[Nombre del Alumno]],[2]!Tabla1[[Alumno]:[Cuenta Ciclos]],2,0)</f>
        <v>#REF!</v>
      </c>
      <c r="AH92" s="210" t="s">
        <v>653</v>
      </c>
      <c r="AI92" s="211" t="s">
        <v>291</v>
      </c>
      <c r="AJ92" s="206" t="e">
        <f>VLOOKUP(Tabla3[[#This Row],[Grado 17-18]],[2]Cuotas!$H:$L,2,0)</f>
        <v>#N/A</v>
      </c>
      <c r="AK92" s="206" t="e">
        <f>VLOOKUP(Tabla3[[#This Row],[Grado 17-18]],[2]Cuotas!$H:$L,3,0)</f>
        <v>#N/A</v>
      </c>
      <c r="AL92" s="206" t="e">
        <f>VLOOKUP(Tabla3[[#This Row],[Grado 17-18]],[2]Cuotas!$H:$L,4,0)</f>
        <v>#N/A</v>
      </c>
      <c r="AM92" s="223"/>
      <c r="AN92" s="252"/>
      <c r="AO92" s="206" t="e">
        <f>Tabla3[[#This Row],[Monto Colegiatura ]]*Tabla3[[#This Row],[% AutorizadoBeca Colegiatura 17-18]]</f>
        <v>#N/A</v>
      </c>
      <c r="AP92" s="219"/>
      <c r="AQ92" s="206" t="e">
        <f>Tabla3[[#This Row],[Monto Colegiatura ]]*Tabla3[[#This Row],[% Beca Prestacion 17-18]]</f>
        <v>#N/A</v>
      </c>
      <c r="AR92" s="219"/>
      <c r="AS92" s="206" t="e">
        <f>Tabla3[[#This Row],[Canasta]]*Tabla3[[#This Row],[% Beca Canasta 17-18]]</f>
        <v>#N/A</v>
      </c>
      <c r="AT92" s="219"/>
      <c r="AU92" s="253">
        <v>0</v>
      </c>
      <c r="AV92" s="206" t="e">
        <f>Tabla3[[#This Row],[Cantidad Beca Comunidad Colegiatura 17-18]]*25%</f>
        <v>#N/A</v>
      </c>
      <c r="AW92" s="206"/>
      <c r="AX92" s="254"/>
      <c r="AY92" s="206" t="e">
        <f>Tabla3[[#This Row],[Monto Colegiatura ]]*Tabla3[[#This Row],[% Beca UNAM 17-18]]</f>
        <v>#N/A</v>
      </c>
      <c r="AZ92" s="218"/>
      <c r="BA92" s="224">
        <f>3200*Tabla3[[#This Row],[% Beca Reinscripciones UNAM 17-18]]</f>
        <v>0</v>
      </c>
      <c r="BB92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92" s="217">
        <v>0.7</v>
      </c>
      <c r="BD92" s="218" t="e">
        <f>Tabla3[[#This Row],[Monto Colegiatura ]]*Tabla3[[#This Row],[% Beca Comunidad 17-18]]</f>
        <v>#N/A</v>
      </c>
      <c r="BE92" s="218" t="e">
        <f>Tabla3[[#This Row],[Cantidad Beca Comunidad Colegiatura 17-18]]*75%</f>
        <v>#N/A</v>
      </c>
      <c r="BF92" s="219"/>
      <c r="BG92" s="218" t="e">
        <f>Tabla3[[#This Row],[Reinscripción]]*Tabla3[[#This Row],[% Beca Reinscripciones Comunidad 18-19]]</f>
        <v>#N/A</v>
      </c>
      <c r="BH92" s="218" t="e">
        <f>Tabla3[[#This Row],[Cantidad Beca Reinscripciones Comunidad 18-19]]*70%</f>
        <v>#N/A</v>
      </c>
      <c r="BI92" s="224" t="e">
        <f>Tabla3[[#This Row],[75% Cantidad Beca Comunidad Colegiatura 17-18]]+Tabla3[[#This Row],[70% Cantidad Beca Reinscripciones 18-19]]</f>
        <v>#N/A</v>
      </c>
      <c r="BJ92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92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92" s="255"/>
      <c r="BM92" s="225"/>
      <c r="BN92" s="221"/>
      <c r="BO92" s="107"/>
      <c r="BP92" s="107">
        <f>Tabla3[[#This Row],[% AutorizadoBeca Colegiatura 17-18]]+Tabla3[[#This Row],[% Beca Prestacion 17-18]]+Tabla3[[#This Row],[% Beca UNAM 17-18]]</f>
        <v>0</v>
      </c>
      <c r="BQ92" s="108">
        <f t="shared" si="3"/>
        <v>0</v>
      </c>
      <c r="BR92" s="107">
        <f>Tabla3[[#This Row],[% Beca Comunidad 17-18]]</f>
        <v>0.7</v>
      </c>
      <c r="BS92" s="108">
        <f t="shared" si="4"/>
        <v>802.9</v>
      </c>
      <c r="BT92" s="108">
        <f t="shared" si="5"/>
        <v>200.72499999999999</v>
      </c>
      <c r="BU92" s="108">
        <f>Tabla3[[#This Row],[Monto3]]*75%</f>
        <v>602.17499999999995</v>
      </c>
      <c r="BV92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92" s="107" t="e">
        <f>VLOOKUP(Tabla3[[#This Row],[Nombre del Alumno]],'[3]BECAS COLEGIATURAS'!$I:$N,6,0)</f>
        <v>#N/A</v>
      </c>
      <c r="BX92" s="107" t="e">
        <f>VLOOKUP(Tabla3[[#This Row],[Nombre del Alumno]],[1]!Tabla1[[NOMBRE DEL ALUMNO]:[MATRIZ]],6,0)</f>
        <v>#REF!</v>
      </c>
      <c r="BY92" s="107" t="e">
        <f>VLOOKUP(Tabla3[[#This Row],[Nombre del Alumno]],'[3]BECAS COLEGIATURAS'!$I:$L,4,0)</f>
        <v>#N/A</v>
      </c>
      <c r="BZ92" s="108" t="e">
        <f>VLOOKUP(Tabla3[[#This Row],[Grado 18-19]],[2]Cuotas!$Q:$U,2,0)</f>
        <v>#N/A</v>
      </c>
      <c r="CA92" s="108" t="e">
        <f>VLOOKUP(Tabla3[[#This Row],[Grado 18-19]],[2]Cuotas!$Q:$U,3,0)</f>
        <v>#N/A</v>
      </c>
      <c r="CB92" s="108" t="e">
        <f>VLOOKUP(Tabla3[[#This Row],[Grado 18-19]],[2]Cuotas!$Q:$U,4,0)</f>
        <v>#N/A</v>
      </c>
      <c r="CC92" s="107">
        <v>0</v>
      </c>
      <c r="CD92" s="222"/>
      <c r="CE92" s="218" t="e">
        <f>Tabla3[[#This Row],[Monto Colegiatura 2018-2019]]*Tabla3[[#This Row],[% AutorizadoBeca Colegiatura 18-19]]</f>
        <v>#N/A</v>
      </c>
      <c r="CF92" s="223"/>
      <c r="CG92" s="218" t="e">
        <f>Tabla3[[#This Row],[Monto Colegiatura 2018-2019]]*Tabla3[[#This Row],[% Beca Prestacion 18-19]]</f>
        <v>#N/A</v>
      </c>
      <c r="CH92" s="223"/>
      <c r="CI92" s="218" t="e">
        <f>Tabla3[[#This Row],[Canasta 2018-2019]]*Tabla3[[#This Row],[% Beca Canasta 18-19]]</f>
        <v>#N/A</v>
      </c>
      <c r="CJ92" s="223"/>
      <c r="CK92" s="218" t="e">
        <f>Tabla3[[#This Row],[Reinscripción 2019-2020]]*Tabla3[[#This Row],[% Beca Reinscripciones 19-20]]</f>
        <v>#N/A</v>
      </c>
      <c r="CL92" s="218" t="e">
        <f>Tabla3[[#This Row],[Cantidad Beca Comunidad Colegiatura 18-19]]*25%</f>
        <v>#N/A</v>
      </c>
      <c r="CM92" s="224" t="e">
        <f>Tabla3[[#This Row],[Cantidad Beca Reinscripciones Comunidad 19-20]]*25%</f>
        <v>#N/A</v>
      </c>
      <c r="CN92" s="222"/>
      <c r="CO92" s="218" t="e">
        <f>Tabla3[[#This Row],[Monto Colegiatura 2018-2019]]*Tabla3[[#This Row],[% Beca UNAM 18-19]]</f>
        <v>#N/A</v>
      </c>
      <c r="CP92" s="225"/>
      <c r="CQ92" s="224">
        <f>3328*Tabla3[[#This Row],[% Beca Reinscripciones UNAM 18-19]]</f>
        <v>0</v>
      </c>
      <c r="CR92" s="226" t="e">
        <f>Tabla3[[#This Row],[Cantidad Beca Colegiatura 18-19]]+Tabla3[[#This Row],[Cantidad Beca Canasta 18-19]]+Tabla3[[#This Row],[Cantidad Beca Reinscripciones 19-20]]</f>
        <v>#N/A</v>
      </c>
      <c r="CS92" s="222">
        <v>0.7</v>
      </c>
      <c r="CT92" s="218" t="e">
        <f>Tabla3[[#This Row],[Monto Colegiatura 2018-2019]]*Tabla3[[#This Row],[% Beca Comunidad 18-19]]</f>
        <v>#N/A</v>
      </c>
      <c r="CU92" s="218" t="e">
        <f>Tabla3[[#This Row],[Cantidad Beca Comunidad Colegiatura 18-19]]*75%</f>
        <v>#N/A</v>
      </c>
      <c r="CV92" s="223"/>
      <c r="CW92" s="218" t="e">
        <f>Tabla3[[#This Row],[Reinscripción 2019-2020]]*Tabla3[[#This Row],[% Beca Reinscripciones Comunidad 19-20]]</f>
        <v>#N/A</v>
      </c>
      <c r="CX92" s="218" t="e">
        <f>Tabla3[[#This Row],[Cantidad Beca Reinscripciones Comunidad 19-20]]*75%</f>
        <v>#N/A</v>
      </c>
      <c r="CY92" s="227" t="e">
        <f>Tabla3[[#This Row],[75% Cantidad Beca Comunidad Colegiatura 18-19]]+Tabla3[[#This Row],[75% Cantidad Beca Reinscripciones 19-20]]</f>
        <v>#N/A</v>
      </c>
      <c r="CZ92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92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92" s="108">
        <f>1440*(Tabla3[[#This Row],[% AutorizadoBeca Colegiatura 18-19]]+Tabla3[[#This Row],[% Beca Prestacion 18-19]]+Tabla3[[#This Row],[% Beca UNAM 18-19]]+Tabla3[[#This Row],[% Beca Comunidad 18-19]])</f>
        <v>1007.9999999999999</v>
      </c>
    </row>
    <row r="93" spans="2:106" ht="15" customHeight="1" x14ac:dyDescent="0.2">
      <c r="B93" s="107" t="s">
        <v>654</v>
      </c>
      <c r="C93" s="107" t="e">
        <f>VLOOKUP(Tabla3[[#This Row],[Nombre del Padre]],[1]!Tabla1[[PADRE]:[PADRE_CELULAR]],2,0)</f>
        <v>#REF!</v>
      </c>
      <c r="D93" s="107" t="e">
        <f>VLOOKUP(Tabla3[[#This Row],[Nombre del Padre]],[1]!Tabla1[[PADRE]:[PADRE_CELULAR]],3,0)</f>
        <v>#REF!</v>
      </c>
      <c r="E93" s="107" t="s">
        <v>655</v>
      </c>
      <c r="F93" s="107" t="e">
        <f>VLOOKUP(Tabla3[[#This Row],[Nombre de la Madre]],[1]!Tabla1[[MADRE]:[MADRE_TELEFONO]],2,0)</f>
        <v>#REF!</v>
      </c>
      <c r="G93" s="202" t="e">
        <f>VLOOKUP(Tabla3[[#This Row],[Nombre de la Madre]],[1]!Tabla1[[MADRE]:[MADRE_TELEFONO]],3,0)</f>
        <v>#REF!</v>
      </c>
      <c r="H93" s="228">
        <v>8</v>
      </c>
      <c r="I93" s="225">
        <v>1725</v>
      </c>
      <c r="J93" s="225" t="s">
        <v>656</v>
      </c>
      <c r="K93" s="225" t="s">
        <v>312</v>
      </c>
      <c r="L93" s="225" t="s">
        <v>657</v>
      </c>
      <c r="M93" s="205" t="s">
        <v>658</v>
      </c>
      <c r="N93" s="204" t="s">
        <v>291</v>
      </c>
      <c r="O93" s="218" t="e">
        <f>VLOOKUP(Tabla3[[#This Row],[Grado]],[2]Cuotas!$A:$E,2,0)</f>
        <v>#N/A</v>
      </c>
      <c r="P93" s="218" t="e">
        <f>VLOOKUP(Tabla3[[#This Row],[Grado]],[2]Cuotas!$A:$E,4,0)</f>
        <v>#N/A</v>
      </c>
      <c r="Q93" s="218" t="e">
        <f>VLOOKUP(Tabla3[[#This Row],[Grado]],[2]Cuotas!$A:$E,3,0)</f>
        <v>#N/A</v>
      </c>
      <c r="R93" s="247"/>
      <c r="S93" s="206" t="e">
        <f>Tabla3[[#This Row],[Monto Colegiatura]]*Tabla3[[#This Row],[% Beca Colegio 16-17]]</f>
        <v>#N/A</v>
      </c>
      <c r="T93" s="219"/>
      <c r="U93" s="218" t="e">
        <f>Tabla3[[#This Row],[Monto Colegiatura]]*Tabla3[[#This Row],[% Beca Prestación 16-17]]</f>
        <v>#N/A</v>
      </c>
      <c r="V93" s="219"/>
      <c r="W93" s="206" t="e">
        <f>Tabla3[[#This Row],[Monto Colegiatura]]*Tabla3[[#This Row],[% Beca Comunidad 16-17]]</f>
        <v>#N/A</v>
      </c>
      <c r="X93" s="218" t="e">
        <f>Tabla3[[#This Row],[Cantidad Beca Comunidad 16-17]]*25%</f>
        <v>#N/A</v>
      </c>
      <c r="Y93" s="219">
        <v>1</v>
      </c>
      <c r="Z93" s="253" t="e">
        <f>Tabla3[[#This Row],[Monto Colegiatura]]*Tabla3[[#This Row],[% Beca UNAM 16-17]]</f>
        <v>#N/A</v>
      </c>
      <c r="AA93" s="219" t="e">
        <f>VLOOKUP(Tabla3[[#This Row],[Nombre del Alumno]],'[4]BECAS REINSCRIPCIONES'!$B$9:$D$31,3,0)</f>
        <v>#N/A</v>
      </c>
      <c r="AB93" s="253" t="e">
        <f>Tabla3[[#This Row],[Monto Reinscripción]]*Tabla3[[#This Row],[% Beca Reinscripción 16-17]]</f>
        <v>#N/A</v>
      </c>
      <c r="AC93" s="253"/>
      <c r="AD93" s="253" t="e">
        <f>Tabla3[[#This Row],[Monto Canasta]]*Tabla3[[#This Row],[% Beca Canasta 16-17]]</f>
        <v>#N/A</v>
      </c>
      <c r="AE93" s="253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93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93" s="209" t="e">
        <f>VLOOKUP(Tabla3[[#This Row],[Nombre del Alumno]],[2]!Tabla1[[Alumno]:[Cuenta Ciclos]],2,0)</f>
        <v>#REF!</v>
      </c>
      <c r="AH93" s="210" t="s">
        <v>460</v>
      </c>
      <c r="AI93" s="211" t="s">
        <v>409</v>
      </c>
      <c r="AJ93" s="206" t="e">
        <f>VLOOKUP(Tabla3[[#This Row],[Grado 17-18]],[2]Cuotas!$H:$L,2,0)</f>
        <v>#N/A</v>
      </c>
      <c r="AK93" s="206" t="e">
        <f>VLOOKUP(Tabla3[[#This Row],[Grado 17-18]],[2]Cuotas!$H:$L,3,0)</f>
        <v>#N/A</v>
      </c>
      <c r="AL93" s="206" t="e">
        <f>VLOOKUP(Tabla3[[#This Row],[Grado 17-18]],[2]Cuotas!$H:$L,4,0)</f>
        <v>#N/A</v>
      </c>
      <c r="AM93" s="223"/>
      <c r="AN93" s="252"/>
      <c r="AO93" s="206" t="e">
        <f>Tabla3[[#This Row],[Monto Colegiatura ]]*Tabla3[[#This Row],[% AutorizadoBeca Colegiatura 17-18]]</f>
        <v>#N/A</v>
      </c>
      <c r="AP93" s="219"/>
      <c r="AQ93" s="206" t="e">
        <f>Tabla3[[#This Row],[Monto Colegiatura ]]*Tabla3[[#This Row],[% Beca Prestacion 17-18]]</f>
        <v>#N/A</v>
      </c>
      <c r="AR93" s="219"/>
      <c r="AS93" s="206" t="e">
        <f>Tabla3[[#This Row],[Canasta]]*Tabla3[[#This Row],[% Beca Canasta 17-18]]</f>
        <v>#N/A</v>
      </c>
      <c r="AT93" s="219">
        <v>0.8</v>
      </c>
      <c r="AU93" s="253" t="e">
        <f>Tabla3[[#This Row],[Reinscripción]]*Tabla3[[#This Row],[% Beca Reinscripciones 18-19]]</f>
        <v>#N/A</v>
      </c>
      <c r="AV93" s="206" t="e">
        <f>Tabla3[[#This Row],[Cantidad Beca Comunidad Colegiatura 17-18]]*25%</f>
        <v>#N/A</v>
      </c>
      <c r="AW93" s="206"/>
      <c r="AX93" s="252">
        <v>0.8</v>
      </c>
      <c r="AY93" s="206" t="e">
        <f>Tabla3[[#This Row],[Monto Colegiatura ]]*Tabla3[[#This Row],[% Beca UNAM 17-18]]</f>
        <v>#N/A</v>
      </c>
      <c r="AZ93" s="219">
        <v>0.8</v>
      </c>
      <c r="BA93" s="224">
        <f>3200*Tabla3[[#This Row],[% Beca Reinscripciones UNAM 17-18]]</f>
        <v>2560</v>
      </c>
      <c r="BB93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93" s="217"/>
      <c r="BD93" s="218" t="e">
        <f>Tabla3[[#This Row],[Monto Colegiatura ]]*Tabla3[[#This Row],[% Beca Comunidad 17-18]]</f>
        <v>#N/A</v>
      </c>
      <c r="BE93" s="218" t="e">
        <f>Tabla3[[#This Row],[Cantidad Beca Comunidad Colegiatura 17-18]]*75%</f>
        <v>#N/A</v>
      </c>
      <c r="BF93" s="219"/>
      <c r="BG93" s="218" t="e">
        <f>Tabla3[[#This Row],[Reinscripción]]*Tabla3[[#This Row],[% Beca Reinscripciones Comunidad 18-19]]</f>
        <v>#N/A</v>
      </c>
      <c r="BH93" s="218" t="e">
        <f>Tabla3[[#This Row],[Cantidad Beca Reinscripciones Comunidad 18-19]]*70%</f>
        <v>#N/A</v>
      </c>
      <c r="BI93" s="224" t="e">
        <f>Tabla3[[#This Row],[75% Cantidad Beca Comunidad Colegiatura 17-18]]+Tabla3[[#This Row],[70% Cantidad Beca Reinscripciones 18-19]]</f>
        <v>#N/A</v>
      </c>
      <c r="BJ93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93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93" s="255"/>
      <c r="BM93" s="225"/>
      <c r="BN93" s="221"/>
      <c r="BO93" s="107"/>
      <c r="BP93" s="107">
        <f>Tabla3[[#This Row],[% AutorizadoBeca Colegiatura 17-18]]+Tabla3[[#This Row],[% Beca Prestacion 17-18]]+Tabla3[[#This Row],[% Beca UNAM 17-18]]</f>
        <v>0.8</v>
      </c>
      <c r="BQ93" s="108">
        <f t="shared" si="3"/>
        <v>917.6</v>
      </c>
      <c r="BR93" s="107">
        <f>Tabla3[[#This Row],[% Beca Comunidad 17-18]]</f>
        <v>0</v>
      </c>
      <c r="BS93" s="108">
        <f t="shared" si="4"/>
        <v>0</v>
      </c>
      <c r="BT93" s="108">
        <f t="shared" si="5"/>
        <v>0</v>
      </c>
      <c r="BU93" s="108">
        <f>Tabla3[[#This Row],[Monto3]]*75%</f>
        <v>0</v>
      </c>
      <c r="BV93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93" s="107" t="e">
        <f>VLOOKUP(Tabla3[[#This Row],[Nombre del Alumno]],'[3]BECAS COLEGIATURAS'!$I:$N,6,0)</f>
        <v>#N/A</v>
      </c>
      <c r="BX93" s="107" t="e">
        <f>VLOOKUP(Tabla3[[#This Row],[Nombre del Alumno]],[1]!Tabla1[[NOMBRE DEL ALUMNO]:[MATRIZ]],6,0)</f>
        <v>#REF!</v>
      </c>
      <c r="BY93" s="107" t="e">
        <f>VLOOKUP(Tabla3[[#This Row],[Nombre del Alumno]],'[3]BECAS COLEGIATURAS'!$I:$L,4,0)</f>
        <v>#N/A</v>
      </c>
      <c r="BZ93" s="108" t="e">
        <f>VLOOKUP(Tabla3[[#This Row],[Grado 18-19]],[2]Cuotas!$Q:$U,2,0)</f>
        <v>#N/A</v>
      </c>
      <c r="CA93" s="108" t="e">
        <f>VLOOKUP(Tabla3[[#This Row],[Grado 18-19]],[2]Cuotas!$Q:$U,3,0)</f>
        <v>#N/A</v>
      </c>
      <c r="CB93" s="108" t="e">
        <f>VLOOKUP(Tabla3[[#This Row],[Grado 18-19]],[2]Cuotas!$Q:$U,4,0)</f>
        <v>#N/A</v>
      </c>
      <c r="CC93" s="107">
        <v>0</v>
      </c>
      <c r="CD93" s="222"/>
      <c r="CE93" s="218" t="e">
        <f>Tabla3[[#This Row],[Monto Colegiatura 2018-2019]]*Tabla3[[#This Row],[% AutorizadoBeca Colegiatura 18-19]]</f>
        <v>#N/A</v>
      </c>
      <c r="CF93" s="223"/>
      <c r="CG93" s="218" t="e">
        <f>Tabla3[[#This Row],[Monto Colegiatura 2018-2019]]*Tabla3[[#This Row],[% Beca Prestacion 18-19]]</f>
        <v>#N/A</v>
      </c>
      <c r="CH93" s="223"/>
      <c r="CI93" s="218" t="e">
        <f>Tabla3[[#This Row],[Canasta 2018-2019]]*Tabla3[[#This Row],[% Beca Canasta 18-19]]</f>
        <v>#N/A</v>
      </c>
      <c r="CJ93" s="223"/>
      <c r="CK93" s="218" t="e">
        <f>Tabla3[[#This Row],[Reinscripción 2019-2020]]*Tabla3[[#This Row],[% Beca Reinscripciones 19-20]]</f>
        <v>#N/A</v>
      </c>
      <c r="CL93" s="218" t="e">
        <f>Tabla3[[#This Row],[Cantidad Beca Comunidad Colegiatura 18-19]]*25%</f>
        <v>#N/A</v>
      </c>
      <c r="CM93" s="224" t="e">
        <f>Tabla3[[#This Row],[Cantidad Beca Reinscripciones Comunidad 19-20]]*25%</f>
        <v>#N/A</v>
      </c>
      <c r="CN93" s="222">
        <v>0.8</v>
      </c>
      <c r="CO93" s="218" t="e">
        <f>Tabla3[[#This Row],[Monto Colegiatura 2018-2019]]*Tabla3[[#This Row],[% Beca UNAM 18-19]]</f>
        <v>#N/A</v>
      </c>
      <c r="CP93" s="223">
        <v>0.8</v>
      </c>
      <c r="CQ93" s="224">
        <f>3328*Tabla3[[#This Row],[% Beca Reinscripciones UNAM 18-19]]</f>
        <v>2662.4</v>
      </c>
      <c r="CR93" s="226" t="e">
        <f>Tabla3[[#This Row],[Cantidad Beca Colegiatura 18-19]]+Tabla3[[#This Row],[Cantidad Beca Canasta 18-19]]+Tabla3[[#This Row],[Cantidad Beca Reinscripciones 19-20]]</f>
        <v>#N/A</v>
      </c>
      <c r="CS93" s="222"/>
      <c r="CT93" s="218" t="e">
        <f>Tabla3[[#This Row],[Monto Colegiatura 2018-2019]]*Tabla3[[#This Row],[% Beca Comunidad 18-19]]</f>
        <v>#N/A</v>
      </c>
      <c r="CU93" s="218" t="e">
        <f>Tabla3[[#This Row],[Cantidad Beca Comunidad Colegiatura 18-19]]*75%</f>
        <v>#N/A</v>
      </c>
      <c r="CV93" s="223"/>
      <c r="CW93" s="218" t="e">
        <f>Tabla3[[#This Row],[Reinscripción 2019-2020]]*Tabla3[[#This Row],[% Beca Reinscripciones Comunidad 19-20]]</f>
        <v>#N/A</v>
      </c>
      <c r="CX93" s="218" t="e">
        <f>Tabla3[[#This Row],[Cantidad Beca Reinscripciones Comunidad 19-20]]*75%</f>
        <v>#N/A</v>
      </c>
      <c r="CY93" s="227" t="e">
        <f>Tabla3[[#This Row],[75% Cantidad Beca Comunidad Colegiatura 18-19]]+Tabla3[[#This Row],[75% Cantidad Beca Reinscripciones 19-20]]</f>
        <v>#N/A</v>
      </c>
      <c r="CZ93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93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93" s="108">
        <f>1440*(Tabla3[[#This Row],[% AutorizadoBeca Colegiatura 18-19]]+Tabla3[[#This Row],[% Beca Prestacion 18-19]]+Tabla3[[#This Row],[% Beca UNAM 18-19]]+Tabla3[[#This Row],[% Beca Comunidad 18-19]])</f>
        <v>1152</v>
      </c>
    </row>
    <row r="94" spans="2:106" ht="15" customHeight="1" x14ac:dyDescent="0.2">
      <c r="B94" s="107" t="s">
        <v>659</v>
      </c>
      <c r="C94" s="107" t="e">
        <f>VLOOKUP(Tabla3[[#This Row],[Nombre del Padre]],[1]!Tabla1[[PADRE]:[PADRE_CELULAR]],2,0)</f>
        <v>#REF!</v>
      </c>
      <c r="D94" s="107" t="e">
        <f>VLOOKUP(Tabla3[[#This Row],[Nombre del Padre]],[1]!Tabla1[[PADRE]:[PADRE_CELULAR]],3,0)</f>
        <v>#REF!</v>
      </c>
      <c r="E94" s="107" t="s">
        <v>660</v>
      </c>
      <c r="F94" s="107" t="e">
        <f>VLOOKUP(Tabla3[[#This Row],[Nombre de la Madre]],[1]!Tabla1[[MADRE]:[MADRE_TELEFONO]],2,0)</f>
        <v>#REF!</v>
      </c>
      <c r="G94" s="202" t="e">
        <f>VLOOKUP(Tabla3[[#This Row],[Nombre de la Madre]],[1]!Tabla1[[MADRE]:[MADRE_TELEFONO]],3,0)</f>
        <v>#REF!</v>
      </c>
      <c r="H94" s="230">
        <v>52</v>
      </c>
      <c r="I94" s="225">
        <v>2836</v>
      </c>
      <c r="J94" s="225" t="s">
        <v>661</v>
      </c>
      <c r="K94" s="225" t="s">
        <v>273</v>
      </c>
      <c r="L94" s="225" t="s">
        <v>662</v>
      </c>
      <c r="M94" s="205" t="s">
        <v>663</v>
      </c>
      <c r="N94" s="204" t="s">
        <v>282</v>
      </c>
      <c r="O94" s="218" t="e">
        <f>VLOOKUP(Tabla3[[#This Row],[Grado]],[2]Cuotas!$A:$E,2,0)</f>
        <v>#N/A</v>
      </c>
      <c r="P94" s="218" t="e">
        <f>VLOOKUP(Tabla3[[#This Row],[Grado]],[2]Cuotas!$A:$E,4,0)</f>
        <v>#N/A</v>
      </c>
      <c r="Q94" s="218" t="e">
        <f>VLOOKUP(Tabla3[[#This Row],[Grado]],[2]Cuotas!$A:$E,3,0)</f>
        <v>#N/A</v>
      </c>
      <c r="R94" s="247"/>
      <c r="S94" s="206" t="e">
        <f>Tabla3[[#This Row],[Monto Colegiatura]]*Tabla3[[#This Row],[% Beca Colegio 16-17]]</f>
        <v>#N/A</v>
      </c>
      <c r="T94" s="218"/>
      <c r="U94" s="218" t="e">
        <f>Tabla3[[#This Row],[Monto Colegiatura]]*Tabla3[[#This Row],[% Beca Prestación 16-17]]</f>
        <v>#N/A</v>
      </c>
      <c r="V94" s="219">
        <v>1</v>
      </c>
      <c r="W94" s="206" t="e">
        <f>Tabla3[[#This Row],[Monto Colegiatura]]*Tabla3[[#This Row],[% Beca Comunidad 16-17]]</f>
        <v>#N/A</v>
      </c>
      <c r="X94" s="218" t="e">
        <f>Tabla3[[#This Row],[Cantidad Beca Comunidad 16-17]]*25%</f>
        <v>#N/A</v>
      </c>
      <c r="Y94" s="218"/>
      <c r="Z94" s="218" t="e">
        <f>Tabla3[[#This Row],[Monto Colegiatura]]*Tabla3[[#This Row],[% Beca UNAM 16-17]]</f>
        <v>#N/A</v>
      </c>
      <c r="AA94" s="219" t="e">
        <f>VLOOKUP(Tabla3[[#This Row],[Nombre del Alumno]],'[4]BECAS REINSCRIPCIONES'!$B$9:$D$31,3,0)</f>
        <v>#N/A</v>
      </c>
      <c r="AB94" s="218" t="e">
        <f>Tabla3[[#This Row],[Monto Reinscripción]]*Tabla3[[#This Row],[% Beca Reinscripción 16-17]]</f>
        <v>#N/A</v>
      </c>
      <c r="AC94" s="219">
        <v>1</v>
      </c>
      <c r="AD94" s="218" t="e">
        <f>Tabla3[[#This Row],[Monto Canasta]]*Tabla3[[#This Row],[% Beca Canasta 16-17]]</f>
        <v>#N/A</v>
      </c>
      <c r="AE94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94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94" s="209" t="e">
        <f>VLOOKUP(Tabla3[[#This Row],[Nombre del Alumno]],[2]!Tabla1[[Alumno]:[Cuenta Ciclos]],2,0)</f>
        <v>#REF!</v>
      </c>
      <c r="AH94" s="210" t="s">
        <v>664</v>
      </c>
      <c r="AI94" s="211" t="s">
        <v>284</v>
      </c>
      <c r="AJ94" s="206" t="e">
        <f>VLOOKUP(Tabla3[[#This Row],[Grado 17-18]],[2]Cuotas!$H:$L,2,0)</f>
        <v>#N/A</v>
      </c>
      <c r="AK94" s="206" t="e">
        <f>VLOOKUP(Tabla3[[#This Row],[Grado 17-18]],[2]Cuotas!$H:$L,3,0)</f>
        <v>#N/A</v>
      </c>
      <c r="AL94" s="206" t="e">
        <f>VLOOKUP(Tabla3[[#This Row],[Grado 17-18]],[2]Cuotas!$H:$L,4,0)</f>
        <v>#N/A</v>
      </c>
      <c r="AM94" s="223"/>
      <c r="AN94" s="252"/>
      <c r="AO94" s="206" t="e">
        <f>Tabla3[[#This Row],[Monto Colegiatura ]]*Tabla3[[#This Row],[% AutorizadoBeca Colegiatura 17-18]]</f>
        <v>#N/A</v>
      </c>
      <c r="AP94" s="219"/>
      <c r="AQ94" s="206" t="e">
        <f>Tabla3[[#This Row],[Monto Colegiatura ]]*Tabla3[[#This Row],[% Beca Prestacion 17-18]]</f>
        <v>#N/A</v>
      </c>
      <c r="AR94" s="219"/>
      <c r="AS94" s="206" t="e">
        <f>Tabla3[[#This Row],[Canasta]]*Tabla3[[#This Row],[% Beca Canasta 17-18]]</f>
        <v>#N/A</v>
      </c>
      <c r="AT94" s="219"/>
      <c r="AU94" s="253">
        <v>0</v>
      </c>
      <c r="AV94" s="206" t="e">
        <f>Tabla3[[#This Row],[Cantidad Beca Comunidad Colegiatura 17-18]]*25%</f>
        <v>#N/A</v>
      </c>
      <c r="AW94" s="206"/>
      <c r="AX94" s="254"/>
      <c r="AY94" s="206" t="e">
        <f>Tabla3[[#This Row],[Monto Colegiatura ]]*Tabla3[[#This Row],[% Beca UNAM 17-18]]</f>
        <v>#N/A</v>
      </c>
      <c r="AZ94" s="218"/>
      <c r="BA94" s="224">
        <f>3200*Tabla3[[#This Row],[% Beca Reinscripciones UNAM 17-18]]</f>
        <v>0</v>
      </c>
      <c r="BB94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94" s="217">
        <v>1</v>
      </c>
      <c r="BD94" s="218" t="e">
        <f>Tabla3[[#This Row],[Monto Colegiatura ]]*Tabla3[[#This Row],[% Beca Comunidad 17-18]]</f>
        <v>#N/A</v>
      </c>
      <c r="BE94" s="218" t="e">
        <f>Tabla3[[#This Row],[Cantidad Beca Comunidad Colegiatura 17-18]]*75%</f>
        <v>#N/A</v>
      </c>
      <c r="BF94" s="219"/>
      <c r="BG94" s="218" t="e">
        <f>Tabla3[[#This Row],[Reinscripción]]*Tabla3[[#This Row],[% Beca Reinscripciones Comunidad 18-19]]</f>
        <v>#N/A</v>
      </c>
      <c r="BH94" s="218" t="e">
        <f>Tabla3[[#This Row],[Cantidad Beca Reinscripciones Comunidad 18-19]]*70%</f>
        <v>#N/A</v>
      </c>
      <c r="BI94" s="224" t="e">
        <f>Tabla3[[#This Row],[75% Cantidad Beca Comunidad Colegiatura 17-18]]+Tabla3[[#This Row],[70% Cantidad Beca Reinscripciones 18-19]]</f>
        <v>#N/A</v>
      </c>
      <c r="BJ94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94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94" s="255"/>
      <c r="BM94" s="225"/>
      <c r="BN94" s="221"/>
      <c r="BO94" s="107"/>
      <c r="BP94" s="107">
        <f>Tabla3[[#This Row],[% AutorizadoBeca Colegiatura 17-18]]+Tabla3[[#This Row],[% Beca Prestacion 17-18]]+Tabla3[[#This Row],[% Beca UNAM 17-18]]</f>
        <v>0</v>
      </c>
      <c r="BQ94" s="108">
        <f t="shared" si="3"/>
        <v>0</v>
      </c>
      <c r="BR94" s="107">
        <f>Tabla3[[#This Row],[% Beca Comunidad 17-18]]</f>
        <v>1</v>
      </c>
      <c r="BS94" s="108">
        <f t="shared" si="4"/>
        <v>1147</v>
      </c>
      <c r="BT94" s="108">
        <f t="shared" si="5"/>
        <v>286.75</v>
      </c>
      <c r="BU94" s="108">
        <f>Tabla3[[#This Row],[Monto3]]*75%</f>
        <v>860.25</v>
      </c>
      <c r="BV94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94" s="107" t="e">
        <f>VLOOKUP(Tabla3[[#This Row],[Nombre del Alumno]],'[3]BECAS COLEGIATURAS'!$I:$N,6,0)</f>
        <v>#N/A</v>
      </c>
      <c r="BX94" s="107" t="e">
        <f>VLOOKUP(Tabla3[[#This Row],[Nombre del Alumno]],[1]!Tabla1[[NOMBRE DEL ALUMNO]:[MATRIZ]],6,0)</f>
        <v>#REF!</v>
      </c>
      <c r="BY94" s="107" t="e">
        <f>VLOOKUP(Tabla3[[#This Row],[Nombre del Alumno]],'[3]BECAS COLEGIATURAS'!$I:$L,4,0)</f>
        <v>#N/A</v>
      </c>
      <c r="BZ94" s="108" t="e">
        <f>VLOOKUP(Tabla3[[#This Row],[Grado 18-19]],[2]Cuotas!$Q:$U,2,0)</f>
        <v>#N/A</v>
      </c>
      <c r="CA94" s="108" t="e">
        <f>VLOOKUP(Tabla3[[#This Row],[Grado 18-19]],[2]Cuotas!$Q:$U,3,0)</f>
        <v>#N/A</v>
      </c>
      <c r="CB94" s="108" t="e">
        <f>VLOOKUP(Tabla3[[#This Row],[Grado 18-19]],[2]Cuotas!$Q:$U,4,0)</f>
        <v>#N/A</v>
      </c>
      <c r="CC94" s="107">
        <v>0</v>
      </c>
      <c r="CD94" s="222"/>
      <c r="CE94" s="218" t="e">
        <f>Tabla3[[#This Row],[Monto Colegiatura 2018-2019]]*Tabla3[[#This Row],[% AutorizadoBeca Colegiatura 18-19]]</f>
        <v>#N/A</v>
      </c>
      <c r="CF94" s="223"/>
      <c r="CG94" s="218" t="e">
        <f>Tabla3[[#This Row],[Monto Colegiatura 2018-2019]]*Tabla3[[#This Row],[% Beca Prestacion 18-19]]</f>
        <v>#N/A</v>
      </c>
      <c r="CH94" s="223"/>
      <c r="CI94" s="218" t="e">
        <f>Tabla3[[#This Row],[Canasta 2018-2019]]*Tabla3[[#This Row],[% Beca Canasta 18-19]]</f>
        <v>#N/A</v>
      </c>
      <c r="CJ94" s="223"/>
      <c r="CK94" s="218" t="e">
        <f>Tabla3[[#This Row],[Reinscripción 2019-2020]]*Tabla3[[#This Row],[% Beca Reinscripciones 19-20]]</f>
        <v>#N/A</v>
      </c>
      <c r="CL94" s="218" t="e">
        <f>Tabla3[[#This Row],[Cantidad Beca Comunidad Colegiatura 18-19]]*25%</f>
        <v>#N/A</v>
      </c>
      <c r="CM94" s="224" t="e">
        <f>Tabla3[[#This Row],[Cantidad Beca Reinscripciones Comunidad 19-20]]*25%</f>
        <v>#N/A</v>
      </c>
      <c r="CN94" s="222"/>
      <c r="CO94" s="218" t="e">
        <f>Tabla3[[#This Row],[Monto Colegiatura 2018-2019]]*Tabla3[[#This Row],[% Beca UNAM 18-19]]</f>
        <v>#N/A</v>
      </c>
      <c r="CP94" s="225"/>
      <c r="CQ94" s="224">
        <f>3328*Tabla3[[#This Row],[% Beca Reinscripciones UNAM 18-19]]</f>
        <v>0</v>
      </c>
      <c r="CR94" s="226" t="e">
        <f>Tabla3[[#This Row],[Cantidad Beca Colegiatura 18-19]]+Tabla3[[#This Row],[Cantidad Beca Canasta 18-19]]+Tabla3[[#This Row],[Cantidad Beca Reinscripciones 19-20]]</f>
        <v>#N/A</v>
      </c>
      <c r="CS94" s="222">
        <v>0.7</v>
      </c>
      <c r="CT94" s="218" t="e">
        <f>Tabla3[[#This Row],[Monto Colegiatura 2018-2019]]*Tabla3[[#This Row],[% Beca Comunidad 18-19]]</f>
        <v>#N/A</v>
      </c>
      <c r="CU94" s="218" t="e">
        <f>Tabla3[[#This Row],[Cantidad Beca Comunidad Colegiatura 18-19]]*75%</f>
        <v>#N/A</v>
      </c>
      <c r="CV94" s="223"/>
      <c r="CW94" s="218" t="e">
        <f>Tabla3[[#This Row],[Reinscripción 2019-2020]]*Tabla3[[#This Row],[% Beca Reinscripciones Comunidad 19-20]]</f>
        <v>#N/A</v>
      </c>
      <c r="CX94" s="218" t="e">
        <f>Tabla3[[#This Row],[Cantidad Beca Reinscripciones Comunidad 19-20]]*75%</f>
        <v>#N/A</v>
      </c>
      <c r="CY94" s="227" t="e">
        <f>Tabla3[[#This Row],[75% Cantidad Beca Comunidad Colegiatura 18-19]]+Tabla3[[#This Row],[75% Cantidad Beca Reinscripciones 19-20]]</f>
        <v>#N/A</v>
      </c>
      <c r="CZ94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94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94" s="108">
        <f>1440*(Tabla3[[#This Row],[% AutorizadoBeca Colegiatura 18-19]]+Tabla3[[#This Row],[% Beca Prestacion 18-19]]+Tabla3[[#This Row],[% Beca UNAM 18-19]]+Tabla3[[#This Row],[% Beca Comunidad 18-19]])</f>
        <v>1007.9999999999999</v>
      </c>
    </row>
    <row r="95" spans="2:106" ht="15" customHeight="1" x14ac:dyDescent="0.2">
      <c r="B95" s="107" t="s">
        <v>665</v>
      </c>
      <c r="C95" s="107" t="e">
        <f>VLOOKUP(Tabla3[[#This Row],[Nombre del Padre]],[1]!Tabla1[[PADRE]:[PADRE_CELULAR]],2,0)</f>
        <v>#REF!</v>
      </c>
      <c r="D95" s="107" t="e">
        <f>VLOOKUP(Tabla3[[#This Row],[Nombre del Padre]],[1]!Tabla1[[PADRE]:[PADRE_CELULAR]],3,0)</f>
        <v>#REF!</v>
      </c>
      <c r="E95" s="107" t="s">
        <v>666</v>
      </c>
      <c r="F95" s="107" t="e">
        <f>VLOOKUP(Tabla3[[#This Row],[Nombre de la Madre]],[1]!Tabla1[[MADRE]:[MADRE_TELEFONO]],2,0)</f>
        <v>#REF!</v>
      </c>
      <c r="G95" s="202" t="e">
        <f>VLOOKUP(Tabla3[[#This Row],[Nombre de la Madre]],[1]!Tabla1[[MADRE]:[MADRE_TELEFONO]],3,0)</f>
        <v>#REF!</v>
      </c>
      <c r="H95" s="228">
        <v>53</v>
      </c>
      <c r="I95" s="225">
        <v>2722</v>
      </c>
      <c r="J95" s="225" t="s">
        <v>667</v>
      </c>
      <c r="K95" s="225" t="s">
        <v>273</v>
      </c>
      <c r="L95" s="225" t="s">
        <v>668</v>
      </c>
      <c r="M95" s="205" t="s">
        <v>669</v>
      </c>
      <c r="N95" s="204" t="s">
        <v>297</v>
      </c>
      <c r="O95" s="218" t="e">
        <f>VLOOKUP(Tabla3[[#This Row],[Grado]],[2]Cuotas!$A:$E,2,0)</f>
        <v>#N/A</v>
      </c>
      <c r="P95" s="218" t="e">
        <f>VLOOKUP(Tabla3[[#This Row],[Grado]],[2]Cuotas!$A:$E,4,0)</f>
        <v>#N/A</v>
      </c>
      <c r="Q95" s="218" t="e">
        <f>VLOOKUP(Tabla3[[#This Row],[Grado]],[2]Cuotas!$A:$E,3,0)</f>
        <v>#N/A</v>
      </c>
      <c r="R95" s="247"/>
      <c r="S95" s="206" t="e">
        <f>Tabla3[[#This Row],[Monto Colegiatura]]*Tabla3[[#This Row],[% Beca Colegio 16-17]]</f>
        <v>#N/A</v>
      </c>
      <c r="T95" s="218"/>
      <c r="U95" s="218" t="e">
        <f>Tabla3[[#This Row],[Monto Colegiatura]]*Tabla3[[#This Row],[% Beca Prestación 16-17]]</f>
        <v>#N/A</v>
      </c>
      <c r="V95" s="219">
        <v>0.5</v>
      </c>
      <c r="W95" s="206" t="e">
        <f>Tabla3[[#This Row],[Monto Colegiatura]]*Tabla3[[#This Row],[% Beca Comunidad 16-17]]</f>
        <v>#N/A</v>
      </c>
      <c r="X95" s="218" t="e">
        <f>Tabla3[[#This Row],[Cantidad Beca Comunidad 16-17]]*25%</f>
        <v>#N/A</v>
      </c>
      <c r="Y95" s="218"/>
      <c r="Z95" s="218" t="e">
        <f>Tabla3[[#This Row],[Monto Colegiatura]]*Tabla3[[#This Row],[% Beca UNAM 16-17]]</f>
        <v>#N/A</v>
      </c>
      <c r="AA95" s="219"/>
      <c r="AB95" s="218" t="e">
        <f>Tabla3[[#This Row],[Monto Reinscripción]]*Tabla3[[#This Row],[% Beca Reinscripción 16-17]]</f>
        <v>#N/A</v>
      </c>
      <c r="AC95" s="218"/>
      <c r="AD95" s="218" t="e">
        <f>Tabla3[[#This Row],[Monto Canasta]]*Tabla3[[#This Row],[% Beca Canasta 16-17]]</f>
        <v>#N/A</v>
      </c>
      <c r="AE95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95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95" s="209" t="e">
        <f>VLOOKUP(Tabla3[[#This Row],[Nombre del Alumno]],[2]!Tabla1[[Alumno]:[Cuenta Ciclos]],2,0)</f>
        <v>#REF!</v>
      </c>
      <c r="AH95" s="210" t="s">
        <v>670</v>
      </c>
      <c r="AI95" s="211" t="s">
        <v>299</v>
      </c>
      <c r="AJ95" s="206" t="e">
        <f>VLOOKUP(Tabla3[[#This Row],[Grado 17-18]],[2]Cuotas!$H:$L,2,0)</f>
        <v>#N/A</v>
      </c>
      <c r="AK95" s="206" t="e">
        <f>VLOOKUP(Tabla3[[#This Row],[Grado 17-18]],[2]Cuotas!$H:$L,3,0)</f>
        <v>#N/A</v>
      </c>
      <c r="AL95" s="206" t="e">
        <f>VLOOKUP(Tabla3[[#This Row],[Grado 17-18]],[2]Cuotas!$H:$L,4,0)</f>
        <v>#N/A</v>
      </c>
      <c r="AM95" s="223"/>
      <c r="AN95" s="252"/>
      <c r="AO95" s="206" t="e">
        <f>Tabla3[[#This Row],[Monto Colegiatura ]]*Tabla3[[#This Row],[% AutorizadoBeca Colegiatura 17-18]]</f>
        <v>#N/A</v>
      </c>
      <c r="AP95" s="219"/>
      <c r="AQ95" s="206" t="e">
        <f>Tabla3[[#This Row],[Monto Colegiatura ]]*Tabla3[[#This Row],[% Beca Prestacion 17-18]]</f>
        <v>#N/A</v>
      </c>
      <c r="AR95" s="219"/>
      <c r="AS95" s="206" t="e">
        <f>Tabla3[[#This Row],[Canasta]]*Tabla3[[#This Row],[% Beca Canasta 17-18]]</f>
        <v>#N/A</v>
      </c>
      <c r="AT95" s="219"/>
      <c r="AU95" s="253">
        <v>0</v>
      </c>
      <c r="AV95" s="206" t="e">
        <f>Tabla3[[#This Row],[Cantidad Beca Comunidad Colegiatura 17-18]]*25%</f>
        <v>#N/A</v>
      </c>
      <c r="AW95" s="206"/>
      <c r="AX95" s="254"/>
      <c r="AY95" s="206" t="e">
        <f>Tabla3[[#This Row],[Monto Colegiatura ]]*Tabla3[[#This Row],[% Beca UNAM 17-18]]</f>
        <v>#N/A</v>
      </c>
      <c r="AZ95" s="218"/>
      <c r="BA95" s="224">
        <f>3200*Tabla3[[#This Row],[% Beca Reinscripciones UNAM 17-18]]</f>
        <v>0</v>
      </c>
      <c r="BB95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95" s="217">
        <v>0.5</v>
      </c>
      <c r="BD95" s="218" t="e">
        <f>Tabla3[[#This Row],[Monto Colegiatura ]]*Tabla3[[#This Row],[% Beca Comunidad 17-18]]</f>
        <v>#N/A</v>
      </c>
      <c r="BE95" s="218" t="e">
        <f>Tabla3[[#This Row],[Cantidad Beca Comunidad Colegiatura 17-18]]*75%</f>
        <v>#N/A</v>
      </c>
      <c r="BF95" s="219"/>
      <c r="BG95" s="218" t="e">
        <f>Tabla3[[#This Row],[Reinscripción]]*Tabla3[[#This Row],[% Beca Reinscripciones Comunidad 18-19]]</f>
        <v>#N/A</v>
      </c>
      <c r="BH95" s="218" t="e">
        <f>Tabla3[[#This Row],[Cantidad Beca Reinscripciones Comunidad 18-19]]*70%</f>
        <v>#N/A</v>
      </c>
      <c r="BI95" s="224" t="e">
        <f>Tabla3[[#This Row],[75% Cantidad Beca Comunidad Colegiatura 17-18]]+Tabla3[[#This Row],[70% Cantidad Beca Reinscripciones 18-19]]</f>
        <v>#N/A</v>
      </c>
      <c r="BJ95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95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95" s="255"/>
      <c r="BM95" s="225"/>
      <c r="BN95" s="221"/>
      <c r="BO95" s="107"/>
      <c r="BP95" s="107">
        <f>Tabla3[[#This Row],[% AutorizadoBeca Colegiatura 17-18]]+Tabla3[[#This Row],[% Beca Prestacion 17-18]]+Tabla3[[#This Row],[% Beca UNAM 17-18]]</f>
        <v>0</v>
      </c>
      <c r="BQ95" s="108">
        <f t="shared" si="3"/>
        <v>0</v>
      </c>
      <c r="BR95" s="107">
        <f>Tabla3[[#This Row],[% Beca Comunidad 17-18]]</f>
        <v>0.5</v>
      </c>
      <c r="BS95" s="108">
        <f t="shared" si="4"/>
        <v>573.5</v>
      </c>
      <c r="BT95" s="108">
        <f t="shared" si="5"/>
        <v>143.375</v>
      </c>
      <c r="BU95" s="108">
        <f>Tabla3[[#This Row],[Monto3]]*75%</f>
        <v>430.125</v>
      </c>
      <c r="BV95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95" s="107" t="e">
        <f>VLOOKUP(Tabla3[[#This Row],[Nombre del Alumno]],'[3]BECAS COLEGIATURAS'!$I:$N,6,0)</f>
        <v>#N/A</v>
      </c>
      <c r="BX95" s="107" t="e">
        <f>VLOOKUP(Tabla3[[#This Row],[Nombre del Alumno]],[1]!Tabla1[[NOMBRE DEL ALUMNO]:[MATRIZ]],6,0)</f>
        <v>#REF!</v>
      </c>
      <c r="BY95" s="107" t="e">
        <f>VLOOKUP(Tabla3[[#This Row],[Nombre del Alumno]],'[3]BECAS COLEGIATURAS'!$I:$L,4,0)</f>
        <v>#N/A</v>
      </c>
      <c r="BZ95" s="108" t="e">
        <f>VLOOKUP(Tabla3[[#This Row],[Grado 18-19]],[2]Cuotas!$Q:$U,2,0)</f>
        <v>#N/A</v>
      </c>
      <c r="CA95" s="108" t="e">
        <f>VLOOKUP(Tabla3[[#This Row],[Grado 18-19]],[2]Cuotas!$Q:$U,3,0)</f>
        <v>#N/A</v>
      </c>
      <c r="CB95" s="108" t="e">
        <f>VLOOKUP(Tabla3[[#This Row],[Grado 18-19]],[2]Cuotas!$Q:$U,4,0)</f>
        <v>#N/A</v>
      </c>
      <c r="CC95" s="107">
        <v>100</v>
      </c>
      <c r="CD95" s="222"/>
      <c r="CE95" s="218" t="e">
        <f>Tabla3[[#This Row],[Monto Colegiatura 2018-2019]]*Tabla3[[#This Row],[% AutorizadoBeca Colegiatura 18-19]]</f>
        <v>#N/A</v>
      </c>
      <c r="CF95" s="223"/>
      <c r="CG95" s="218" t="e">
        <f>Tabla3[[#This Row],[Monto Colegiatura 2018-2019]]*Tabla3[[#This Row],[% Beca Prestacion 18-19]]</f>
        <v>#N/A</v>
      </c>
      <c r="CH95" s="223"/>
      <c r="CI95" s="218" t="e">
        <f>Tabla3[[#This Row],[Canasta 2018-2019]]*Tabla3[[#This Row],[% Beca Canasta 18-19]]</f>
        <v>#N/A</v>
      </c>
      <c r="CJ95" s="223"/>
      <c r="CK95" s="218" t="e">
        <f>Tabla3[[#This Row],[Reinscripción 2019-2020]]*Tabla3[[#This Row],[% Beca Reinscripciones 19-20]]</f>
        <v>#N/A</v>
      </c>
      <c r="CL95" s="218" t="e">
        <f>Tabla3[[#This Row],[Cantidad Beca Comunidad Colegiatura 18-19]]*25%</f>
        <v>#N/A</v>
      </c>
      <c r="CM95" s="224" t="e">
        <f>Tabla3[[#This Row],[Cantidad Beca Reinscripciones Comunidad 19-20]]*25%</f>
        <v>#N/A</v>
      </c>
      <c r="CN95" s="222"/>
      <c r="CO95" s="218" t="e">
        <f>Tabla3[[#This Row],[Monto Colegiatura 2018-2019]]*Tabla3[[#This Row],[% Beca UNAM 18-19]]</f>
        <v>#N/A</v>
      </c>
      <c r="CP95" s="225"/>
      <c r="CQ95" s="224">
        <f>3328*Tabla3[[#This Row],[% Beca Reinscripciones UNAM 18-19]]</f>
        <v>0</v>
      </c>
      <c r="CR95" s="226" t="e">
        <f>Tabla3[[#This Row],[Cantidad Beca Colegiatura 18-19]]+Tabla3[[#This Row],[Cantidad Beca Canasta 18-19]]+Tabla3[[#This Row],[Cantidad Beca Reinscripciones 19-20]]</f>
        <v>#N/A</v>
      </c>
      <c r="CS95" s="222">
        <v>0.5</v>
      </c>
      <c r="CT95" s="218" t="e">
        <f>Tabla3[[#This Row],[Monto Colegiatura 2018-2019]]*Tabla3[[#This Row],[% Beca Comunidad 18-19]]</f>
        <v>#N/A</v>
      </c>
      <c r="CU95" s="218" t="e">
        <f>Tabla3[[#This Row],[Cantidad Beca Comunidad Colegiatura 18-19]]*75%</f>
        <v>#N/A</v>
      </c>
      <c r="CV95" s="223"/>
      <c r="CW95" s="218" t="e">
        <f>Tabla3[[#This Row],[Reinscripción 2019-2020]]*Tabla3[[#This Row],[% Beca Reinscripciones Comunidad 19-20]]</f>
        <v>#N/A</v>
      </c>
      <c r="CX95" s="218" t="e">
        <f>Tabla3[[#This Row],[Cantidad Beca Reinscripciones Comunidad 19-20]]*75%</f>
        <v>#N/A</v>
      </c>
      <c r="CY95" s="227" t="e">
        <f>Tabla3[[#This Row],[75% Cantidad Beca Comunidad Colegiatura 18-19]]+Tabla3[[#This Row],[75% Cantidad Beca Reinscripciones 19-20]]</f>
        <v>#N/A</v>
      </c>
      <c r="CZ95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95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95" s="108">
        <f>1440*(Tabla3[[#This Row],[% AutorizadoBeca Colegiatura 18-19]]+Tabla3[[#This Row],[% Beca Prestacion 18-19]]+Tabla3[[#This Row],[% Beca UNAM 18-19]]+Tabla3[[#This Row],[% Beca Comunidad 18-19]])</f>
        <v>720</v>
      </c>
    </row>
    <row r="96" spans="2:106" ht="15" customHeight="1" x14ac:dyDescent="0.2">
      <c r="B96" s="107" t="s">
        <v>665</v>
      </c>
      <c r="C96" s="107" t="e">
        <f>VLOOKUP(Tabla3[[#This Row],[Nombre del Padre]],[1]!Tabla1[[PADRE]:[PADRE_CELULAR]],2,0)</f>
        <v>#REF!</v>
      </c>
      <c r="D96" s="107" t="e">
        <f>VLOOKUP(Tabla3[[#This Row],[Nombre del Padre]],[1]!Tabla1[[PADRE]:[PADRE_CELULAR]],3,0)</f>
        <v>#REF!</v>
      </c>
      <c r="E96" s="107" t="s">
        <v>666</v>
      </c>
      <c r="F96" s="107" t="e">
        <f>VLOOKUP(Tabla3[[#This Row],[Nombre de la Madre]],[1]!Tabla1[[MADRE]:[MADRE_TELEFONO]],2,0)</f>
        <v>#REF!</v>
      </c>
      <c r="G96" s="202" t="e">
        <f>VLOOKUP(Tabla3[[#This Row],[Nombre de la Madre]],[1]!Tabla1[[MADRE]:[MADRE_TELEFONO]],3,0)</f>
        <v>#REF!</v>
      </c>
      <c r="H96" s="230"/>
      <c r="I96" s="225">
        <v>2722</v>
      </c>
      <c r="J96" s="225" t="s">
        <v>667</v>
      </c>
      <c r="K96" s="225" t="s">
        <v>273</v>
      </c>
      <c r="L96" s="225" t="s">
        <v>671</v>
      </c>
      <c r="M96" s="205" t="s">
        <v>672</v>
      </c>
      <c r="N96" s="204" t="s">
        <v>306</v>
      </c>
      <c r="O96" s="218" t="e">
        <f>VLOOKUP(Tabla3[[#This Row],[Grado]],[2]Cuotas!$A:$E,2,0)</f>
        <v>#N/A</v>
      </c>
      <c r="P96" s="218" t="e">
        <f>VLOOKUP(Tabla3[[#This Row],[Grado]],[2]Cuotas!$A:$E,4,0)</f>
        <v>#N/A</v>
      </c>
      <c r="Q96" s="218" t="e">
        <f>VLOOKUP(Tabla3[[#This Row],[Grado]],[2]Cuotas!$A:$E,3,0)</f>
        <v>#N/A</v>
      </c>
      <c r="R96" s="247"/>
      <c r="S96" s="206" t="e">
        <f>Tabla3[[#This Row],[Monto Colegiatura]]*Tabla3[[#This Row],[% Beca Colegio 16-17]]</f>
        <v>#N/A</v>
      </c>
      <c r="T96" s="218"/>
      <c r="U96" s="218" t="e">
        <f>Tabla3[[#This Row],[Monto Colegiatura]]*Tabla3[[#This Row],[% Beca Prestación 16-17]]</f>
        <v>#N/A</v>
      </c>
      <c r="V96" s="219">
        <v>0.5</v>
      </c>
      <c r="W96" s="206" t="e">
        <f>Tabla3[[#This Row],[Monto Colegiatura]]*Tabla3[[#This Row],[% Beca Comunidad 16-17]]</f>
        <v>#N/A</v>
      </c>
      <c r="X96" s="218" t="e">
        <f>Tabla3[[#This Row],[Cantidad Beca Comunidad 16-17]]*25%</f>
        <v>#N/A</v>
      </c>
      <c r="Y96" s="218"/>
      <c r="Z96" s="218" t="e">
        <f>Tabla3[[#This Row],[Monto Colegiatura]]*Tabla3[[#This Row],[% Beca UNAM 16-17]]</f>
        <v>#N/A</v>
      </c>
      <c r="AA96" s="219"/>
      <c r="AB96" s="218" t="e">
        <f>Tabla3[[#This Row],[Monto Reinscripción]]*Tabla3[[#This Row],[% Beca Reinscripción 16-17]]</f>
        <v>#N/A</v>
      </c>
      <c r="AC96" s="218"/>
      <c r="AD96" s="218" t="e">
        <f>Tabla3[[#This Row],[Monto Canasta]]*Tabla3[[#This Row],[% Beca Canasta 16-17]]</f>
        <v>#N/A</v>
      </c>
      <c r="AE96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96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96" s="209" t="e">
        <f>VLOOKUP(Tabla3[[#This Row],[Nombre del Alumno]],[2]!Tabla1[[Alumno]:[Cuenta Ciclos]],2,0)</f>
        <v>#REF!</v>
      </c>
      <c r="AH96" s="210" t="s">
        <v>673</v>
      </c>
      <c r="AI96" s="211" t="s">
        <v>282</v>
      </c>
      <c r="AJ96" s="206" t="e">
        <f>VLOOKUP(Tabla3[[#This Row],[Grado 17-18]],[2]Cuotas!$H:$L,2,0)</f>
        <v>#N/A</v>
      </c>
      <c r="AK96" s="206" t="e">
        <f>VLOOKUP(Tabla3[[#This Row],[Grado 17-18]],[2]Cuotas!$H:$L,3,0)</f>
        <v>#N/A</v>
      </c>
      <c r="AL96" s="206" t="e">
        <f>VLOOKUP(Tabla3[[#This Row],[Grado 17-18]],[2]Cuotas!$H:$L,4,0)</f>
        <v>#N/A</v>
      </c>
      <c r="AM96" s="223"/>
      <c r="AN96" s="252"/>
      <c r="AO96" s="206" t="e">
        <f>Tabla3[[#This Row],[Monto Colegiatura ]]*Tabla3[[#This Row],[% AutorizadoBeca Colegiatura 17-18]]</f>
        <v>#N/A</v>
      </c>
      <c r="AP96" s="219"/>
      <c r="AQ96" s="206" t="e">
        <f>Tabla3[[#This Row],[Monto Colegiatura ]]*Tabla3[[#This Row],[% Beca Prestacion 17-18]]</f>
        <v>#N/A</v>
      </c>
      <c r="AR96" s="219"/>
      <c r="AS96" s="206" t="e">
        <f>Tabla3[[#This Row],[Canasta]]*Tabla3[[#This Row],[% Beca Canasta 17-18]]</f>
        <v>#N/A</v>
      </c>
      <c r="AT96" s="219"/>
      <c r="AU96" s="253">
        <v>0</v>
      </c>
      <c r="AV96" s="206" t="e">
        <f>Tabla3[[#This Row],[Cantidad Beca Comunidad Colegiatura 17-18]]*25%</f>
        <v>#N/A</v>
      </c>
      <c r="AW96" s="206"/>
      <c r="AX96" s="254"/>
      <c r="AY96" s="206" t="e">
        <f>Tabla3[[#This Row],[Monto Colegiatura ]]*Tabla3[[#This Row],[% Beca UNAM 17-18]]</f>
        <v>#N/A</v>
      </c>
      <c r="AZ96" s="218"/>
      <c r="BA96" s="224">
        <f>3200*Tabla3[[#This Row],[% Beca Reinscripciones UNAM 17-18]]</f>
        <v>0</v>
      </c>
      <c r="BB96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96" s="217">
        <v>0.5</v>
      </c>
      <c r="BD96" s="218" t="e">
        <f>Tabla3[[#This Row],[Monto Colegiatura ]]*Tabla3[[#This Row],[% Beca Comunidad 17-18]]</f>
        <v>#N/A</v>
      </c>
      <c r="BE96" s="218" t="e">
        <f>Tabla3[[#This Row],[Cantidad Beca Comunidad Colegiatura 17-18]]*75%</f>
        <v>#N/A</v>
      </c>
      <c r="BF96" s="219"/>
      <c r="BG96" s="218" t="e">
        <f>Tabla3[[#This Row],[Reinscripción]]*Tabla3[[#This Row],[% Beca Reinscripciones Comunidad 18-19]]</f>
        <v>#N/A</v>
      </c>
      <c r="BH96" s="218" t="e">
        <f>Tabla3[[#This Row],[Cantidad Beca Reinscripciones Comunidad 18-19]]*70%</f>
        <v>#N/A</v>
      </c>
      <c r="BI96" s="224" t="e">
        <f>Tabla3[[#This Row],[75% Cantidad Beca Comunidad Colegiatura 17-18]]+Tabla3[[#This Row],[70% Cantidad Beca Reinscripciones 18-19]]</f>
        <v>#N/A</v>
      </c>
      <c r="BJ96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96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96" s="255"/>
      <c r="BM96" s="225"/>
      <c r="BN96" s="221"/>
      <c r="BO96" s="107"/>
      <c r="BP96" s="107">
        <f>Tabla3[[#This Row],[% AutorizadoBeca Colegiatura 17-18]]+Tabla3[[#This Row],[% Beca Prestacion 17-18]]+Tabla3[[#This Row],[% Beca UNAM 17-18]]</f>
        <v>0</v>
      </c>
      <c r="BQ96" s="108">
        <f t="shared" si="3"/>
        <v>0</v>
      </c>
      <c r="BR96" s="107">
        <f>Tabla3[[#This Row],[% Beca Comunidad 17-18]]</f>
        <v>0.5</v>
      </c>
      <c r="BS96" s="108">
        <f t="shared" si="4"/>
        <v>573.5</v>
      </c>
      <c r="BT96" s="108">
        <f t="shared" si="5"/>
        <v>143.375</v>
      </c>
      <c r="BU96" s="108">
        <f>Tabla3[[#This Row],[Monto3]]*75%</f>
        <v>430.125</v>
      </c>
      <c r="BV96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96" s="107" t="e">
        <f>VLOOKUP(Tabla3[[#This Row],[Nombre del Alumno]],'[3]BECAS COLEGIATURAS'!$I:$N,6,0)</f>
        <v>#N/A</v>
      </c>
      <c r="BX96" s="107" t="e">
        <f>VLOOKUP(Tabla3[[#This Row],[Nombre del Alumno]],[1]!Tabla1[[NOMBRE DEL ALUMNO]:[MATRIZ]],6,0)</f>
        <v>#REF!</v>
      </c>
      <c r="BY96" s="107" t="e">
        <f>VLOOKUP(Tabla3[[#This Row],[Nombre del Alumno]],'[3]BECAS COLEGIATURAS'!$I:$L,4,0)</f>
        <v>#N/A</v>
      </c>
      <c r="BZ96" s="108" t="e">
        <f>VLOOKUP(Tabla3[[#This Row],[Grado 18-19]],[2]Cuotas!$Q:$U,2,0)</f>
        <v>#N/A</v>
      </c>
      <c r="CA96" s="108" t="e">
        <f>VLOOKUP(Tabla3[[#This Row],[Grado 18-19]],[2]Cuotas!$Q:$U,3,0)</f>
        <v>#N/A</v>
      </c>
      <c r="CB96" s="108" t="e">
        <f>VLOOKUP(Tabla3[[#This Row],[Grado 18-19]],[2]Cuotas!$Q:$U,4,0)</f>
        <v>#N/A</v>
      </c>
      <c r="CC96" s="107">
        <v>100</v>
      </c>
      <c r="CD96" s="222"/>
      <c r="CE96" s="218" t="e">
        <f>Tabla3[[#This Row],[Monto Colegiatura 2018-2019]]*Tabla3[[#This Row],[% AutorizadoBeca Colegiatura 18-19]]</f>
        <v>#N/A</v>
      </c>
      <c r="CF96" s="223"/>
      <c r="CG96" s="218" t="e">
        <f>Tabla3[[#This Row],[Monto Colegiatura 2018-2019]]*Tabla3[[#This Row],[% Beca Prestacion 18-19]]</f>
        <v>#N/A</v>
      </c>
      <c r="CH96" s="223"/>
      <c r="CI96" s="218" t="e">
        <f>Tabla3[[#This Row],[Canasta 2018-2019]]*Tabla3[[#This Row],[% Beca Canasta 18-19]]</f>
        <v>#N/A</v>
      </c>
      <c r="CJ96" s="223"/>
      <c r="CK96" s="218" t="e">
        <f>Tabla3[[#This Row],[Reinscripción 2019-2020]]*Tabla3[[#This Row],[% Beca Reinscripciones 19-20]]</f>
        <v>#N/A</v>
      </c>
      <c r="CL96" s="218" t="e">
        <f>Tabla3[[#This Row],[Cantidad Beca Comunidad Colegiatura 18-19]]*25%</f>
        <v>#N/A</v>
      </c>
      <c r="CM96" s="224" t="e">
        <f>Tabla3[[#This Row],[Cantidad Beca Reinscripciones Comunidad 19-20]]*25%</f>
        <v>#N/A</v>
      </c>
      <c r="CN96" s="222"/>
      <c r="CO96" s="218" t="e">
        <f>Tabla3[[#This Row],[Monto Colegiatura 2018-2019]]*Tabla3[[#This Row],[% Beca UNAM 18-19]]</f>
        <v>#N/A</v>
      </c>
      <c r="CP96" s="225"/>
      <c r="CQ96" s="224">
        <f>3328*Tabla3[[#This Row],[% Beca Reinscripciones UNAM 18-19]]</f>
        <v>0</v>
      </c>
      <c r="CR96" s="226" t="e">
        <f>Tabla3[[#This Row],[Cantidad Beca Colegiatura 18-19]]+Tabla3[[#This Row],[Cantidad Beca Canasta 18-19]]+Tabla3[[#This Row],[Cantidad Beca Reinscripciones 19-20]]</f>
        <v>#N/A</v>
      </c>
      <c r="CS96" s="222">
        <v>0.5</v>
      </c>
      <c r="CT96" s="218" t="e">
        <f>Tabla3[[#This Row],[Monto Colegiatura 2018-2019]]*Tabla3[[#This Row],[% Beca Comunidad 18-19]]</f>
        <v>#N/A</v>
      </c>
      <c r="CU96" s="218" t="e">
        <f>Tabla3[[#This Row],[Cantidad Beca Comunidad Colegiatura 18-19]]*75%</f>
        <v>#N/A</v>
      </c>
      <c r="CV96" s="223"/>
      <c r="CW96" s="218" t="e">
        <f>Tabla3[[#This Row],[Reinscripción 2019-2020]]*Tabla3[[#This Row],[% Beca Reinscripciones Comunidad 19-20]]</f>
        <v>#N/A</v>
      </c>
      <c r="CX96" s="218" t="e">
        <f>Tabla3[[#This Row],[Cantidad Beca Reinscripciones Comunidad 19-20]]*75%</f>
        <v>#N/A</v>
      </c>
      <c r="CY96" s="227" t="e">
        <f>Tabla3[[#This Row],[75% Cantidad Beca Comunidad Colegiatura 18-19]]+Tabla3[[#This Row],[75% Cantidad Beca Reinscripciones 19-20]]</f>
        <v>#N/A</v>
      </c>
      <c r="CZ96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96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96" s="108">
        <f>1440*(Tabla3[[#This Row],[% AutorizadoBeca Colegiatura 18-19]]+Tabla3[[#This Row],[% Beca Prestacion 18-19]]+Tabla3[[#This Row],[% Beca UNAM 18-19]]+Tabla3[[#This Row],[% Beca Comunidad 18-19]])</f>
        <v>720</v>
      </c>
    </row>
    <row r="97" spans="2:106" ht="15" customHeight="1" x14ac:dyDescent="0.2">
      <c r="B97" s="107" t="s">
        <v>674</v>
      </c>
      <c r="C97" s="107" t="e">
        <f>VLOOKUP(Tabla3[[#This Row],[Nombre del Padre]],[1]!Tabla1[[PADRE]:[PADRE_CELULAR]],2,0)</f>
        <v>#REF!</v>
      </c>
      <c r="D97" s="107" t="e">
        <f>VLOOKUP(Tabla3[[#This Row],[Nombre del Padre]],[1]!Tabla1[[PADRE]:[PADRE_CELULAR]],3,0)</f>
        <v>#REF!</v>
      </c>
      <c r="E97" s="225" t="s">
        <v>675</v>
      </c>
      <c r="F97" s="225" t="e">
        <f>VLOOKUP(Tabla3[[#This Row],[Nombre de la Madre]],[1]!Tabla1[[MADRE]:[MADRE_TELEFONO]],2,0)</f>
        <v>#REF!</v>
      </c>
      <c r="G97" s="202" t="e">
        <f>VLOOKUP(Tabla3[[#This Row],[Nombre de la Madre]],[1]!Tabla1[[MADRE]:[MADRE_TELEFONO]],3,0)</f>
        <v>#REF!</v>
      </c>
      <c r="H97" s="228">
        <v>9</v>
      </c>
      <c r="I97" s="225">
        <v>1511</v>
      </c>
      <c r="J97" s="225" t="s">
        <v>676</v>
      </c>
      <c r="K97" s="225" t="s">
        <v>420</v>
      </c>
      <c r="L97" s="225" t="s">
        <v>677</v>
      </c>
      <c r="M97" s="205"/>
      <c r="N97" s="204"/>
      <c r="O97" s="218" t="e">
        <f>VLOOKUP(Tabla3[[#This Row],[Grado]],[2]Cuotas!$A:$E,2,0)</f>
        <v>#N/A</v>
      </c>
      <c r="P97" s="218" t="e">
        <f>VLOOKUP(Tabla3[[#This Row],[Grado]],[2]Cuotas!$A:$E,4,0)</f>
        <v>#N/A</v>
      </c>
      <c r="Q97" s="218" t="e">
        <f>VLOOKUP(Tabla3[[#This Row],[Grado]],[2]Cuotas!$A:$E,3,0)</f>
        <v>#N/A</v>
      </c>
      <c r="R97" s="247"/>
      <c r="S97" s="206" t="e">
        <f>Tabla3[[#This Row],[Monto Colegiatura]]*Tabla3[[#This Row],[% Beca Colegio 16-17]]</f>
        <v>#N/A</v>
      </c>
      <c r="T97" s="218"/>
      <c r="U97" s="218" t="e">
        <f>Tabla3[[#This Row],[Monto Colegiatura]]*Tabla3[[#This Row],[% Beca Prestación 16-17]]</f>
        <v>#N/A</v>
      </c>
      <c r="V97" s="219"/>
      <c r="W97" s="206" t="e">
        <f>Tabla3[[#This Row],[Monto Colegiatura]]*Tabla3[[#This Row],[% Beca Comunidad 16-17]]</f>
        <v>#N/A</v>
      </c>
      <c r="X97" s="218" t="e">
        <f>Tabla3[[#This Row],[Cantidad Beca Comunidad 16-17]]*25%</f>
        <v>#N/A</v>
      </c>
      <c r="Y97" s="218"/>
      <c r="Z97" s="218" t="e">
        <f>Tabla3[[#This Row],[Monto Colegiatura]]*Tabla3[[#This Row],[% Beca UNAM 16-17]]</f>
        <v>#N/A</v>
      </c>
      <c r="AA97" s="219" t="e">
        <f>VLOOKUP(Tabla3[[#This Row],[Nombre del Alumno]],'[4]BECAS REINSCRIPCIONES'!$B$9:$D$31,3,0)</f>
        <v>#N/A</v>
      </c>
      <c r="AB97" s="218" t="e">
        <f>Tabla3[[#This Row],[Monto Reinscripción]]*Tabla3[[#This Row],[% Beca Reinscripción 16-17]]</f>
        <v>#N/A</v>
      </c>
      <c r="AC97" s="218" t="e">
        <f>VLOOKUP(Tabla3[[#This Row],[Nombre del Alumno]],[4]Hoja3!$H$3:$J$16,3,0)</f>
        <v>#N/A</v>
      </c>
      <c r="AD97" s="218" t="e">
        <f>Tabla3[[#This Row],[Monto Canasta]]*Tabla3[[#This Row],[% Beca Canasta 16-17]]</f>
        <v>#N/A</v>
      </c>
      <c r="AE97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97" s="206" t="e">
        <f>Tabla3[[#This Row],[Monto Colegiatura]]+Tabla3[[#This Row],[Monto Reinscripción]]+Tabla3[[#This Row],[Monto Canasta]]-Tabla3[[#This Row],[Monto Becado 16-17]]</f>
        <v>#N/A</v>
      </c>
      <c r="AG97" s="209"/>
      <c r="AH97" s="210"/>
      <c r="AI97" s="211"/>
      <c r="AJ97" s="206" t="e">
        <f>VLOOKUP(Tabla3[[#This Row],[Grado 17-18]],[2]Cuotas!$H:$L,2,0)</f>
        <v>#N/A</v>
      </c>
      <c r="AK97" s="206" t="e">
        <f>VLOOKUP(Tabla3[[#This Row],[Grado 17-18]],[2]Cuotas!$H:$L,3,0)</f>
        <v>#N/A</v>
      </c>
      <c r="AL97" s="206" t="e">
        <f>VLOOKUP(Tabla3[[#This Row],[Grado 17-18]],[2]Cuotas!$H:$L,4,0)</f>
        <v>#N/A</v>
      </c>
      <c r="AM97" s="251"/>
      <c r="AN97" s="252"/>
      <c r="AO97" s="206" t="e">
        <f>Tabla3[[#This Row],[Monto Colegiatura ]]*Tabla3[[#This Row],[% AutorizadoBeca Colegiatura 17-18]]</f>
        <v>#N/A</v>
      </c>
      <c r="AP97" s="219"/>
      <c r="AQ97" s="206" t="e">
        <f>Tabla3[[#This Row],[Monto Colegiatura ]]*Tabla3[[#This Row],[% Beca Prestacion 17-18]]</f>
        <v>#N/A</v>
      </c>
      <c r="AR97" s="219"/>
      <c r="AS97" s="206" t="e">
        <f>Tabla3[[#This Row],[Canasta]]*Tabla3[[#This Row],[% Beca Canasta 17-18]]</f>
        <v>#N/A</v>
      </c>
      <c r="AT97" s="219"/>
      <c r="AU97" s="253"/>
      <c r="AV97" s="206" t="e">
        <f>Tabla3[[#This Row],[Cantidad Beca Comunidad Colegiatura 17-18]]*25%</f>
        <v>#N/A</v>
      </c>
      <c r="AW97" s="206"/>
      <c r="AX97" s="254"/>
      <c r="AY97" s="206" t="e">
        <f>Tabla3[[#This Row],[Monto Colegiatura ]]*Tabla3[[#This Row],[% Beca UNAM 17-18]]</f>
        <v>#N/A</v>
      </c>
      <c r="AZ97" s="218"/>
      <c r="BA97" s="224">
        <f>3200*Tabla3[[#This Row],[% Beca Reinscripciones UNAM 17-18]]</f>
        <v>0</v>
      </c>
      <c r="BB97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97" s="231"/>
      <c r="BD97" s="218" t="e">
        <f>Tabla3[[#This Row],[Monto Colegiatura ]]*Tabla3[[#This Row],[% Beca Comunidad 17-18]]</f>
        <v>#N/A</v>
      </c>
      <c r="BE97" s="218" t="e">
        <f>Tabla3[[#This Row],[Cantidad Beca Comunidad Colegiatura 17-18]]*75%</f>
        <v>#N/A</v>
      </c>
      <c r="BF97" s="219" t="e">
        <f>VLOOKUP(Tabla3[[#This Row],[Nombre del Alumno]],[5]Hoja2!$B:$O,14,0)</f>
        <v>#N/A</v>
      </c>
      <c r="BG97" s="218" t="e">
        <f>Tabla3[[#This Row],[Reinscripción]]*Tabla3[[#This Row],[% Beca Reinscripciones Comunidad 18-19]]</f>
        <v>#N/A</v>
      </c>
      <c r="BH97" s="218" t="e">
        <f>Tabla3[[#This Row],[Cantidad Beca Reinscripciones Comunidad 18-19]]*70%</f>
        <v>#N/A</v>
      </c>
      <c r="BI97" s="224" t="e">
        <f>Tabla3[[#This Row],[75% Cantidad Beca Comunidad Colegiatura 17-18]]+Tabla3[[#This Row],[70% Cantidad Beca Reinscripciones 18-19]]</f>
        <v>#N/A</v>
      </c>
      <c r="BJ97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97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97" s="218"/>
      <c r="BM97" s="225"/>
      <c r="BN97" s="221"/>
      <c r="BO97" s="107"/>
      <c r="BP97" s="107">
        <f>Tabla3[[#This Row],[% AutorizadoBeca Colegiatura 17-18]]+Tabla3[[#This Row],[% Beca Prestacion 17-18]]+Tabla3[[#This Row],[% Beca UNAM 17-18]]</f>
        <v>0</v>
      </c>
      <c r="BQ97" s="108">
        <f t="shared" si="3"/>
        <v>0</v>
      </c>
      <c r="BR97" s="107">
        <f>Tabla3[[#This Row],[% Beca Comunidad 17-18]]</f>
        <v>0</v>
      </c>
      <c r="BS97" s="108">
        <f t="shared" si="4"/>
        <v>0</v>
      </c>
      <c r="BT97" s="108">
        <f t="shared" si="5"/>
        <v>0</v>
      </c>
      <c r="BU97" s="108">
        <f>Tabla3[[#This Row],[Monto3]]*75%</f>
        <v>0</v>
      </c>
      <c r="BV97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97" s="107" t="e">
        <f>VLOOKUP(Tabla3[[#This Row],[Nombre del Alumno]],'[3]BECAS COLEGIATURAS'!$I:$N,6,0)</f>
        <v>#N/A</v>
      </c>
      <c r="BX97" s="107" t="e">
        <f>VLOOKUP(Tabla3[[#This Row],[Nombre del Alumno]],[1]!Tabla1[[NOMBRE DEL ALUMNO]:[MATRIZ]],6,0)</f>
        <v>#REF!</v>
      </c>
      <c r="BY97" s="107" t="s">
        <v>409</v>
      </c>
      <c r="BZ97" s="108" t="e">
        <f>VLOOKUP(Tabla3[[#This Row],[Grado 18-19]],[2]Cuotas!$Q:$U,2,0)</f>
        <v>#N/A</v>
      </c>
      <c r="CA97" s="108" t="e">
        <f>VLOOKUP(Tabla3[[#This Row],[Grado 18-19]],[2]Cuotas!$Q:$U,3,0)</f>
        <v>#N/A</v>
      </c>
      <c r="CB97" s="108" t="e">
        <f>VLOOKUP(Tabla3[[#This Row],[Grado 18-19]],[2]Cuotas!$Q:$U,4,0)</f>
        <v>#N/A</v>
      </c>
      <c r="CC97" s="107">
        <v>0</v>
      </c>
      <c r="CD97" s="222"/>
      <c r="CE97" s="218" t="e">
        <f>Tabla3[[#This Row],[Monto Colegiatura 2018-2019]]*Tabla3[[#This Row],[% AutorizadoBeca Colegiatura 18-19]]</f>
        <v>#N/A</v>
      </c>
      <c r="CF97" s="223"/>
      <c r="CG97" s="218" t="e">
        <f>Tabla3[[#This Row],[Monto Colegiatura 2018-2019]]*Tabla3[[#This Row],[% Beca Prestacion 18-19]]</f>
        <v>#N/A</v>
      </c>
      <c r="CH97" s="223"/>
      <c r="CI97" s="218" t="e">
        <f>Tabla3[[#This Row],[Canasta 2018-2019]]*Tabla3[[#This Row],[% Beca Canasta 18-19]]</f>
        <v>#N/A</v>
      </c>
      <c r="CJ97" s="223"/>
      <c r="CK97" s="218" t="e">
        <f>Tabla3[[#This Row],[Reinscripción 2019-2020]]*Tabla3[[#This Row],[% Beca Reinscripciones 19-20]]</f>
        <v>#N/A</v>
      </c>
      <c r="CL97" s="218" t="e">
        <f>Tabla3[[#This Row],[Cantidad Beca Comunidad Colegiatura 18-19]]*25%</f>
        <v>#N/A</v>
      </c>
      <c r="CM97" s="224" t="e">
        <f>Tabla3[[#This Row],[Cantidad Beca Reinscripciones Comunidad 19-20]]*25%</f>
        <v>#N/A</v>
      </c>
      <c r="CN97" s="222">
        <v>0.8</v>
      </c>
      <c r="CO97" s="218" t="e">
        <f>Tabla3[[#This Row],[Monto Colegiatura 2018-2019]]*Tabla3[[#This Row],[% Beca UNAM 18-19]]</f>
        <v>#N/A</v>
      </c>
      <c r="CP97" s="223">
        <v>0.8</v>
      </c>
      <c r="CQ97" s="224">
        <f>3328*Tabla3[[#This Row],[% Beca Reinscripciones UNAM 18-19]]</f>
        <v>2662.4</v>
      </c>
      <c r="CR97" s="226" t="e">
        <f>Tabla3[[#This Row],[Cantidad Beca Colegiatura 18-19]]+Tabla3[[#This Row],[Cantidad Beca Canasta 18-19]]+Tabla3[[#This Row],[Cantidad Beca Reinscripciones 19-20]]</f>
        <v>#N/A</v>
      </c>
      <c r="CS97" s="222"/>
      <c r="CT97" s="218" t="e">
        <f>Tabla3[[#This Row],[Monto Colegiatura 2018-2019]]*Tabla3[[#This Row],[% Beca Comunidad 18-19]]</f>
        <v>#N/A</v>
      </c>
      <c r="CU97" s="218" t="e">
        <f>Tabla3[[#This Row],[Cantidad Beca Comunidad Colegiatura 18-19]]*75%</f>
        <v>#N/A</v>
      </c>
      <c r="CV97" s="223"/>
      <c r="CW97" s="218" t="e">
        <f>Tabla3[[#This Row],[Reinscripción 2019-2020]]*Tabla3[[#This Row],[% Beca Reinscripciones Comunidad 19-20]]</f>
        <v>#N/A</v>
      </c>
      <c r="CX97" s="218" t="e">
        <f>Tabla3[[#This Row],[Cantidad Beca Reinscripciones Comunidad 19-20]]*75%</f>
        <v>#N/A</v>
      </c>
      <c r="CY97" s="227" t="e">
        <f>Tabla3[[#This Row],[75% Cantidad Beca Comunidad Colegiatura 18-19]]+Tabla3[[#This Row],[75% Cantidad Beca Reinscripciones 19-20]]</f>
        <v>#N/A</v>
      </c>
      <c r="CZ97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97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97" s="108">
        <f>1440*(Tabla3[[#This Row],[% AutorizadoBeca Colegiatura 18-19]]+Tabla3[[#This Row],[% Beca Prestacion 18-19]]+Tabla3[[#This Row],[% Beca UNAM 18-19]]+Tabla3[[#This Row],[% Beca Comunidad 18-19]])</f>
        <v>1152</v>
      </c>
    </row>
    <row r="98" spans="2:106" ht="15" customHeight="1" x14ac:dyDescent="0.2">
      <c r="B98" s="107" t="s">
        <v>678</v>
      </c>
      <c r="C98" s="107" t="e">
        <f>VLOOKUP(Tabla3[[#This Row],[Nombre del Padre]],[1]!Tabla1[[PADRE]:[PADRE_CELULAR]],2,0)</f>
        <v>#REF!</v>
      </c>
      <c r="D98" s="107" t="e">
        <f>VLOOKUP(Tabla3[[#This Row],[Nombre del Padre]],[1]!Tabla1[[PADRE]:[PADRE_CELULAR]],3,0)</f>
        <v>#REF!</v>
      </c>
      <c r="E98" s="107" t="s">
        <v>679</v>
      </c>
      <c r="F98" s="107" t="e">
        <f>VLOOKUP(Tabla3[[#This Row],[Nombre de la Madre]],[1]!Tabla1[[MADRE]:[MADRE_TELEFONO]],2,0)</f>
        <v>#REF!</v>
      </c>
      <c r="G98" s="202" t="e">
        <f>VLOOKUP(Tabla3[[#This Row],[Nombre de la Madre]],[1]!Tabla1[[MADRE]:[MADRE_TELEFONO]],3,0)</f>
        <v>#REF!</v>
      </c>
      <c r="H98" s="228">
        <v>54</v>
      </c>
      <c r="I98" s="225">
        <v>1867</v>
      </c>
      <c r="J98" s="225" t="s">
        <v>680</v>
      </c>
      <c r="K98" s="225" t="s">
        <v>312</v>
      </c>
      <c r="L98" s="225" t="s">
        <v>681</v>
      </c>
      <c r="M98" s="205" t="s">
        <v>275</v>
      </c>
      <c r="N98" s="204" t="s">
        <v>276</v>
      </c>
      <c r="O98" s="218" t="e">
        <f>VLOOKUP(Tabla3[[#This Row],[Grado]],[2]Cuotas!$A:$E,2,0)</f>
        <v>#N/A</v>
      </c>
      <c r="P98" s="218" t="e">
        <f>VLOOKUP(Tabla3[[#This Row],[Grado]],[2]Cuotas!$A:$E,4,0)</f>
        <v>#N/A</v>
      </c>
      <c r="Q98" s="218" t="e">
        <f>VLOOKUP(Tabla3[[#This Row],[Grado]],[2]Cuotas!$A:$E,3,0)</f>
        <v>#N/A</v>
      </c>
      <c r="R98" s="247"/>
      <c r="S98" s="206" t="e">
        <f>Tabla3[[#This Row],[Monto Colegiatura]]*Tabla3[[#This Row],[% Beca Colegio 16-17]]</f>
        <v>#N/A</v>
      </c>
      <c r="T98" s="219">
        <v>0.4</v>
      </c>
      <c r="U98" s="218" t="e">
        <f>Tabla3[[#This Row],[Monto Colegiatura]]*Tabla3[[#This Row],[% Beca Prestación 16-17]]</f>
        <v>#N/A</v>
      </c>
      <c r="V98" s="219"/>
      <c r="W98" s="206" t="e">
        <f>Tabla3[[#This Row],[Monto Colegiatura]]*Tabla3[[#This Row],[% Beca Comunidad 16-17]]</f>
        <v>#N/A</v>
      </c>
      <c r="X98" s="218" t="e">
        <f>Tabla3[[#This Row],[Cantidad Beca Comunidad 16-17]]*25%</f>
        <v>#N/A</v>
      </c>
      <c r="Y98" s="218"/>
      <c r="Z98" s="218" t="e">
        <f>Tabla3[[#This Row],[Monto Colegiatura]]*Tabla3[[#This Row],[% Beca UNAM 16-17]]</f>
        <v>#N/A</v>
      </c>
      <c r="AA98" s="219"/>
      <c r="AB98" s="218" t="e">
        <f>Tabla3[[#This Row],[Monto Reinscripción]]*Tabla3[[#This Row],[% Beca Reinscripción 16-17]]</f>
        <v>#N/A</v>
      </c>
      <c r="AC98" s="218"/>
      <c r="AD98" s="218" t="e">
        <f>Tabla3[[#This Row],[Monto Canasta]]*Tabla3[[#This Row],[% Beca Canasta 16-17]]</f>
        <v>#N/A</v>
      </c>
      <c r="AE98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98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98" s="209" t="e">
        <f>VLOOKUP(Tabla3[[#This Row],[Nombre del Alumno]],[2]!Tabla1[[Alumno]:[Cuenta Ciclos]],2,0)</f>
        <v>#REF!</v>
      </c>
      <c r="AH98" s="210" t="s">
        <v>277</v>
      </c>
      <c r="AI98" s="211" t="s">
        <v>278</v>
      </c>
      <c r="AJ98" s="206" t="e">
        <f>VLOOKUP(Tabla3[[#This Row],[Grado 17-18]],[2]Cuotas!$H:$L,2,0)</f>
        <v>#N/A</v>
      </c>
      <c r="AK98" s="206" t="e">
        <f>VLOOKUP(Tabla3[[#This Row],[Grado 17-18]],[2]Cuotas!$H:$L,3,0)</f>
        <v>#N/A</v>
      </c>
      <c r="AL98" s="206" t="e">
        <f>VLOOKUP(Tabla3[[#This Row],[Grado 17-18]],[2]Cuotas!$H:$L,4,0)</f>
        <v>#N/A</v>
      </c>
      <c r="AM98" s="223"/>
      <c r="AN98" s="252"/>
      <c r="AO98" s="206" t="e">
        <f>Tabla3[[#This Row],[Monto Colegiatura ]]*Tabla3[[#This Row],[% AutorizadoBeca Colegiatura 17-18]]</f>
        <v>#N/A</v>
      </c>
      <c r="AP98" s="219">
        <v>0.4</v>
      </c>
      <c r="AQ98" s="206" t="e">
        <f>Tabla3[[#This Row],[Monto Colegiatura ]]*Tabla3[[#This Row],[% Beca Prestacion 17-18]]</f>
        <v>#N/A</v>
      </c>
      <c r="AR98" s="219"/>
      <c r="AS98" s="206" t="e">
        <f>Tabla3[[#This Row],[Canasta]]*Tabla3[[#This Row],[% Beca Canasta 17-18]]</f>
        <v>#N/A</v>
      </c>
      <c r="AT98" s="219"/>
      <c r="AU98" s="253">
        <v>0</v>
      </c>
      <c r="AV98" s="206" t="e">
        <f>Tabla3[[#This Row],[Cantidad Beca Comunidad Colegiatura 17-18]]*25%</f>
        <v>#N/A</v>
      </c>
      <c r="AW98" s="206"/>
      <c r="AX98" s="254"/>
      <c r="AY98" s="206" t="e">
        <f>Tabla3[[#This Row],[Monto Colegiatura ]]*Tabla3[[#This Row],[% Beca UNAM 17-18]]</f>
        <v>#N/A</v>
      </c>
      <c r="AZ98" s="218"/>
      <c r="BA98" s="224">
        <f>3200*Tabla3[[#This Row],[% Beca Reinscripciones UNAM 17-18]]</f>
        <v>0</v>
      </c>
      <c r="BB98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98" s="217"/>
      <c r="BD98" s="218" t="e">
        <f>Tabla3[[#This Row],[Monto Colegiatura ]]*Tabla3[[#This Row],[% Beca Comunidad 17-18]]</f>
        <v>#N/A</v>
      </c>
      <c r="BE98" s="218" t="e">
        <f>Tabla3[[#This Row],[Cantidad Beca Comunidad Colegiatura 17-18]]*75%</f>
        <v>#N/A</v>
      </c>
      <c r="BF98" s="219"/>
      <c r="BG98" s="218" t="e">
        <f>Tabla3[[#This Row],[Reinscripción]]*Tabla3[[#This Row],[% Beca Reinscripciones Comunidad 18-19]]</f>
        <v>#N/A</v>
      </c>
      <c r="BH98" s="218" t="e">
        <f>Tabla3[[#This Row],[Cantidad Beca Reinscripciones Comunidad 18-19]]*70%</f>
        <v>#N/A</v>
      </c>
      <c r="BI98" s="224" t="e">
        <f>Tabla3[[#This Row],[75% Cantidad Beca Comunidad Colegiatura 17-18]]+Tabla3[[#This Row],[70% Cantidad Beca Reinscripciones 18-19]]</f>
        <v>#N/A</v>
      </c>
      <c r="BJ98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98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98" s="255"/>
      <c r="BM98" s="225"/>
      <c r="BN98" s="221"/>
      <c r="BO98" s="107"/>
      <c r="BP98" s="107">
        <f>Tabla3[[#This Row],[% AutorizadoBeca Colegiatura 17-18]]+Tabla3[[#This Row],[% Beca Prestacion 17-18]]+Tabla3[[#This Row],[% Beca UNAM 17-18]]</f>
        <v>0.4</v>
      </c>
      <c r="BQ98" s="108">
        <f t="shared" si="3"/>
        <v>458.8</v>
      </c>
      <c r="BR98" s="107">
        <f>Tabla3[[#This Row],[% Beca Comunidad 17-18]]</f>
        <v>0</v>
      </c>
      <c r="BS98" s="108">
        <f t="shared" si="4"/>
        <v>0</v>
      </c>
      <c r="BT98" s="108">
        <f t="shared" si="5"/>
        <v>0</v>
      </c>
      <c r="BU98" s="108">
        <f>Tabla3[[#This Row],[Monto3]]*75%</f>
        <v>0</v>
      </c>
      <c r="BV98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98" s="107" t="e">
        <f>VLOOKUP(Tabla3[[#This Row],[Nombre del Alumno]],'[3]BECAS COLEGIATURAS'!$I:$N,6,0)</f>
        <v>#N/A</v>
      </c>
      <c r="BX98" s="107" t="e">
        <f>VLOOKUP(Tabla3[[#This Row],[Nombre del Alumno]],[1]!Tabla1[[NOMBRE DEL ALUMNO]:[MATRIZ]],6,0)</f>
        <v>#REF!</v>
      </c>
      <c r="BY98" s="107" t="e">
        <f>VLOOKUP(Tabla3[[#This Row],[Nombre del Alumno]],'[3]BECAS COLEGIATURAS'!$I:$L,4,0)</f>
        <v>#N/A</v>
      </c>
      <c r="BZ98" s="108" t="e">
        <f>VLOOKUP(Tabla3[[#This Row],[Grado 18-19]],[2]Cuotas!$Q:$U,2,0)</f>
        <v>#N/A</v>
      </c>
      <c r="CA98" s="108" t="e">
        <f>VLOOKUP(Tabla3[[#This Row],[Grado 18-19]],[2]Cuotas!$Q:$U,3,0)</f>
        <v>#N/A</v>
      </c>
      <c r="CB98" s="108" t="e">
        <f>VLOOKUP(Tabla3[[#This Row],[Grado 18-19]],[2]Cuotas!$Q:$U,4,0)</f>
        <v>#N/A</v>
      </c>
      <c r="CC98" s="107">
        <v>0</v>
      </c>
      <c r="CD98" s="222"/>
      <c r="CE98" s="218" t="e">
        <f>Tabla3[[#This Row],[Monto Colegiatura 2018-2019]]*Tabla3[[#This Row],[% AutorizadoBeca Colegiatura 18-19]]</f>
        <v>#N/A</v>
      </c>
      <c r="CF98" s="223">
        <v>0.4</v>
      </c>
      <c r="CG98" s="218" t="e">
        <f>Tabla3[[#This Row],[Monto Colegiatura 2018-2019]]*Tabla3[[#This Row],[% Beca Prestacion 18-19]]</f>
        <v>#N/A</v>
      </c>
      <c r="CH98" s="223"/>
      <c r="CI98" s="218" t="e">
        <f>Tabla3[[#This Row],[Canasta 2018-2019]]*Tabla3[[#This Row],[% Beca Canasta 18-19]]</f>
        <v>#N/A</v>
      </c>
      <c r="CJ98" s="223"/>
      <c r="CK98" s="218" t="e">
        <f>Tabla3[[#This Row],[Reinscripción 2019-2020]]*Tabla3[[#This Row],[% Beca Reinscripciones 19-20]]</f>
        <v>#N/A</v>
      </c>
      <c r="CL98" s="218" t="e">
        <f>Tabla3[[#This Row],[Cantidad Beca Comunidad Colegiatura 18-19]]*25%</f>
        <v>#N/A</v>
      </c>
      <c r="CM98" s="224" t="e">
        <f>Tabla3[[#This Row],[Cantidad Beca Reinscripciones Comunidad 19-20]]*25%</f>
        <v>#N/A</v>
      </c>
      <c r="CN98" s="222"/>
      <c r="CO98" s="218" t="e">
        <f>Tabla3[[#This Row],[Monto Colegiatura 2018-2019]]*Tabla3[[#This Row],[% Beca UNAM 18-19]]</f>
        <v>#N/A</v>
      </c>
      <c r="CP98" s="225"/>
      <c r="CQ98" s="224">
        <f>3328*Tabla3[[#This Row],[% Beca Reinscripciones UNAM 18-19]]</f>
        <v>0</v>
      </c>
      <c r="CR98" s="226" t="e">
        <f>Tabla3[[#This Row],[Cantidad Beca Colegiatura 18-19]]+Tabla3[[#This Row],[Cantidad Beca Canasta 18-19]]+Tabla3[[#This Row],[Cantidad Beca Reinscripciones 19-20]]</f>
        <v>#N/A</v>
      </c>
      <c r="CS98" s="222"/>
      <c r="CT98" s="218" t="e">
        <f>Tabla3[[#This Row],[Monto Colegiatura 2018-2019]]*Tabla3[[#This Row],[% Beca Comunidad 18-19]]</f>
        <v>#N/A</v>
      </c>
      <c r="CU98" s="218" t="e">
        <f>Tabla3[[#This Row],[Cantidad Beca Comunidad Colegiatura 18-19]]*75%</f>
        <v>#N/A</v>
      </c>
      <c r="CV98" s="223"/>
      <c r="CW98" s="218" t="e">
        <f>Tabla3[[#This Row],[Reinscripción 2019-2020]]*Tabla3[[#This Row],[% Beca Reinscripciones Comunidad 19-20]]</f>
        <v>#N/A</v>
      </c>
      <c r="CX98" s="218" t="e">
        <f>Tabla3[[#This Row],[Cantidad Beca Reinscripciones Comunidad 19-20]]*75%</f>
        <v>#N/A</v>
      </c>
      <c r="CY98" s="227" t="e">
        <f>Tabla3[[#This Row],[75% Cantidad Beca Comunidad Colegiatura 18-19]]+Tabla3[[#This Row],[75% Cantidad Beca Reinscripciones 19-20]]</f>
        <v>#N/A</v>
      </c>
      <c r="CZ98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98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98" s="108">
        <f>1440*(Tabla3[[#This Row],[% AutorizadoBeca Colegiatura 18-19]]+Tabla3[[#This Row],[% Beca Prestacion 18-19]]+Tabla3[[#This Row],[% Beca UNAM 18-19]]+Tabla3[[#This Row],[% Beca Comunidad 18-19]])</f>
        <v>576</v>
      </c>
    </row>
    <row r="99" spans="2:106" ht="15" customHeight="1" x14ac:dyDescent="0.2">
      <c r="B99" s="107" t="s">
        <v>678</v>
      </c>
      <c r="C99" s="107" t="e">
        <f>VLOOKUP(Tabla3[[#This Row],[Nombre del Padre]],[1]!Tabla1[[PADRE]:[PADRE_CELULAR]],2,0)</f>
        <v>#REF!</v>
      </c>
      <c r="D99" s="107" t="e">
        <f>VLOOKUP(Tabla3[[#This Row],[Nombre del Padre]],[1]!Tabla1[[PADRE]:[PADRE_CELULAR]],3,0)</f>
        <v>#REF!</v>
      </c>
      <c r="E99" s="107" t="s">
        <v>679</v>
      </c>
      <c r="F99" s="107" t="e">
        <f>VLOOKUP(Tabla3[[#This Row],[Nombre de la Madre]],[1]!Tabla1[[MADRE]:[MADRE_TELEFONO]],2,0)</f>
        <v>#REF!</v>
      </c>
      <c r="G99" s="202" t="e">
        <f>VLOOKUP(Tabla3[[#This Row],[Nombre de la Madre]],[1]!Tabla1[[MADRE]:[MADRE_TELEFONO]],3,0)</f>
        <v>#REF!</v>
      </c>
      <c r="H99" s="228"/>
      <c r="I99" s="225">
        <v>1867</v>
      </c>
      <c r="J99" s="225" t="s">
        <v>680</v>
      </c>
      <c r="K99" s="225" t="s">
        <v>312</v>
      </c>
      <c r="L99" s="225" t="s">
        <v>682</v>
      </c>
      <c r="M99" s="205" t="s">
        <v>683</v>
      </c>
      <c r="N99" s="204" t="s">
        <v>336</v>
      </c>
      <c r="O99" s="218" t="e">
        <f>VLOOKUP(Tabla3[[#This Row],[Grado]],[2]Cuotas!$A:$E,2,0)</f>
        <v>#N/A</v>
      </c>
      <c r="P99" s="218" t="e">
        <f>VLOOKUP(Tabla3[[#This Row],[Grado]],[2]Cuotas!$A:$E,4,0)</f>
        <v>#N/A</v>
      </c>
      <c r="Q99" s="218" t="e">
        <f>VLOOKUP(Tabla3[[#This Row],[Grado]],[2]Cuotas!$A:$E,3,0)</f>
        <v>#N/A</v>
      </c>
      <c r="R99" s="247"/>
      <c r="S99" s="206" t="e">
        <f>Tabla3[[#This Row],[Monto Colegiatura]]*Tabla3[[#This Row],[% Beca Colegio 16-17]]</f>
        <v>#N/A</v>
      </c>
      <c r="T99" s="219">
        <v>0.4</v>
      </c>
      <c r="U99" s="218" t="e">
        <f>Tabla3[[#This Row],[Monto Colegiatura]]*Tabla3[[#This Row],[% Beca Prestación 16-17]]</f>
        <v>#N/A</v>
      </c>
      <c r="V99" s="219"/>
      <c r="W99" s="206" t="e">
        <f>Tabla3[[#This Row],[Monto Colegiatura]]*Tabla3[[#This Row],[% Beca Comunidad 16-17]]</f>
        <v>#N/A</v>
      </c>
      <c r="X99" s="218" t="e">
        <f>Tabla3[[#This Row],[Cantidad Beca Comunidad 16-17]]*25%</f>
        <v>#N/A</v>
      </c>
      <c r="Y99" s="218"/>
      <c r="Z99" s="218" t="e">
        <f>Tabla3[[#This Row],[Monto Colegiatura]]*Tabla3[[#This Row],[% Beca UNAM 16-17]]</f>
        <v>#N/A</v>
      </c>
      <c r="AA99" s="219"/>
      <c r="AB99" s="218" t="e">
        <f>Tabla3[[#This Row],[Monto Reinscripción]]*Tabla3[[#This Row],[% Beca Reinscripción 16-17]]</f>
        <v>#N/A</v>
      </c>
      <c r="AC99" s="218"/>
      <c r="AD99" s="218" t="e">
        <f>Tabla3[[#This Row],[Monto Canasta]]*Tabla3[[#This Row],[% Beca Canasta 16-17]]</f>
        <v>#N/A</v>
      </c>
      <c r="AE99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99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99" s="209" t="e">
        <f>VLOOKUP(Tabla3[[#This Row],[Nombre del Alumno]],[2]!Tabla1[[Alumno]:[Cuenta Ciclos]],2,0)</f>
        <v>#REF!</v>
      </c>
      <c r="AH99" s="210" t="s">
        <v>435</v>
      </c>
      <c r="AI99" s="211" t="s">
        <v>338</v>
      </c>
      <c r="AJ99" s="206" t="e">
        <f>VLOOKUP(Tabla3[[#This Row],[Grado 17-18]],[2]Cuotas!$H:$L,2,0)</f>
        <v>#N/A</v>
      </c>
      <c r="AK99" s="206" t="e">
        <f>VLOOKUP(Tabla3[[#This Row],[Grado 17-18]],[2]Cuotas!$H:$L,3,0)</f>
        <v>#N/A</v>
      </c>
      <c r="AL99" s="206" t="e">
        <f>VLOOKUP(Tabla3[[#This Row],[Grado 17-18]],[2]Cuotas!$H:$L,4,0)</f>
        <v>#N/A</v>
      </c>
      <c r="AM99" s="223"/>
      <c r="AN99" s="252"/>
      <c r="AO99" s="206" t="e">
        <f>Tabla3[[#This Row],[Monto Colegiatura ]]*Tabla3[[#This Row],[% AutorizadoBeca Colegiatura 17-18]]</f>
        <v>#N/A</v>
      </c>
      <c r="AP99" s="219">
        <v>0.4</v>
      </c>
      <c r="AQ99" s="206" t="e">
        <f>Tabla3[[#This Row],[Monto Colegiatura ]]*Tabla3[[#This Row],[% Beca Prestacion 17-18]]</f>
        <v>#N/A</v>
      </c>
      <c r="AR99" s="219"/>
      <c r="AS99" s="206" t="e">
        <f>Tabla3[[#This Row],[Canasta]]*Tabla3[[#This Row],[% Beca Canasta 17-18]]</f>
        <v>#N/A</v>
      </c>
      <c r="AT99" s="219"/>
      <c r="AU99" s="253">
        <v>0</v>
      </c>
      <c r="AV99" s="206" t="e">
        <f>Tabla3[[#This Row],[Cantidad Beca Comunidad Colegiatura 17-18]]*25%</f>
        <v>#N/A</v>
      </c>
      <c r="AW99" s="206"/>
      <c r="AX99" s="254"/>
      <c r="AY99" s="206" t="e">
        <f>Tabla3[[#This Row],[Monto Colegiatura ]]*Tabla3[[#This Row],[% Beca UNAM 17-18]]</f>
        <v>#N/A</v>
      </c>
      <c r="AZ99" s="218"/>
      <c r="BA99" s="224">
        <f>3200*Tabla3[[#This Row],[% Beca Reinscripciones UNAM 17-18]]</f>
        <v>0</v>
      </c>
      <c r="BB99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99" s="217"/>
      <c r="BD99" s="218" t="e">
        <f>Tabla3[[#This Row],[Monto Colegiatura ]]*Tabla3[[#This Row],[% Beca Comunidad 17-18]]</f>
        <v>#N/A</v>
      </c>
      <c r="BE99" s="218" t="e">
        <f>Tabla3[[#This Row],[Cantidad Beca Comunidad Colegiatura 17-18]]*75%</f>
        <v>#N/A</v>
      </c>
      <c r="BF99" s="219"/>
      <c r="BG99" s="218" t="e">
        <f>Tabla3[[#This Row],[Reinscripción]]*Tabla3[[#This Row],[% Beca Reinscripciones Comunidad 18-19]]</f>
        <v>#N/A</v>
      </c>
      <c r="BH99" s="218" t="e">
        <f>Tabla3[[#This Row],[Cantidad Beca Reinscripciones Comunidad 18-19]]*70%</f>
        <v>#N/A</v>
      </c>
      <c r="BI99" s="224" t="e">
        <f>Tabla3[[#This Row],[75% Cantidad Beca Comunidad Colegiatura 17-18]]+Tabla3[[#This Row],[70% Cantidad Beca Reinscripciones 18-19]]</f>
        <v>#N/A</v>
      </c>
      <c r="BJ99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99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99" s="255"/>
      <c r="BM99" s="225"/>
      <c r="BN99" s="221"/>
      <c r="BO99" s="107"/>
      <c r="BP99" s="107">
        <f>Tabla3[[#This Row],[% AutorizadoBeca Colegiatura 17-18]]+Tabla3[[#This Row],[% Beca Prestacion 17-18]]+Tabla3[[#This Row],[% Beca UNAM 17-18]]</f>
        <v>0.4</v>
      </c>
      <c r="BQ99" s="108">
        <f t="shared" si="3"/>
        <v>458.8</v>
      </c>
      <c r="BR99" s="107">
        <f>Tabla3[[#This Row],[% Beca Comunidad 17-18]]</f>
        <v>0</v>
      </c>
      <c r="BS99" s="108">
        <f t="shared" si="4"/>
        <v>0</v>
      </c>
      <c r="BT99" s="108">
        <f t="shared" si="5"/>
        <v>0</v>
      </c>
      <c r="BU99" s="108">
        <f>Tabla3[[#This Row],[Monto3]]*75%</f>
        <v>0</v>
      </c>
      <c r="BV99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99" s="107" t="e">
        <f>VLOOKUP(Tabla3[[#This Row],[Nombre del Alumno]],'[3]BECAS COLEGIATURAS'!$I:$N,6,0)</f>
        <v>#N/A</v>
      </c>
      <c r="BX99" s="107" t="e">
        <f>VLOOKUP(Tabla3[[#This Row],[Nombre del Alumno]],[1]!Tabla1[[NOMBRE DEL ALUMNO]:[MATRIZ]],6,0)</f>
        <v>#REF!</v>
      </c>
      <c r="BY99" s="107" t="e">
        <f>VLOOKUP(Tabla3[[#This Row],[Nombre del Alumno]],'[3]BECAS COLEGIATURAS'!$I:$L,4,0)</f>
        <v>#N/A</v>
      </c>
      <c r="BZ99" s="108" t="e">
        <f>VLOOKUP(Tabla3[[#This Row],[Grado 18-19]],[2]Cuotas!$Q:$U,2,0)</f>
        <v>#N/A</v>
      </c>
      <c r="CA99" s="108" t="e">
        <f>VLOOKUP(Tabla3[[#This Row],[Grado 18-19]],[2]Cuotas!$Q:$U,3,0)</f>
        <v>#N/A</v>
      </c>
      <c r="CB99" s="108" t="e">
        <f>VLOOKUP(Tabla3[[#This Row],[Grado 18-19]],[2]Cuotas!$Q:$U,4,0)</f>
        <v>#N/A</v>
      </c>
      <c r="CC99" s="107">
        <v>0</v>
      </c>
      <c r="CD99" s="222"/>
      <c r="CE99" s="218" t="e">
        <f>Tabla3[[#This Row],[Monto Colegiatura 2018-2019]]*Tabla3[[#This Row],[% AutorizadoBeca Colegiatura 18-19]]</f>
        <v>#N/A</v>
      </c>
      <c r="CF99" s="223">
        <v>0.4</v>
      </c>
      <c r="CG99" s="218" t="e">
        <f>Tabla3[[#This Row],[Monto Colegiatura 2018-2019]]*Tabla3[[#This Row],[% Beca Prestacion 18-19]]</f>
        <v>#N/A</v>
      </c>
      <c r="CH99" s="223"/>
      <c r="CI99" s="218" t="e">
        <f>Tabla3[[#This Row],[Canasta 2018-2019]]*Tabla3[[#This Row],[% Beca Canasta 18-19]]</f>
        <v>#N/A</v>
      </c>
      <c r="CJ99" s="223"/>
      <c r="CK99" s="218" t="e">
        <f>Tabla3[[#This Row],[Reinscripción 2019-2020]]*Tabla3[[#This Row],[% Beca Reinscripciones 19-20]]</f>
        <v>#N/A</v>
      </c>
      <c r="CL99" s="218" t="e">
        <f>Tabla3[[#This Row],[Cantidad Beca Comunidad Colegiatura 18-19]]*25%</f>
        <v>#N/A</v>
      </c>
      <c r="CM99" s="224" t="e">
        <f>Tabla3[[#This Row],[Cantidad Beca Reinscripciones Comunidad 19-20]]*25%</f>
        <v>#N/A</v>
      </c>
      <c r="CN99" s="222"/>
      <c r="CO99" s="218" t="e">
        <f>Tabla3[[#This Row],[Monto Colegiatura 2018-2019]]*Tabla3[[#This Row],[% Beca UNAM 18-19]]</f>
        <v>#N/A</v>
      </c>
      <c r="CP99" s="225"/>
      <c r="CQ99" s="224">
        <f>3328*Tabla3[[#This Row],[% Beca Reinscripciones UNAM 18-19]]</f>
        <v>0</v>
      </c>
      <c r="CR99" s="226" t="e">
        <f>Tabla3[[#This Row],[Cantidad Beca Colegiatura 18-19]]+Tabla3[[#This Row],[Cantidad Beca Canasta 18-19]]+Tabla3[[#This Row],[Cantidad Beca Reinscripciones 19-20]]</f>
        <v>#N/A</v>
      </c>
      <c r="CS99" s="222"/>
      <c r="CT99" s="218" t="e">
        <f>Tabla3[[#This Row],[Monto Colegiatura 2018-2019]]*Tabla3[[#This Row],[% Beca Comunidad 18-19]]</f>
        <v>#N/A</v>
      </c>
      <c r="CU99" s="218" t="e">
        <f>Tabla3[[#This Row],[Cantidad Beca Comunidad Colegiatura 18-19]]*75%</f>
        <v>#N/A</v>
      </c>
      <c r="CV99" s="223"/>
      <c r="CW99" s="218" t="e">
        <f>Tabla3[[#This Row],[Reinscripción 2019-2020]]*Tabla3[[#This Row],[% Beca Reinscripciones Comunidad 19-20]]</f>
        <v>#N/A</v>
      </c>
      <c r="CX99" s="218" t="e">
        <f>Tabla3[[#This Row],[Cantidad Beca Reinscripciones Comunidad 19-20]]*75%</f>
        <v>#N/A</v>
      </c>
      <c r="CY99" s="227" t="e">
        <f>Tabla3[[#This Row],[75% Cantidad Beca Comunidad Colegiatura 18-19]]+Tabla3[[#This Row],[75% Cantidad Beca Reinscripciones 19-20]]</f>
        <v>#N/A</v>
      </c>
      <c r="CZ99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99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99" s="108">
        <f>1440*(Tabla3[[#This Row],[% AutorizadoBeca Colegiatura 18-19]]+Tabla3[[#This Row],[% Beca Prestacion 18-19]]+Tabla3[[#This Row],[% Beca UNAM 18-19]]+Tabla3[[#This Row],[% Beca Comunidad 18-19]])</f>
        <v>576</v>
      </c>
    </row>
    <row r="100" spans="2:106" ht="15" customHeight="1" x14ac:dyDescent="0.2">
      <c r="B100" s="107" t="s">
        <v>684</v>
      </c>
      <c r="C100" s="107" t="e">
        <f>VLOOKUP(Tabla3[[#This Row],[Nombre del Padre]],[1]!Tabla1[[PADRE]:[PADRE_CELULAR]],2,0)</f>
        <v>#REF!</v>
      </c>
      <c r="D100" s="107" t="e">
        <f>VLOOKUP(Tabla3[[#This Row],[Nombre del Padre]],[1]!Tabla1[[PADRE]:[PADRE_CELULAR]],3,0)</f>
        <v>#REF!</v>
      </c>
      <c r="E100" s="107" t="s">
        <v>685</v>
      </c>
      <c r="F100" s="107" t="e">
        <f>VLOOKUP(Tabla3[[#This Row],[Nombre de la Madre]],[1]!Tabla1[[MADRE]:[MADRE_TELEFONO]],2,0)</f>
        <v>#REF!</v>
      </c>
      <c r="G100" s="202" t="e">
        <f>VLOOKUP(Tabla3[[#This Row],[Nombre de la Madre]],[1]!Tabla1[[MADRE]:[MADRE_TELEFONO]],3,0)</f>
        <v>#REF!</v>
      </c>
      <c r="H100" s="228">
        <v>55</v>
      </c>
      <c r="I100" s="225">
        <v>1387</v>
      </c>
      <c r="J100" s="225" t="s">
        <v>686</v>
      </c>
      <c r="K100" s="225" t="s">
        <v>420</v>
      </c>
      <c r="L100" s="225" t="s">
        <v>687</v>
      </c>
      <c r="M100" s="205" t="s">
        <v>688</v>
      </c>
      <c r="N100" s="204" t="s">
        <v>282</v>
      </c>
      <c r="O100" s="218" t="e">
        <f>VLOOKUP(Tabla3[[#This Row],[Grado]],[2]Cuotas!$A:$E,2,0)</f>
        <v>#N/A</v>
      </c>
      <c r="P100" s="218" t="e">
        <f>VLOOKUP(Tabla3[[#This Row],[Grado]],[2]Cuotas!$A:$E,4,0)</f>
        <v>#N/A</v>
      </c>
      <c r="Q100" s="218" t="e">
        <f>VLOOKUP(Tabla3[[#This Row],[Grado]],[2]Cuotas!$A:$E,3,0)</f>
        <v>#N/A</v>
      </c>
      <c r="R100" s="247">
        <v>0.1</v>
      </c>
      <c r="S100" s="206" t="e">
        <f>Tabla3[[#This Row],[Monto Colegiatura]]*Tabla3[[#This Row],[% Beca Colegio 16-17]]</f>
        <v>#N/A</v>
      </c>
      <c r="T100" s="218"/>
      <c r="U100" s="218" t="e">
        <f>Tabla3[[#This Row],[Monto Colegiatura]]*Tabla3[[#This Row],[% Beca Prestación 16-17]]</f>
        <v>#N/A</v>
      </c>
      <c r="V100" s="219"/>
      <c r="W100" s="206" t="e">
        <f>Tabla3[[#This Row],[Monto Colegiatura]]*Tabla3[[#This Row],[% Beca Comunidad 16-17]]</f>
        <v>#N/A</v>
      </c>
      <c r="X100" s="218" t="e">
        <f>Tabla3[[#This Row],[Cantidad Beca Comunidad 16-17]]*25%</f>
        <v>#N/A</v>
      </c>
      <c r="Y100" s="218"/>
      <c r="Z100" s="218" t="e">
        <f>Tabla3[[#This Row],[Monto Colegiatura]]*Tabla3[[#This Row],[% Beca UNAM 16-17]]</f>
        <v>#N/A</v>
      </c>
      <c r="AA100" s="219"/>
      <c r="AB100" s="218" t="e">
        <f>Tabla3[[#This Row],[Monto Reinscripción]]*Tabla3[[#This Row],[% Beca Reinscripción 16-17]]</f>
        <v>#N/A</v>
      </c>
      <c r="AC100" s="218"/>
      <c r="AD100" s="218" t="e">
        <f>Tabla3[[#This Row],[Monto Canasta]]*Tabla3[[#This Row],[% Beca Canasta 16-17]]</f>
        <v>#N/A</v>
      </c>
      <c r="AE100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00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00" s="209" t="e">
        <f>VLOOKUP(Tabla3[[#This Row],[Nombre del Alumno]],[2]!Tabla1[[Alumno]:[Cuenta Ciclos]],2,0)</f>
        <v>#REF!</v>
      </c>
      <c r="AH100" s="210" t="s">
        <v>689</v>
      </c>
      <c r="AI100" s="211" t="s">
        <v>284</v>
      </c>
      <c r="AJ100" s="206" t="e">
        <f>VLOOKUP(Tabla3[[#This Row],[Grado 17-18]],[2]Cuotas!$H:$L,2,0)</f>
        <v>#N/A</v>
      </c>
      <c r="AK100" s="206" t="e">
        <f>VLOOKUP(Tabla3[[#This Row],[Grado 17-18]],[2]Cuotas!$H:$L,3,0)</f>
        <v>#N/A</v>
      </c>
      <c r="AL100" s="206" t="e">
        <f>VLOOKUP(Tabla3[[#This Row],[Grado 17-18]],[2]Cuotas!$H:$L,4,0)</f>
        <v>#N/A</v>
      </c>
      <c r="AM100" s="251">
        <v>0.3</v>
      </c>
      <c r="AN100" s="252">
        <v>0.8</v>
      </c>
      <c r="AO100" s="206" t="e">
        <f>Tabla3[[#This Row],[Monto Colegiatura ]]*Tabla3[[#This Row],[% AutorizadoBeca Colegiatura 17-18]]</f>
        <v>#N/A</v>
      </c>
      <c r="AP100" s="219"/>
      <c r="AQ100" s="206" t="e">
        <f>Tabla3[[#This Row],[Monto Colegiatura ]]*Tabla3[[#This Row],[% Beca Prestacion 17-18]]</f>
        <v>#N/A</v>
      </c>
      <c r="AR100" s="219"/>
      <c r="AS100" s="206" t="e">
        <f>Tabla3[[#This Row],[Canasta]]*Tabla3[[#This Row],[% Beca Canasta 17-18]]</f>
        <v>#N/A</v>
      </c>
      <c r="AT100" s="219"/>
      <c r="AU100" s="253">
        <v>0</v>
      </c>
      <c r="AV100" s="206" t="e">
        <f>Tabla3[[#This Row],[Cantidad Beca Comunidad Colegiatura 17-18]]*25%</f>
        <v>#N/A</v>
      </c>
      <c r="AW100" s="206"/>
      <c r="AX100" s="254"/>
      <c r="AY100" s="206" t="e">
        <f>Tabla3[[#This Row],[Monto Colegiatura ]]*Tabla3[[#This Row],[% Beca UNAM 17-18]]</f>
        <v>#N/A</v>
      </c>
      <c r="AZ100" s="218"/>
      <c r="BA100" s="224">
        <f>3200*Tabla3[[#This Row],[% Beca Reinscripciones UNAM 17-18]]</f>
        <v>0</v>
      </c>
      <c r="BB100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00" s="231"/>
      <c r="BD100" s="218" t="e">
        <f>Tabla3[[#This Row],[Monto Colegiatura ]]*Tabla3[[#This Row],[% Beca Comunidad 17-18]]</f>
        <v>#N/A</v>
      </c>
      <c r="BE100" s="218" t="e">
        <f>Tabla3[[#This Row],[Cantidad Beca Comunidad Colegiatura 17-18]]*75%</f>
        <v>#N/A</v>
      </c>
      <c r="BF100" s="219"/>
      <c r="BG100" s="218" t="e">
        <f>Tabla3[[#This Row],[Reinscripción]]*Tabla3[[#This Row],[% Beca Reinscripciones Comunidad 18-19]]</f>
        <v>#N/A</v>
      </c>
      <c r="BH100" s="218" t="e">
        <f>Tabla3[[#This Row],[Cantidad Beca Reinscripciones Comunidad 18-19]]*70%</f>
        <v>#N/A</v>
      </c>
      <c r="BI100" s="224" t="e">
        <f>Tabla3[[#This Row],[75% Cantidad Beca Comunidad Colegiatura 17-18]]+Tabla3[[#This Row],[70% Cantidad Beca Reinscripciones 18-19]]</f>
        <v>#N/A</v>
      </c>
      <c r="BJ100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00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00" s="255"/>
      <c r="BM100" s="225"/>
      <c r="BN100" s="248">
        <v>0.1</v>
      </c>
      <c r="BO100" s="107"/>
      <c r="BP100" s="107">
        <f>Tabla3[[#This Row],[% AutorizadoBeca Colegiatura 17-18]]+Tabla3[[#This Row],[% Beca Prestacion 17-18]]+Tabla3[[#This Row],[% Beca UNAM 17-18]]</f>
        <v>0.8</v>
      </c>
      <c r="BQ100" s="108">
        <f t="shared" si="3"/>
        <v>917.6</v>
      </c>
      <c r="BR100" s="107">
        <f>Tabla3[[#This Row],[% Beca Comunidad 17-18]]</f>
        <v>0</v>
      </c>
      <c r="BS100" s="108">
        <f t="shared" si="4"/>
        <v>0</v>
      </c>
      <c r="BT100" s="108">
        <f t="shared" si="5"/>
        <v>0</v>
      </c>
      <c r="BU100" s="108">
        <f>Tabla3[[#This Row],[Monto3]]*75%</f>
        <v>0</v>
      </c>
      <c r="BV100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00" s="107" t="e">
        <f>VLOOKUP(Tabla3[[#This Row],[Nombre del Alumno]],'[3]BECAS COLEGIATURAS'!$I:$N,6,0)</f>
        <v>#N/A</v>
      </c>
      <c r="BX100" s="107" t="e">
        <f>VLOOKUP(Tabla3[[#This Row],[Nombre del Alumno]],[1]!Tabla1[[NOMBRE DEL ALUMNO]:[MATRIZ]],6,0)</f>
        <v>#REF!</v>
      </c>
      <c r="BY100" s="107" t="e">
        <f>VLOOKUP(Tabla3[[#This Row],[Nombre del Alumno]],'[3]BECAS COLEGIATURAS'!$I:$L,4,0)</f>
        <v>#N/A</v>
      </c>
      <c r="BZ100" s="108" t="e">
        <f>VLOOKUP(Tabla3[[#This Row],[Grado 18-19]],[2]Cuotas!$Q:$U,2,0)</f>
        <v>#N/A</v>
      </c>
      <c r="CA100" s="108" t="e">
        <f>VLOOKUP(Tabla3[[#This Row],[Grado 18-19]],[2]Cuotas!$Q:$U,3,0)</f>
        <v>#N/A</v>
      </c>
      <c r="CB100" s="108" t="e">
        <f>VLOOKUP(Tabla3[[#This Row],[Grado 18-19]],[2]Cuotas!$Q:$U,4,0)</f>
        <v>#N/A</v>
      </c>
      <c r="CC100" s="107">
        <v>80</v>
      </c>
      <c r="CD100" s="222">
        <v>0.55000000000000004</v>
      </c>
      <c r="CE100" s="218" t="e">
        <f>Tabla3[[#This Row],[Monto Colegiatura 2018-2019]]*Tabla3[[#This Row],[% AutorizadoBeca Colegiatura 18-19]]</f>
        <v>#N/A</v>
      </c>
      <c r="CF100" s="223"/>
      <c r="CG100" s="218" t="e">
        <f>Tabla3[[#This Row],[Monto Colegiatura 2018-2019]]*Tabla3[[#This Row],[% Beca Prestacion 18-19]]</f>
        <v>#N/A</v>
      </c>
      <c r="CH100" s="223"/>
      <c r="CI100" s="218" t="e">
        <f>Tabla3[[#This Row],[Canasta 2018-2019]]*Tabla3[[#This Row],[% Beca Canasta 18-19]]</f>
        <v>#N/A</v>
      </c>
      <c r="CJ100" s="223"/>
      <c r="CK100" s="223" t="e">
        <f>Tabla3[[#This Row],[Reinscripción 2019-2020]]*Tabla3[[#This Row],[% Beca Reinscripciones 19-20]]</f>
        <v>#N/A</v>
      </c>
      <c r="CL100" s="218" t="e">
        <f>Tabla3[[#This Row],[Cantidad Beca Comunidad Colegiatura 18-19]]*25%</f>
        <v>#N/A</v>
      </c>
      <c r="CM100" s="224" t="e">
        <f>Tabla3[[#This Row],[Cantidad Beca Reinscripciones Comunidad 19-20]]*25%</f>
        <v>#N/A</v>
      </c>
      <c r="CN100" s="222"/>
      <c r="CO100" s="218" t="e">
        <f>Tabla3[[#This Row],[Monto Colegiatura 2018-2019]]*Tabla3[[#This Row],[% Beca UNAM 18-19]]</f>
        <v>#N/A</v>
      </c>
      <c r="CP100" s="225"/>
      <c r="CQ100" s="224">
        <f>3328*Tabla3[[#This Row],[% Beca Reinscripciones UNAM 18-19]]</f>
        <v>0</v>
      </c>
      <c r="CR100" s="226" t="e">
        <f>Tabla3[[#This Row],[Cantidad Beca Colegiatura 18-19]]+Tabla3[[#This Row],[Cantidad Beca Canasta 18-19]]+Tabla3[[#This Row],[Cantidad Beca Reinscripciones 19-20]]</f>
        <v>#N/A</v>
      </c>
      <c r="CS100" s="222"/>
      <c r="CT100" s="218" t="e">
        <f>Tabla3[[#This Row],[Monto Colegiatura 2018-2019]]*Tabla3[[#This Row],[% Beca Comunidad 18-19]]</f>
        <v>#N/A</v>
      </c>
      <c r="CU100" s="218" t="e">
        <f>Tabla3[[#This Row],[Cantidad Beca Comunidad Colegiatura 18-19]]*75%</f>
        <v>#N/A</v>
      </c>
      <c r="CV100" s="223"/>
      <c r="CW100" s="218" t="e">
        <f>Tabla3[[#This Row],[Reinscripción 2019-2020]]*Tabla3[[#This Row],[% Beca Reinscripciones Comunidad 19-20]]</f>
        <v>#N/A</v>
      </c>
      <c r="CX100" s="218" t="e">
        <f>Tabla3[[#This Row],[Cantidad Beca Reinscripciones Comunidad 19-20]]*75%</f>
        <v>#N/A</v>
      </c>
      <c r="CY100" s="227" t="e">
        <f>Tabla3[[#This Row],[75% Cantidad Beca Comunidad Colegiatura 18-19]]+Tabla3[[#This Row],[75% Cantidad Beca Reinscripciones 19-20]]</f>
        <v>#N/A</v>
      </c>
      <c r="CZ100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00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00" s="108">
        <f>1440*(Tabla3[[#This Row],[% AutorizadoBeca Colegiatura 18-19]]+Tabla3[[#This Row],[% Beca Prestacion 18-19]]+Tabla3[[#This Row],[% Beca UNAM 18-19]]+Tabla3[[#This Row],[% Beca Comunidad 18-19]])</f>
        <v>792.00000000000011</v>
      </c>
    </row>
    <row r="101" spans="2:106" ht="15" customHeight="1" x14ac:dyDescent="0.2">
      <c r="B101" s="107" t="s">
        <v>690</v>
      </c>
      <c r="C101" s="107" t="e">
        <f>VLOOKUP(Tabla3[[#This Row],[Nombre del Padre]],[1]!Tabla1[[PADRE]:[PADRE_CELULAR]],2,0)</f>
        <v>#REF!</v>
      </c>
      <c r="D101" s="107" t="e">
        <f>VLOOKUP(Tabla3[[#This Row],[Nombre del Padre]],[1]!Tabla1[[PADRE]:[PADRE_CELULAR]],3,0)</f>
        <v>#REF!</v>
      </c>
      <c r="E101" s="107" t="s">
        <v>691</v>
      </c>
      <c r="F101" s="107" t="e">
        <f>VLOOKUP(Tabla3[[#This Row],[Nombre de la Madre]],[1]!Tabla1[[MADRE]:[MADRE_TELEFONO]],2,0)</f>
        <v>#REF!</v>
      </c>
      <c r="G101" s="202" t="e">
        <f>VLOOKUP(Tabla3[[#This Row],[Nombre de la Madre]],[1]!Tabla1[[MADRE]:[MADRE_TELEFONO]],3,0)</f>
        <v>#REF!</v>
      </c>
      <c r="H101" s="228">
        <v>56</v>
      </c>
      <c r="I101" s="225">
        <v>1318</v>
      </c>
      <c r="J101" s="225" t="s">
        <v>692</v>
      </c>
      <c r="K101" s="225" t="s">
        <v>273</v>
      </c>
      <c r="L101" s="225" t="s">
        <v>693</v>
      </c>
      <c r="M101" s="205" t="s">
        <v>694</v>
      </c>
      <c r="N101" s="204" t="s">
        <v>278</v>
      </c>
      <c r="O101" s="218" t="e">
        <f>VLOOKUP(Tabla3[[#This Row],[Grado]],[2]Cuotas!$A:$E,2,0)</f>
        <v>#N/A</v>
      </c>
      <c r="P101" s="218" t="e">
        <f>VLOOKUP(Tabla3[[#This Row],[Grado]],[2]Cuotas!$A:$E,4,0)</f>
        <v>#N/A</v>
      </c>
      <c r="Q101" s="218" t="e">
        <f>VLOOKUP(Tabla3[[#This Row],[Grado]],[2]Cuotas!$A:$E,3,0)</f>
        <v>#N/A</v>
      </c>
      <c r="R101" s="247"/>
      <c r="S101" s="206" t="e">
        <f>Tabla3[[#This Row],[Monto Colegiatura]]*Tabla3[[#This Row],[% Beca Colegio 16-17]]</f>
        <v>#N/A</v>
      </c>
      <c r="T101" s="218"/>
      <c r="U101" s="218" t="e">
        <f>Tabla3[[#This Row],[Monto Colegiatura]]*Tabla3[[#This Row],[% Beca Prestación 16-17]]</f>
        <v>#N/A</v>
      </c>
      <c r="V101" s="219">
        <v>0.3</v>
      </c>
      <c r="W101" s="206" t="e">
        <f>Tabla3[[#This Row],[Monto Colegiatura]]*Tabla3[[#This Row],[% Beca Comunidad 16-17]]</f>
        <v>#N/A</v>
      </c>
      <c r="X101" s="218" t="e">
        <f>Tabla3[[#This Row],[Cantidad Beca Comunidad 16-17]]*25%</f>
        <v>#N/A</v>
      </c>
      <c r="Y101" s="218"/>
      <c r="Z101" s="218" t="e">
        <f>Tabla3[[#This Row],[Monto Colegiatura]]*Tabla3[[#This Row],[% Beca UNAM 16-17]]</f>
        <v>#N/A</v>
      </c>
      <c r="AA101" s="219"/>
      <c r="AB101" s="218" t="e">
        <f>Tabla3[[#This Row],[Monto Reinscripción]]*Tabla3[[#This Row],[% Beca Reinscripción 16-17]]</f>
        <v>#N/A</v>
      </c>
      <c r="AC101" s="218"/>
      <c r="AD101" s="218" t="e">
        <f>Tabla3[[#This Row],[Monto Canasta]]*Tabla3[[#This Row],[% Beca Canasta 16-17]]</f>
        <v>#N/A</v>
      </c>
      <c r="AE101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01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01" s="209" t="e">
        <f>VLOOKUP(Tabla3[[#This Row],[Nombre del Alumno]],[2]!Tabla1[[Alumno]:[Cuenta Ciclos]],2,0)</f>
        <v>#REF!</v>
      </c>
      <c r="AH101" s="210" t="s">
        <v>695</v>
      </c>
      <c r="AI101" s="211" t="s">
        <v>291</v>
      </c>
      <c r="AJ101" s="206" t="e">
        <f>VLOOKUP(Tabla3[[#This Row],[Grado 17-18]],[2]Cuotas!$H:$L,2,0)</f>
        <v>#N/A</v>
      </c>
      <c r="AK101" s="206" t="e">
        <f>VLOOKUP(Tabla3[[#This Row],[Grado 17-18]],[2]Cuotas!$H:$L,3,0)</f>
        <v>#N/A</v>
      </c>
      <c r="AL101" s="206" t="e">
        <f>VLOOKUP(Tabla3[[#This Row],[Grado 17-18]],[2]Cuotas!$H:$L,4,0)</f>
        <v>#N/A</v>
      </c>
      <c r="AM101" s="223"/>
      <c r="AN101" s="252"/>
      <c r="AO101" s="206" t="e">
        <f>Tabla3[[#This Row],[Monto Colegiatura ]]*Tabla3[[#This Row],[% AutorizadoBeca Colegiatura 17-18]]</f>
        <v>#N/A</v>
      </c>
      <c r="AP101" s="219"/>
      <c r="AQ101" s="206" t="e">
        <f>Tabla3[[#This Row],[Monto Colegiatura ]]*Tabla3[[#This Row],[% Beca Prestacion 17-18]]</f>
        <v>#N/A</v>
      </c>
      <c r="AR101" s="219"/>
      <c r="AS101" s="206" t="e">
        <f>Tabla3[[#This Row],[Canasta]]*Tabla3[[#This Row],[% Beca Canasta 17-18]]</f>
        <v>#N/A</v>
      </c>
      <c r="AT101" s="219"/>
      <c r="AU101" s="253">
        <v>0</v>
      </c>
      <c r="AV101" s="206" t="e">
        <f>Tabla3[[#This Row],[Cantidad Beca Comunidad Colegiatura 17-18]]*25%</f>
        <v>#N/A</v>
      </c>
      <c r="AW101" s="206"/>
      <c r="AX101" s="254"/>
      <c r="AY101" s="206" t="e">
        <f>Tabla3[[#This Row],[Monto Colegiatura ]]*Tabla3[[#This Row],[% Beca UNAM 17-18]]</f>
        <v>#N/A</v>
      </c>
      <c r="AZ101" s="218"/>
      <c r="BA101" s="224">
        <f>3200*Tabla3[[#This Row],[% Beca Reinscripciones UNAM 17-18]]</f>
        <v>0</v>
      </c>
      <c r="BB101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01" s="217">
        <v>0.3</v>
      </c>
      <c r="BD101" s="218" t="e">
        <f>Tabla3[[#This Row],[Monto Colegiatura ]]*Tabla3[[#This Row],[% Beca Comunidad 17-18]]</f>
        <v>#N/A</v>
      </c>
      <c r="BE101" s="218" t="e">
        <f>Tabla3[[#This Row],[Cantidad Beca Comunidad Colegiatura 17-18]]*75%</f>
        <v>#N/A</v>
      </c>
      <c r="BF101" s="219"/>
      <c r="BG101" s="218" t="e">
        <f>Tabla3[[#This Row],[Reinscripción]]*Tabla3[[#This Row],[% Beca Reinscripciones Comunidad 18-19]]</f>
        <v>#N/A</v>
      </c>
      <c r="BH101" s="218" t="e">
        <f>Tabla3[[#This Row],[Cantidad Beca Reinscripciones Comunidad 18-19]]*70%</f>
        <v>#N/A</v>
      </c>
      <c r="BI101" s="224" t="e">
        <f>Tabla3[[#This Row],[75% Cantidad Beca Comunidad Colegiatura 17-18]]+Tabla3[[#This Row],[70% Cantidad Beca Reinscripciones 18-19]]</f>
        <v>#N/A</v>
      </c>
      <c r="BJ101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01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01" s="255"/>
      <c r="BM101" s="225"/>
      <c r="BN101" s="221"/>
      <c r="BO101" s="107"/>
      <c r="BP101" s="107">
        <f>Tabla3[[#This Row],[% AutorizadoBeca Colegiatura 17-18]]+Tabla3[[#This Row],[% Beca Prestacion 17-18]]+Tabla3[[#This Row],[% Beca UNAM 17-18]]</f>
        <v>0</v>
      </c>
      <c r="BQ101" s="108">
        <f t="shared" si="3"/>
        <v>0</v>
      </c>
      <c r="BR101" s="107">
        <f>Tabla3[[#This Row],[% Beca Comunidad 17-18]]</f>
        <v>0.3</v>
      </c>
      <c r="BS101" s="108">
        <f t="shared" si="4"/>
        <v>344.09999999999997</v>
      </c>
      <c r="BT101" s="108">
        <f t="shared" si="5"/>
        <v>86.024999999999991</v>
      </c>
      <c r="BU101" s="108">
        <f>Tabla3[[#This Row],[Monto3]]*75%</f>
        <v>258.07499999999999</v>
      </c>
      <c r="BV101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01" s="107" t="e">
        <f>VLOOKUP(Tabla3[[#This Row],[Nombre del Alumno]],'[3]BECAS COLEGIATURAS'!$I:$N,6,0)</f>
        <v>#N/A</v>
      </c>
      <c r="BX101" s="107" t="e">
        <f>VLOOKUP(Tabla3[[#This Row],[Nombre del Alumno]],[1]!Tabla1[[NOMBRE DEL ALUMNO]:[MATRIZ]],6,0)</f>
        <v>#REF!</v>
      </c>
      <c r="BY101" s="107" t="e">
        <f>VLOOKUP(Tabla3[[#This Row],[Nombre del Alumno]],'[3]BECAS COLEGIATURAS'!$I:$L,4,0)</f>
        <v>#N/A</v>
      </c>
      <c r="BZ101" s="108" t="e">
        <f>VLOOKUP(Tabla3[[#This Row],[Grado 18-19]],[2]Cuotas!$Q:$U,2,0)</f>
        <v>#N/A</v>
      </c>
      <c r="CA101" s="108" t="e">
        <f>VLOOKUP(Tabla3[[#This Row],[Grado 18-19]],[2]Cuotas!$Q:$U,3,0)</f>
        <v>#N/A</v>
      </c>
      <c r="CB101" s="108" t="e">
        <f>VLOOKUP(Tabla3[[#This Row],[Grado 18-19]],[2]Cuotas!$Q:$U,4,0)</f>
        <v>#N/A</v>
      </c>
      <c r="CC101" s="107">
        <v>0</v>
      </c>
      <c r="CD101" s="222"/>
      <c r="CE101" s="218" t="e">
        <f>Tabla3[[#This Row],[Monto Colegiatura 2018-2019]]*Tabla3[[#This Row],[% AutorizadoBeca Colegiatura 18-19]]</f>
        <v>#N/A</v>
      </c>
      <c r="CF101" s="223"/>
      <c r="CG101" s="218" t="e">
        <f>Tabla3[[#This Row],[Monto Colegiatura 2018-2019]]*Tabla3[[#This Row],[% Beca Prestacion 18-19]]</f>
        <v>#N/A</v>
      </c>
      <c r="CH101" s="223"/>
      <c r="CI101" s="218" t="e">
        <f>Tabla3[[#This Row],[Canasta 2018-2019]]*Tabla3[[#This Row],[% Beca Canasta 18-19]]</f>
        <v>#N/A</v>
      </c>
      <c r="CJ101" s="223"/>
      <c r="CK101" s="218" t="e">
        <f>Tabla3[[#This Row],[Reinscripción 2019-2020]]*Tabla3[[#This Row],[% Beca Reinscripciones 19-20]]</f>
        <v>#N/A</v>
      </c>
      <c r="CL101" s="218" t="e">
        <f>Tabla3[[#This Row],[Cantidad Beca Comunidad Colegiatura 18-19]]*25%</f>
        <v>#N/A</v>
      </c>
      <c r="CM101" s="224" t="e">
        <f>Tabla3[[#This Row],[Cantidad Beca Reinscripciones Comunidad 19-20]]*25%</f>
        <v>#N/A</v>
      </c>
      <c r="CN101" s="222"/>
      <c r="CO101" s="218" t="e">
        <f>Tabla3[[#This Row],[Monto Colegiatura 2018-2019]]*Tabla3[[#This Row],[% Beca UNAM 18-19]]</f>
        <v>#N/A</v>
      </c>
      <c r="CP101" s="225"/>
      <c r="CQ101" s="224">
        <f>3328*Tabla3[[#This Row],[% Beca Reinscripciones UNAM 18-19]]</f>
        <v>0</v>
      </c>
      <c r="CR101" s="226" t="e">
        <f>Tabla3[[#This Row],[Cantidad Beca Colegiatura 18-19]]+Tabla3[[#This Row],[Cantidad Beca Canasta 18-19]]+Tabla3[[#This Row],[Cantidad Beca Reinscripciones 19-20]]</f>
        <v>#N/A</v>
      </c>
      <c r="CS101" s="222">
        <v>0.6</v>
      </c>
      <c r="CT101" s="218" t="e">
        <f>Tabla3[[#This Row],[Monto Colegiatura 2018-2019]]*Tabla3[[#This Row],[% Beca Comunidad 18-19]]</f>
        <v>#N/A</v>
      </c>
      <c r="CU101" s="218" t="e">
        <f>Tabla3[[#This Row],[Cantidad Beca Comunidad Colegiatura 18-19]]*75%</f>
        <v>#N/A</v>
      </c>
      <c r="CV101" s="223"/>
      <c r="CW101" s="218" t="e">
        <f>Tabla3[[#This Row],[Reinscripción 2019-2020]]*Tabla3[[#This Row],[% Beca Reinscripciones Comunidad 19-20]]</f>
        <v>#N/A</v>
      </c>
      <c r="CX101" s="218" t="e">
        <f>Tabla3[[#This Row],[Cantidad Beca Reinscripciones Comunidad 19-20]]*75%</f>
        <v>#N/A</v>
      </c>
      <c r="CY101" s="227" t="e">
        <f>Tabla3[[#This Row],[75% Cantidad Beca Comunidad Colegiatura 18-19]]+Tabla3[[#This Row],[75% Cantidad Beca Reinscripciones 19-20]]</f>
        <v>#N/A</v>
      </c>
      <c r="CZ101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01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01" s="108">
        <f>1440*(Tabla3[[#This Row],[% AutorizadoBeca Colegiatura 18-19]]+Tabla3[[#This Row],[% Beca Prestacion 18-19]]+Tabla3[[#This Row],[% Beca UNAM 18-19]]+Tabla3[[#This Row],[% Beca Comunidad 18-19]])</f>
        <v>864</v>
      </c>
    </row>
    <row r="102" spans="2:106" ht="15" customHeight="1" x14ac:dyDescent="0.2">
      <c r="B102" s="107" t="s">
        <v>696</v>
      </c>
      <c r="C102" s="107" t="e">
        <f>VLOOKUP(Tabla3[[#This Row],[Nombre del Padre]],[1]!Tabla1[[PADRE]:[PADRE_CELULAR]],2,0)</f>
        <v>#REF!</v>
      </c>
      <c r="D102" s="107" t="e">
        <f>VLOOKUP(Tabla3[[#This Row],[Nombre del Padre]],[1]!Tabla1[[PADRE]:[PADRE_CELULAR]],3,0)</f>
        <v>#REF!</v>
      </c>
      <c r="E102" s="107" t="s">
        <v>697</v>
      </c>
      <c r="F102" s="107" t="e">
        <f>VLOOKUP(Tabla3[[#This Row],[Nombre de la Madre]],[1]!Tabla1[[MADRE]:[MADRE_TELEFONO]],2,0)</f>
        <v>#REF!</v>
      </c>
      <c r="G102" s="202" t="e">
        <f>VLOOKUP(Tabla3[[#This Row],[Nombre de la Madre]],[1]!Tabla1[[MADRE]:[MADRE_TELEFONO]],3,0)</f>
        <v>#REF!</v>
      </c>
      <c r="H102" s="230">
        <v>57</v>
      </c>
      <c r="I102" s="225">
        <v>1535</v>
      </c>
      <c r="J102" s="225" t="s">
        <v>698</v>
      </c>
      <c r="K102" s="225" t="s">
        <v>420</v>
      </c>
      <c r="L102" s="225" t="s">
        <v>699</v>
      </c>
      <c r="M102" s="205" t="s">
        <v>700</v>
      </c>
      <c r="N102" s="204" t="s">
        <v>284</v>
      </c>
      <c r="O102" s="218" t="e">
        <f>VLOOKUP(Tabla3[[#This Row],[Grado]],[2]Cuotas!$A:$E,2,0)</f>
        <v>#N/A</v>
      </c>
      <c r="P102" s="218" t="e">
        <f>VLOOKUP(Tabla3[[#This Row],[Grado]],[2]Cuotas!$A:$E,4,0)</f>
        <v>#N/A</v>
      </c>
      <c r="Q102" s="218" t="e">
        <f>VLOOKUP(Tabla3[[#This Row],[Grado]],[2]Cuotas!$A:$E,3,0)</f>
        <v>#N/A</v>
      </c>
      <c r="R102" s="247">
        <v>0.7</v>
      </c>
      <c r="S102" s="206" t="e">
        <f>Tabla3[[#This Row],[Monto Colegiatura]]*Tabla3[[#This Row],[% Beca Colegio 16-17]]</f>
        <v>#N/A</v>
      </c>
      <c r="T102" s="218"/>
      <c r="U102" s="218" t="e">
        <f>Tabla3[[#This Row],[Monto Colegiatura]]*Tabla3[[#This Row],[% Beca Prestación 16-17]]</f>
        <v>#N/A</v>
      </c>
      <c r="V102" s="219"/>
      <c r="W102" s="206" t="e">
        <f>Tabla3[[#This Row],[Monto Colegiatura]]*Tabla3[[#This Row],[% Beca Comunidad 16-17]]</f>
        <v>#N/A</v>
      </c>
      <c r="X102" s="218" t="e">
        <f>Tabla3[[#This Row],[Cantidad Beca Comunidad 16-17]]*25%</f>
        <v>#N/A</v>
      </c>
      <c r="Y102" s="218"/>
      <c r="Z102" s="218" t="e">
        <f>Tabla3[[#This Row],[Monto Colegiatura]]*Tabla3[[#This Row],[% Beca UNAM 16-17]]</f>
        <v>#N/A</v>
      </c>
      <c r="AA102" s="219"/>
      <c r="AB102" s="218" t="e">
        <f>Tabla3[[#This Row],[Monto Reinscripción]]*Tabla3[[#This Row],[% Beca Reinscripción 16-17]]</f>
        <v>#N/A</v>
      </c>
      <c r="AC102" s="218"/>
      <c r="AD102" s="218" t="e">
        <f>Tabla3[[#This Row],[Monto Canasta]]*Tabla3[[#This Row],[% Beca Canasta 16-17]]</f>
        <v>#N/A</v>
      </c>
      <c r="AE102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02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02" s="209" t="e">
        <f>VLOOKUP(Tabla3[[#This Row],[Nombre del Alumno]],[2]!Tabla1[[Alumno]:[Cuenta Ciclos]],2,0)</f>
        <v>#REF!</v>
      </c>
      <c r="AH102" s="210" t="s">
        <v>701</v>
      </c>
      <c r="AI102" s="211" t="s">
        <v>330</v>
      </c>
      <c r="AJ102" s="206" t="e">
        <f>VLOOKUP(Tabla3[[#This Row],[Grado 17-18]],[2]Cuotas!$H:$L,2,0)</f>
        <v>#N/A</v>
      </c>
      <c r="AK102" s="206">
        <v>2573.7919999999999</v>
      </c>
      <c r="AL102" s="206" t="e">
        <f>VLOOKUP(Tabla3[[#This Row],[Grado 17-18]],[2]Cuotas!$H:$L,4,0)</f>
        <v>#N/A</v>
      </c>
      <c r="AM102" s="251">
        <v>0.7</v>
      </c>
      <c r="AN102" s="252">
        <v>0.6</v>
      </c>
      <c r="AO102" s="206" t="e">
        <f>Tabla3[[#This Row],[Monto Colegiatura ]]*Tabla3[[#This Row],[% AutorizadoBeca Colegiatura 17-18]]</f>
        <v>#N/A</v>
      </c>
      <c r="AP102" s="219"/>
      <c r="AQ102" s="206" t="e">
        <f>Tabla3[[#This Row],[Monto Colegiatura ]]*Tabla3[[#This Row],[% Beca Prestacion 17-18]]</f>
        <v>#N/A</v>
      </c>
      <c r="AR102" s="219"/>
      <c r="AS102" s="206" t="e">
        <f>Tabla3[[#This Row],[Canasta]]*Tabla3[[#This Row],[% Beca Canasta 17-18]]</f>
        <v>#N/A</v>
      </c>
      <c r="AT102" s="219"/>
      <c r="AU102" s="253">
        <v>0</v>
      </c>
      <c r="AV102" s="206" t="e">
        <f>Tabla3[[#This Row],[Cantidad Beca Comunidad Colegiatura 17-18]]*25%</f>
        <v>#N/A</v>
      </c>
      <c r="AW102" s="206"/>
      <c r="AX102" s="254"/>
      <c r="AY102" s="206" t="e">
        <f>Tabla3[[#This Row],[Monto Colegiatura ]]*Tabla3[[#This Row],[% Beca UNAM 17-18]]</f>
        <v>#N/A</v>
      </c>
      <c r="AZ102" s="218"/>
      <c r="BA102" s="224">
        <f>3200*Tabla3[[#This Row],[% Beca Reinscripciones UNAM 17-18]]</f>
        <v>0</v>
      </c>
      <c r="BB102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02" s="231"/>
      <c r="BD102" s="218" t="e">
        <f>Tabla3[[#This Row],[Monto Colegiatura ]]*Tabla3[[#This Row],[% Beca Comunidad 17-18]]</f>
        <v>#N/A</v>
      </c>
      <c r="BE102" s="218" t="e">
        <f>Tabla3[[#This Row],[Cantidad Beca Comunidad Colegiatura 17-18]]*75%</f>
        <v>#N/A</v>
      </c>
      <c r="BF102" s="219"/>
      <c r="BG102" s="218">
        <f>Tabla3[[#This Row],[Reinscripción]]*Tabla3[[#This Row],[% Beca Reinscripciones Comunidad 18-19]]</f>
        <v>0</v>
      </c>
      <c r="BH102" s="218">
        <f>Tabla3[[#This Row],[Cantidad Beca Reinscripciones Comunidad 18-19]]*70%</f>
        <v>0</v>
      </c>
      <c r="BI102" s="224" t="e">
        <f>Tabla3[[#This Row],[75% Cantidad Beca Comunidad Colegiatura 17-18]]+Tabla3[[#This Row],[70% Cantidad Beca Reinscripciones 18-19]]</f>
        <v>#N/A</v>
      </c>
      <c r="BJ102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02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02" s="255"/>
      <c r="BM102" s="225"/>
      <c r="BN102" s="248">
        <v>0.6</v>
      </c>
      <c r="BO102" s="107"/>
      <c r="BP102" s="107">
        <f>Tabla3[[#This Row],[% AutorizadoBeca Colegiatura 17-18]]+Tabla3[[#This Row],[% Beca Prestacion 17-18]]+Tabla3[[#This Row],[% Beca UNAM 17-18]]</f>
        <v>0.6</v>
      </c>
      <c r="BQ102" s="108">
        <f t="shared" si="3"/>
        <v>688.19999999999993</v>
      </c>
      <c r="BR102" s="107">
        <f>Tabla3[[#This Row],[% Beca Comunidad 17-18]]</f>
        <v>0</v>
      </c>
      <c r="BS102" s="108">
        <f t="shared" si="4"/>
        <v>0</v>
      </c>
      <c r="BT102" s="108">
        <f t="shared" si="5"/>
        <v>0</v>
      </c>
      <c r="BU102" s="108">
        <f>Tabla3[[#This Row],[Monto3]]*75%</f>
        <v>0</v>
      </c>
      <c r="BV102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02" s="107" t="e">
        <f>VLOOKUP(Tabla3[[#This Row],[Nombre del Alumno]],'[3]BECAS COLEGIATURAS'!$I:$N,6,0)</f>
        <v>#N/A</v>
      </c>
      <c r="BX102" s="107" t="e">
        <f>VLOOKUP(Tabla3[[#This Row],[Nombre del Alumno]],[1]!Tabla1[[NOMBRE DEL ALUMNO]:[MATRIZ]],6,0)</f>
        <v>#REF!</v>
      </c>
      <c r="BY102" s="107" t="e">
        <f>VLOOKUP(Tabla3[[#This Row],[Nombre del Alumno]],'[3]BECAS COLEGIATURAS'!$I:$L,4,0)</f>
        <v>#N/A</v>
      </c>
      <c r="BZ102" s="108" t="e">
        <f>VLOOKUP(Tabla3[[#This Row],[Grado 18-19]],[2]Cuotas!$Q:$U,2,0)</f>
        <v>#N/A</v>
      </c>
      <c r="CA102" s="108" t="e">
        <f>VLOOKUP(Tabla3[[#This Row],[Grado 18-19]],[2]Cuotas!$Q:$U,3,0)</f>
        <v>#N/A</v>
      </c>
      <c r="CB102" s="108" t="e">
        <f>VLOOKUP(Tabla3[[#This Row],[Grado 18-19]],[2]Cuotas!$Q:$U,4,0)</f>
        <v>#N/A</v>
      </c>
      <c r="CC102" s="107">
        <v>70</v>
      </c>
      <c r="CD102" s="217">
        <v>0.67830000000000001</v>
      </c>
      <c r="CE102" s="218" t="e">
        <f>Tabla3[[#This Row],[Monto Colegiatura 2018-2019]]*Tabla3[[#This Row],[% AutorizadoBeca Colegiatura 18-19]]</f>
        <v>#N/A</v>
      </c>
      <c r="CF102" s="223"/>
      <c r="CG102" s="218" t="e">
        <f>Tabla3[[#This Row],[Monto Colegiatura 2018-2019]]*Tabla3[[#This Row],[% Beca Prestacion 18-19]]</f>
        <v>#N/A</v>
      </c>
      <c r="CH102" s="223"/>
      <c r="CI102" s="218" t="e">
        <f>Tabla3[[#This Row],[Canasta 2018-2019]]*Tabla3[[#This Row],[% Beca Canasta 18-19]]</f>
        <v>#N/A</v>
      </c>
      <c r="CJ102" s="223"/>
      <c r="CK102" s="218" t="e">
        <f>Tabla3[[#This Row],[Reinscripción 2019-2020]]*Tabla3[[#This Row],[% Beca Reinscripciones 19-20]]</f>
        <v>#N/A</v>
      </c>
      <c r="CL102" s="218" t="e">
        <f>Tabla3[[#This Row],[Cantidad Beca Comunidad Colegiatura 18-19]]*25%</f>
        <v>#N/A</v>
      </c>
      <c r="CM102" s="224" t="e">
        <f>Tabla3[[#This Row],[Cantidad Beca Reinscripciones Comunidad 19-20]]*25%</f>
        <v>#N/A</v>
      </c>
      <c r="CN102" s="222"/>
      <c r="CO102" s="218" t="e">
        <f>Tabla3[[#This Row],[Monto Colegiatura 2018-2019]]*Tabla3[[#This Row],[% Beca UNAM 18-19]]</f>
        <v>#N/A</v>
      </c>
      <c r="CP102" s="225"/>
      <c r="CQ102" s="224">
        <f>3328*Tabla3[[#This Row],[% Beca Reinscripciones UNAM 18-19]]</f>
        <v>0</v>
      </c>
      <c r="CR102" s="226" t="e">
        <f>Tabla3[[#This Row],[Cantidad Beca Colegiatura 18-19]]+Tabla3[[#This Row],[Cantidad Beca Canasta 18-19]]+Tabla3[[#This Row],[Cantidad Beca Reinscripciones 19-20]]</f>
        <v>#N/A</v>
      </c>
      <c r="CS102" s="222"/>
      <c r="CT102" s="218" t="e">
        <f>Tabla3[[#This Row],[Monto Colegiatura 2018-2019]]*Tabla3[[#This Row],[% Beca Comunidad 18-19]]</f>
        <v>#N/A</v>
      </c>
      <c r="CU102" s="218" t="e">
        <f>Tabla3[[#This Row],[Cantidad Beca Comunidad Colegiatura 18-19]]*75%</f>
        <v>#N/A</v>
      </c>
      <c r="CV102" s="223"/>
      <c r="CW102" s="218" t="e">
        <f>Tabla3[[#This Row],[Reinscripción 2019-2020]]*Tabla3[[#This Row],[% Beca Reinscripciones Comunidad 19-20]]</f>
        <v>#N/A</v>
      </c>
      <c r="CX102" s="218" t="e">
        <f>Tabla3[[#This Row],[Cantidad Beca Reinscripciones Comunidad 19-20]]*75%</f>
        <v>#N/A</v>
      </c>
      <c r="CY102" s="227" t="e">
        <f>Tabla3[[#This Row],[75% Cantidad Beca Comunidad Colegiatura 18-19]]+Tabla3[[#This Row],[75% Cantidad Beca Reinscripciones 19-20]]</f>
        <v>#N/A</v>
      </c>
      <c r="CZ102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02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02" s="108">
        <f>1440*(Tabla3[[#This Row],[% AutorizadoBeca Colegiatura 18-19]]+Tabla3[[#This Row],[% Beca Prestacion 18-19]]+Tabla3[[#This Row],[% Beca UNAM 18-19]]+Tabla3[[#This Row],[% Beca Comunidad 18-19]])</f>
        <v>976.75200000000007</v>
      </c>
    </row>
    <row r="103" spans="2:106" ht="15" customHeight="1" x14ac:dyDescent="0.2">
      <c r="B103" s="107" t="s">
        <v>696</v>
      </c>
      <c r="C103" s="107" t="e">
        <f>VLOOKUP(Tabla3[[#This Row],[Nombre del Padre]],[1]!Tabla1[[PADRE]:[PADRE_CELULAR]],2,0)</f>
        <v>#REF!</v>
      </c>
      <c r="D103" s="107" t="e">
        <f>VLOOKUP(Tabla3[[#This Row],[Nombre del Padre]],[1]!Tabla1[[PADRE]:[PADRE_CELULAR]],3,0)</f>
        <v>#REF!</v>
      </c>
      <c r="E103" s="107" t="s">
        <v>697</v>
      </c>
      <c r="F103" s="107" t="e">
        <f>VLOOKUP(Tabla3[[#This Row],[Nombre de la Madre]],[1]!Tabla1[[MADRE]:[MADRE_TELEFONO]],2,0)</f>
        <v>#REF!</v>
      </c>
      <c r="G103" s="202" t="e">
        <f>VLOOKUP(Tabla3[[#This Row],[Nombre de la Madre]],[1]!Tabla1[[MADRE]:[MADRE_TELEFONO]],3,0)</f>
        <v>#REF!</v>
      </c>
      <c r="H103" s="230"/>
      <c r="I103" s="225">
        <v>1535</v>
      </c>
      <c r="J103" s="225" t="s">
        <v>698</v>
      </c>
      <c r="K103" s="225" t="s">
        <v>420</v>
      </c>
      <c r="L103" s="225" t="s">
        <v>702</v>
      </c>
      <c r="M103" s="205" t="s">
        <v>703</v>
      </c>
      <c r="N103" s="204" t="s">
        <v>291</v>
      </c>
      <c r="O103" s="218" t="e">
        <f>VLOOKUP(Tabla3[[#This Row],[Grado]],[2]Cuotas!$A:$E,2,0)</f>
        <v>#N/A</v>
      </c>
      <c r="P103" s="218" t="e">
        <f>VLOOKUP(Tabla3[[#This Row],[Grado]],[2]Cuotas!$A:$E,4,0)</f>
        <v>#N/A</v>
      </c>
      <c r="Q103" s="218" t="e">
        <f>VLOOKUP(Tabla3[[#This Row],[Grado]],[2]Cuotas!$A:$E,3,0)</f>
        <v>#N/A</v>
      </c>
      <c r="R103" s="247">
        <v>0.7</v>
      </c>
      <c r="S103" s="206" t="e">
        <f>Tabla3[[#This Row],[Monto Colegiatura]]*Tabla3[[#This Row],[% Beca Colegio 16-17]]</f>
        <v>#N/A</v>
      </c>
      <c r="T103" s="218"/>
      <c r="U103" s="218" t="e">
        <f>Tabla3[[#This Row],[Monto Colegiatura]]*Tabla3[[#This Row],[% Beca Prestación 16-17]]</f>
        <v>#N/A</v>
      </c>
      <c r="V103" s="219"/>
      <c r="W103" s="206" t="e">
        <f>Tabla3[[#This Row],[Monto Colegiatura]]*Tabla3[[#This Row],[% Beca Comunidad 16-17]]</f>
        <v>#N/A</v>
      </c>
      <c r="X103" s="218" t="e">
        <f>Tabla3[[#This Row],[Cantidad Beca Comunidad 16-17]]*25%</f>
        <v>#N/A</v>
      </c>
      <c r="Y103" s="218"/>
      <c r="Z103" s="218" t="e">
        <f>Tabla3[[#This Row],[Monto Colegiatura]]*Tabla3[[#This Row],[% Beca UNAM 16-17]]</f>
        <v>#N/A</v>
      </c>
      <c r="AA103" s="219"/>
      <c r="AB103" s="218" t="e">
        <f>Tabla3[[#This Row],[Monto Reinscripción]]*Tabla3[[#This Row],[% Beca Reinscripción 16-17]]</f>
        <v>#N/A</v>
      </c>
      <c r="AC103" s="218"/>
      <c r="AD103" s="218" t="e">
        <f>Tabla3[[#This Row],[Monto Canasta]]*Tabla3[[#This Row],[% Beca Canasta 16-17]]</f>
        <v>#N/A</v>
      </c>
      <c r="AE103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03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03" s="209" t="e">
        <f>VLOOKUP(Tabla3[[#This Row],[Nombre del Alumno]],[2]!Tabla1[[Alumno]:[Cuenta Ciclos]],2,0)</f>
        <v>#REF!</v>
      </c>
      <c r="AH103" s="210" t="s">
        <v>704</v>
      </c>
      <c r="AI103" s="211" t="s">
        <v>409</v>
      </c>
      <c r="AJ103" s="206" t="e">
        <f>VLOOKUP(Tabla3[[#This Row],[Grado 17-18]],[2]Cuotas!$H:$L,2,0)</f>
        <v>#N/A</v>
      </c>
      <c r="AK103" s="206" t="e">
        <f>VLOOKUP(Tabla3[[#This Row],[Grado 17-18]],[2]Cuotas!$H:$L,3,0)</f>
        <v>#N/A</v>
      </c>
      <c r="AL103" s="206" t="e">
        <f>VLOOKUP(Tabla3[[#This Row],[Grado 17-18]],[2]Cuotas!$H:$L,4,0)</f>
        <v>#N/A</v>
      </c>
      <c r="AM103" s="251">
        <v>0.7</v>
      </c>
      <c r="AN103" s="252">
        <v>0.6</v>
      </c>
      <c r="AO103" s="206" t="e">
        <f>Tabla3[[#This Row],[Monto Colegiatura ]]*Tabla3[[#This Row],[% AutorizadoBeca Colegiatura 17-18]]</f>
        <v>#N/A</v>
      </c>
      <c r="AP103" s="219"/>
      <c r="AQ103" s="206" t="e">
        <f>Tabla3[[#This Row],[Monto Colegiatura ]]*Tabla3[[#This Row],[% Beca Prestacion 17-18]]</f>
        <v>#N/A</v>
      </c>
      <c r="AR103" s="219"/>
      <c r="AS103" s="206" t="e">
        <f>Tabla3[[#This Row],[Canasta]]*Tabla3[[#This Row],[% Beca Canasta 17-18]]</f>
        <v>#N/A</v>
      </c>
      <c r="AT103" s="219"/>
      <c r="AU103" s="253">
        <v>0</v>
      </c>
      <c r="AV103" s="206" t="e">
        <f>Tabla3[[#This Row],[Cantidad Beca Comunidad Colegiatura 17-18]]*25%</f>
        <v>#N/A</v>
      </c>
      <c r="AW103" s="206"/>
      <c r="AX103" s="254"/>
      <c r="AY103" s="206" t="e">
        <f>Tabla3[[#This Row],[Monto Colegiatura ]]*Tabla3[[#This Row],[% Beca UNAM 17-18]]</f>
        <v>#N/A</v>
      </c>
      <c r="AZ103" s="218"/>
      <c r="BA103" s="224">
        <f>3200*Tabla3[[#This Row],[% Beca Reinscripciones UNAM 17-18]]</f>
        <v>0</v>
      </c>
      <c r="BB103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03" s="231"/>
      <c r="BD103" s="218" t="e">
        <f>Tabla3[[#This Row],[Monto Colegiatura ]]*Tabla3[[#This Row],[% Beca Comunidad 17-18]]</f>
        <v>#N/A</v>
      </c>
      <c r="BE103" s="218" t="e">
        <f>Tabla3[[#This Row],[Cantidad Beca Comunidad Colegiatura 17-18]]*75%</f>
        <v>#N/A</v>
      </c>
      <c r="BF103" s="219"/>
      <c r="BG103" s="218" t="e">
        <f>Tabla3[[#This Row],[Reinscripción]]*Tabla3[[#This Row],[% Beca Reinscripciones Comunidad 18-19]]</f>
        <v>#N/A</v>
      </c>
      <c r="BH103" s="218" t="e">
        <f>Tabla3[[#This Row],[Cantidad Beca Reinscripciones Comunidad 18-19]]*70%</f>
        <v>#N/A</v>
      </c>
      <c r="BI103" s="224" t="e">
        <f>Tabla3[[#This Row],[75% Cantidad Beca Comunidad Colegiatura 17-18]]+Tabla3[[#This Row],[70% Cantidad Beca Reinscripciones 18-19]]</f>
        <v>#N/A</v>
      </c>
      <c r="BJ103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03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03" s="255"/>
      <c r="BM103" s="225"/>
      <c r="BN103" s="248">
        <v>0.6</v>
      </c>
      <c r="BO103" s="107"/>
      <c r="BP103" s="107">
        <f>Tabla3[[#This Row],[% AutorizadoBeca Colegiatura 17-18]]+Tabla3[[#This Row],[% Beca Prestacion 17-18]]+Tabla3[[#This Row],[% Beca UNAM 17-18]]</f>
        <v>0.6</v>
      </c>
      <c r="BQ103" s="108">
        <f t="shared" si="3"/>
        <v>688.19999999999993</v>
      </c>
      <c r="BR103" s="107">
        <f>Tabla3[[#This Row],[% Beca Comunidad 17-18]]</f>
        <v>0</v>
      </c>
      <c r="BS103" s="108">
        <f t="shared" si="4"/>
        <v>0</v>
      </c>
      <c r="BT103" s="108">
        <f t="shared" si="5"/>
        <v>0</v>
      </c>
      <c r="BU103" s="108">
        <f>Tabla3[[#This Row],[Monto3]]*75%</f>
        <v>0</v>
      </c>
      <c r="BV103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03" s="107" t="e">
        <f>VLOOKUP(Tabla3[[#This Row],[Nombre del Alumno]],'[3]BECAS COLEGIATURAS'!$I:$N,6,0)</f>
        <v>#N/A</v>
      </c>
      <c r="BX103" s="107" t="e">
        <f>VLOOKUP(Tabla3[[#This Row],[Nombre del Alumno]],[1]!Tabla1[[NOMBRE DEL ALUMNO]:[MATRIZ]],6,0)</f>
        <v>#REF!</v>
      </c>
      <c r="BY103" s="107" t="e">
        <f>VLOOKUP(Tabla3[[#This Row],[Nombre del Alumno]],'[3]BECAS COLEGIATURAS'!$I:$L,4,0)</f>
        <v>#N/A</v>
      </c>
      <c r="BZ103" s="108" t="e">
        <f>VLOOKUP(Tabla3[[#This Row],[Grado 18-19]],[2]Cuotas!$Q:$U,2,0)</f>
        <v>#N/A</v>
      </c>
      <c r="CA103" s="108" t="e">
        <f>VLOOKUP(Tabla3[[#This Row],[Grado 18-19]],[2]Cuotas!$Q:$U,3,0)</f>
        <v>#N/A</v>
      </c>
      <c r="CB103" s="108" t="e">
        <f>VLOOKUP(Tabla3[[#This Row],[Grado 18-19]],[2]Cuotas!$Q:$U,4,0)</f>
        <v>#N/A</v>
      </c>
      <c r="CC103" s="107">
        <v>70</v>
      </c>
      <c r="CD103" s="222">
        <v>0.85</v>
      </c>
      <c r="CE103" s="218" t="e">
        <f>Tabla3[[#This Row],[Monto Colegiatura 2018-2019]]*Tabla3[[#This Row],[% AutorizadoBeca Colegiatura 18-19]]</f>
        <v>#N/A</v>
      </c>
      <c r="CF103" s="223"/>
      <c r="CG103" s="218" t="e">
        <f>Tabla3[[#This Row],[Monto Colegiatura 2018-2019]]*Tabla3[[#This Row],[% Beca Prestacion 18-19]]</f>
        <v>#N/A</v>
      </c>
      <c r="CH103" s="223"/>
      <c r="CI103" s="218" t="e">
        <f>Tabla3[[#This Row],[Canasta 2018-2019]]*Tabla3[[#This Row],[% Beca Canasta 18-19]]</f>
        <v>#N/A</v>
      </c>
      <c r="CJ103" s="223"/>
      <c r="CK103" s="218" t="e">
        <f>Tabla3[[#This Row],[Reinscripción 2019-2020]]*Tabla3[[#This Row],[% Beca Reinscripciones 19-20]]</f>
        <v>#N/A</v>
      </c>
      <c r="CL103" s="218" t="e">
        <f>Tabla3[[#This Row],[Cantidad Beca Comunidad Colegiatura 18-19]]*25%</f>
        <v>#N/A</v>
      </c>
      <c r="CM103" s="224" t="e">
        <f>Tabla3[[#This Row],[Cantidad Beca Reinscripciones Comunidad 19-20]]*25%</f>
        <v>#N/A</v>
      </c>
      <c r="CN103" s="222"/>
      <c r="CO103" s="218" t="e">
        <f>Tabla3[[#This Row],[Monto Colegiatura 2018-2019]]*Tabla3[[#This Row],[% Beca UNAM 18-19]]</f>
        <v>#N/A</v>
      </c>
      <c r="CP103" s="225"/>
      <c r="CQ103" s="224">
        <f>3328*Tabla3[[#This Row],[% Beca Reinscripciones UNAM 18-19]]</f>
        <v>0</v>
      </c>
      <c r="CR103" s="226" t="e">
        <f>Tabla3[[#This Row],[Cantidad Beca Colegiatura 18-19]]+Tabla3[[#This Row],[Cantidad Beca Canasta 18-19]]+Tabla3[[#This Row],[Cantidad Beca Reinscripciones 19-20]]</f>
        <v>#N/A</v>
      </c>
      <c r="CS103" s="222"/>
      <c r="CT103" s="218" t="e">
        <f>Tabla3[[#This Row],[Monto Colegiatura 2018-2019]]*Tabla3[[#This Row],[% Beca Comunidad 18-19]]</f>
        <v>#N/A</v>
      </c>
      <c r="CU103" s="218" t="e">
        <f>Tabla3[[#This Row],[Cantidad Beca Comunidad Colegiatura 18-19]]*75%</f>
        <v>#N/A</v>
      </c>
      <c r="CV103" s="223"/>
      <c r="CW103" s="218" t="e">
        <f>Tabla3[[#This Row],[Reinscripción 2019-2020]]*Tabla3[[#This Row],[% Beca Reinscripciones Comunidad 19-20]]</f>
        <v>#N/A</v>
      </c>
      <c r="CX103" s="218" t="e">
        <f>Tabla3[[#This Row],[Cantidad Beca Reinscripciones Comunidad 19-20]]*75%</f>
        <v>#N/A</v>
      </c>
      <c r="CY103" s="227" t="e">
        <f>Tabla3[[#This Row],[75% Cantidad Beca Comunidad Colegiatura 18-19]]+Tabla3[[#This Row],[75% Cantidad Beca Reinscripciones 19-20]]</f>
        <v>#N/A</v>
      </c>
      <c r="CZ103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03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03" s="108">
        <f>1440*(Tabla3[[#This Row],[% AutorizadoBeca Colegiatura 18-19]]+Tabla3[[#This Row],[% Beca Prestacion 18-19]]+Tabla3[[#This Row],[% Beca UNAM 18-19]]+Tabla3[[#This Row],[% Beca Comunidad 18-19]])</f>
        <v>1224</v>
      </c>
    </row>
    <row r="104" spans="2:106" ht="15" customHeight="1" x14ac:dyDescent="0.2">
      <c r="B104" s="107" t="s">
        <v>696</v>
      </c>
      <c r="C104" s="107" t="e">
        <f>VLOOKUP(Tabla3[[#This Row],[Nombre del Padre]],[1]!Tabla1[[PADRE]:[PADRE_CELULAR]],2,0)</f>
        <v>#REF!</v>
      </c>
      <c r="D104" s="107" t="e">
        <f>VLOOKUP(Tabla3[[#This Row],[Nombre del Padre]],[1]!Tabla1[[PADRE]:[PADRE_CELULAR]],3,0)</f>
        <v>#REF!</v>
      </c>
      <c r="E104" s="107" t="s">
        <v>697</v>
      </c>
      <c r="F104" s="107" t="e">
        <f>VLOOKUP(Tabla3[[#This Row],[Nombre de la Madre]],[1]!Tabla1[[MADRE]:[MADRE_TELEFONO]],2,0)</f>
        <v>#REF!</v>
      </c>
      <c r="G104" s="202" t="e">
        <f>VLOOKUP(Tabla3[[#This Row],[Nombre de la Madre]],[1]!Tabla1[[MADRE]:[MADRE_TELEFONO]],3,0)</f>
        <v>#REF!</v>
      </c>
      <c r="H104" s="228"/>
      <c r="I104" s="225">
        <v>1535</v>
      </c>
      <c r="J104" s="225" t="s">
        <v>698</v>
      </c>
      <c r="K104" s="225" t="s">
        <v>420</v>
      </c>
      <c r="L104" s="256" t="s">
        <v>705</v>
      </c>
      <c r="M104" s="205"/>
      <c r="N104" s="204"/>
      <c r="O104" s="257"/>
      <c r="P104" s="257"/>
      <c r="Q104" s="257"/>
      <c r="R104" s="258"/>
      <c r="S104" s="259"/>
      <c r="T104" s="257"/>
      <c r="U104" s="257">
        <f>Tabla3[[#This Row],[Monto Colegiatura]]*Tabla3[[#This Row],[% Beca Prestación 16-17]]</f>
        <v>0</v>
      </c>
      <c r="V104" s="260"/>
      <c r="W104" s="259"/>
      <c r="X104" s="257">
        <f>Tabla3[[#This Row],[Cantidad Beca Comunidad 16-17]]*25%</f>
        <v>0</v>
      </c>
      <c r="Y104" s="257"/>
      <c r="Z104" s="257">
        <f>Tabla3[[#This Row],[Monto Colegiatura]]*Tabla3[[#This Row],[% Beca UNAM 16-17]]</f>
        <v>0</v>
      </c>
      <c r="AA104" s="260" t="e">
        <f>VLOOKUP(Tabla3[[#This Row],[Nombre del Alumno]],'[4]BECAS REINSCRIPCIONES'!$B$9:$D$31,3,0)</f>
        <v>#N/A</v>
      </c>
      <c r="AB104" s="257" t="e">
        <f>Tabla3[[#This Row],[Monto Reinscripción]]*Tabla3[[#This Row],[% Beca Reinscripción 16-17]]</f>
        <v>#N/A</v>
      </c>
      <c r="AC104" s="219">
        <v>1</v>
      </c>
      <c r="AD104" s="257">
        <f>Tabla3[[#This Row],[Monto Canasta]]*Tabla3[[#This Row],[% Beca Canasta 16-17]]</f>
        <v>0</v>
      </c>
      <c r="AE104" s="257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04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04" s="261" t="s">
        <v>706</v>
      </c>
      <c r="AH104" s="210" t="s">
        <v>707</v>
      </c>
      <c r="AI104" s="211" t="s">
        <v>336</v>
      </c>
      <c r="AJ104" s="206" t="e">
        <f>VLOOKUP(Tabla3[[#This Row],[Grado 17-18]],[2]Cuotas!$H:$L,2,0)</f>
        <v>#N/A</v>
      </c>
      <c r="AK104" s="206" t="e">
        <f>VLOOKUP(Tabla3[[#This Row],[Grado 17-18]],[2]Cuotas!$H:$L,3,0)</f>
        <v>#N/A</v>
      </c>
      <c r="AL104" s="206" t="e">
        <f>VLOOKUP(Tabla3[[#This Row],[Grado 17-18]],[2]Cuotas!$H:$L,4,0)</f>
        <v>#N/A</v>
      </c>
      <c r="AM104" s="251"/>
      <c r="AN104" s="252">
        <v>1</v>
      </c>
      <c r="AO104" s="206" t="e">
        <f>Tabla3[[#This Row],[Monto Colegiatura ]]*Tabla3[[#This Row],[% AutorizadoBeca Colegiatura 17-18]]</f>
        <v>#N/A</v>
      </c>
      <c r="AP104" s="219"/>
      <c r="AQ104" s="206" t="e">
        <f>Tabla3[[#This Row],[Monto Colegiatura ]]*Tabla3[[#This Row],[% Beca Prestacion 17-18]]</f>
        <v>#N/A</v>
      </c>
      <c r="AR104" s="219"/>
      <c r="AS104" s="206" t="e">
        <f>Tabla3[[#This Row],[Canasta]]*Tabla3[[#This Row],[% Beca Canasta 17-18]]</f>
        <v>#N/A</v>
      </c>
      <c r="AT104" s="219"/>
      <c r="AU104" s="253">
        <v>0</v>
      </c>
      <c r="AV104" s="206" t="e">
        <f>Tabla3[[#This Row],[Cantidad Beca Comunidad Colegiatura 17-18]]*25%</f>
        <v>#N/A</v>
      </c>
      <c r="AW104" s="206"/>
      <c r="AX104" s="254"/>
      <c r="AY104" s="206" t="e">
        <f>Tabla3[[#This Row],[Monto Colegiatura ]]*Tabla3[[#This Row],[% Beca UNAM 17-18]]</f>
        <v>#N/A</v>
      </c>
      <c r="AZ104" s="218"/>
      <c r="BA104" s="224">
        <f>3200*Tabla3[[#This Row],[% Beca Reinscripciones UNAM 17-18]]</f>
        <v>0</v>
      </c>
      <c r="BB104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04" s="231"/>
      <c r="BD104" s="218" t="e">
        <f>Tabla3[[#This Row],[Monto Colegiatura ]]*Tabla3[[#This Row],[% Beca Comunidad 17-18]]</f>
        <v>#N/A</v>
      </c>
      <c r="BE104" s="218" t="e">
        <f>Tabla3[[#This Row],[Cantidad Beca Comunidad Colegiatura 17-18]]*75%</f>
        <v>#N/A</v>
      </c>
      <c r="BF104" s="219"/>
      <c r="BG104" s="218" t="e">
        <f>Tabla3[[#This Row],[Reinscripción]]*Tabla3[[#This Row],[% Beca Reinscripciones Comunidad 18-19]]</f>
        <v>#N/A</v>
      </c>
      <c r="BH104" s="218" t="e">
        <f>Tabla3[[#This Row],[Cantidad Beca Reinscripciones Comunidad 18-19]]*70%</f>
        <v>#N/A</v>
      </c>
      <c r="BI104" s="224" t="e">
        <f>Tabla3[[#This Row],[75% Cantidad Beca Comunidad Colegiatura 17-18]]+Tabla3[[#This Row],[70% Cantidad Beca Reinscripciones 18-19]]</f>
        <v>#N/A</v>
      </c>
      <c r="BJ104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04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04" s="255"/>
      <c r="BM104" s="262" t="s">
        <v>708</v>
      </c>
      <c r="BN104" s="221" t="s">
        <v>709</v>
      </c>
      <c r="BO104" s="107"/>
      <c r="BP104" s="107">
        <f>Tabla3[[#This Row],[% AutorizadoBeca Colegiatura 17-18]]+Tabla3[[#This Row],[% Beca Prestacion 17-18]]+Tabla3[[#This Row],[% Beca UNAM 17-18]]</f>
        <v>1</v>
      </c>
      <c r="BQ104" s="108">
        <f t="shared" si="3"/>
        <v>1147</v>
      </c>
      <c r="BR104" s="107">
        <f>Tabla3[[#This Row],[% Beca Comunidad 17-18]]</f>
        <v>0</v>
      </c>
      <c r="BS104" s="108">
        <f t="shared" si="4"/>
        <v>0</v>
      </c>
      <c r="BT104" s="108">
        <f t="shared" si="5"/>
        <v>0</v>
      </c>
      <c r="BU104" s="108">
        <f>Tabla3[[#This Row],[Monto3]]*75%</f>
        <v>0</v>
      </c>
      <c r="BV104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04" s="107" t="e">
        <f>VLOOKUP(Tabla3[[#This Row],[Nombre del Alumno]],'[3]BECAS COLEGIATURAS'!$I:$N,6,0)</f>
        <v>#N/A</v>
      </c>
      <c r="BX104" s="107" t="e">
        <f>VLOOKUP(Tabla3[[#This Row],[Nombre del Alumno]],[1]!Tabla1[[NOMBRE DEL ALUMNO]:[MATRIZ]],6,0)</f>
        <v>#REF!</v>
      </c>
      <c r="BY104" s="107" t="e">
        <f>VLOOKUP(Tabla3[[#This Row],[Nombre del Alumno]],'[3]BECAS COLEGIATURAS'!$I:$L,4,0)</f>
        <v>#N/A</v>
      </c>
      <c r="BZ104" s="108" t="e">
        <f>VLOOKUP(Tabla3[[#This Row],[Grado 18-19]],[2]Cuotas!$Q:$U,2,0)</f>
        <v>#N/A</v>
      </c>
      <c r="CA104" s="108" t="e">
        <f>VLOOKUP(Tabla3[[#This Row],[Grado 18-19]],[2]Cuotas!$Q:$U,3,0)</f>
        <v>#N/A</v>
      </c>
      <c r="CB104" s="108" t="e">
        <f>VLOOKUP(Tabla3[[#This Row],[Grado 18-19]],[2]Cuotas!$Q:$U,4,0)</f>
        <v>#N/A</v>
      </c>
      <c r="CC104" s="107">
        <v>70</v>
      </c>
      <c r="CD104" s="222">
        <v>0.85</v>
      </c>
      <c r="CE104" s="218" t="e">
        <f>Tabla3[[#This Row],[Monto Colegiatura 2018-2019]]*Tabla3[[#This Row],[% AutorizadoBeca Colegiatura 18-19]]</f>
        <v>#N/A</v>
      </c>
      <c r="CF104" s="223"/>
      <c r="CG104" s="218" t="e">
        <f>Tabla3[[#This Row],[Monto Colegiatura 2018-2019]]*Tabla3[[#This Row],[% Beca Prestacion 18-19]]</f>
        <v>#N/A</v>
      </c>
      <c r="CH104" s="223"/>
      <c r="CI104" s="218" t="e">
        <f>Tabla3[[#This Row],[Canasta 2018-2019]]*Tabla3[[#This Row],[% Beca Canasta 18-19]]</f>
        <v>#N/A</v>
      </c>
      <c r="CJ104" s="223"/>
      <c r="CK104" s="218" t="e">
        <f>Tabla3[[#This Row],[Reinscripción 2019-2020]]*Tabla3[[#This Row],[% Beca Reinscripciones 19-20]]</f>
        <v>#N/A</v>
      </c>
      <c r="CL104" s="218" t="e">
        <f>Tabla3[[#This Row],[Cantidad Beca Comunidad Colegiatura 18-19]]*25%</f>
        <v>#N/A</v>
      </c>
      <c r="CM104" s="224" t="e">
        <f>Tabla3[[#This Row],[Cantidad Beca Reinscripciones Comunidad 19-20]]*25%</f>
        <v>#N/A</v>
      </c>
      <c r="CN104" s="222"/>
      <c r="CO104" s="218" t="e">
        <f>Tabla3[[#This Row],[Monto Colegiatura 2018-2019]]*Tabla3[[#This Row],[% Beca UNAM 18-19]]</f>
        <v>#N/A</v>
      </c>
      <c r="CP104" s="225"/>
      <c r="CQ104" s="224">
        <f>3328*Tabla3[[#This Row],[% Beca Reinscripciones UNAM 18-19]]</f>
        <v>0</v>
      </c>
      <c r="CR104" s="226" t="e">
        <f>Tabla3[[#This Row],[Cantidad Beca Colegiatura 18-19]]+Tabla3[[#This Row],[Cantidad Beca Canasta 18-19]]+Tabla3[[#This Row],[Cantidad Beca Reinscripciones 19-20]]</f>
        <v>#N/A</v>
      </c>
      <c r="CS104" s="222"/>
      <c r="CT104" s="218" t="e">
        <f>Tabla3[[#This Row],[Monto Colegiatura 2018-2019]]*Tabla3[[#This Row],[% Beca Comunidad 18-19]]</f>
        <v>#N/A</v>
      </c>
      <c r="CU104" s="218" t="e">
        <f>Tabla3[[#This Row],[Cantidad Beca Comunidad Colegiatura 18-19]]*75%</f>
        <v>#N/A</v>
      </c>
      <c r="CV104" s="223"/>
      <c r="CW104" s="218" t="e">
        <f>Tabla3[[#This Row],[Reinscripción 2019-2020]]*Tabla3[[#This Row],[% Beca Reinscripciones Comunidad 19-20]]</f>
        <v>#N/A</v>
      </c>
      <c r="CX104" s="218" t="e">
        <f>Tabla3[[#This Row],[Cantidad Beca Reinscripciones Comunidad 19-20]]*75%</f>
        <v>#N/A</v>
      </c>
      <c r="CY104" s="227" t="e">
        <f>Tabla3[[#This Row],[75% Cantidad Beca Comunidad Colegiatura 18-19]]+Tabla3[[#This Row],[75% Cantidad Beca Reinscripciones 19-20]]</f>
        <v>#N/A</v>
      </c>
      <c r="CZ104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04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04" s="108">
        <f>1440*(Tabla3[[#This Row],[% AutorizadoBeca Colegiatura 18-19]]+Tabla3[[#This Row],[% Beca Prestacion 18-19]]+Tabla3[[#This Row],[% Beca UNAM 18-19]]+Tabla3[[#This Row],[% Beca Comunidad 18-19]])</f>
        <v>1224</v>
      </c>
    </row>
    <row r="105" spans="2:106" ht="15" customHeight="1" x14ac:dyDescent="0.2">
      <c r="B105" s="107" t="s">
        <v>710</v>
      </c>
      <c r="C105" s="107" t="e">
        <f>VLOOKUP(Tabla3[[#This Row],[Nombre del Padre]],[1]!Tabla1[[PADRE]:[PADRE_CELULAR]],2,0)</f>
        <v>#REF!</v>
      </c>
      <c r="D105" s="107" t="e">
        <f>VLOOKUP(Tabla3[[#This Row],[Nombre del Padre]],[1]!Tabla1[[PADRE]:[PADRE_CELULAR]],3,0)</f>
        <v>#REF!</v>
      </c>
      <c r="E105" s="107" t="s">
        <v>711</v>
      </c>
      <c r="F105" s="107" t="e">
        <f>VLOOKUP(Tabla3[[#This Row],[Nombre de la Madre]],[1]!Tabla1[[MADRE]:[MADRE_TELEFONO]],2,0)</f>
        <v>#REF!</v>
      </c>
      <c r="G105" s="202" t="e">
        <f>VLOOKUP(Tabla3[[#This Row],[Nombre de la Madre]],[1]!Tabla1[[MADRE]:[MADRE_TELEFONO]],3,0)</f>
        <v>#REF!</v>
      </c>
      <c r="H105" s="228">
        <v>58</v>
      </c>
      <c r="I105" s="225">
        <v>1425</v>
      </c>
      <c r="J105" s="225" t="s">
        <v>712</v>
      </c>
      <c r="K105" s="225" t="s">
        <v>273</v>
      </c>
      <c r="L105" s="225" t="s">
        <v>713</v>
      </c>
      <c r="M105" s="205" t="s">
        <v>714</v>
      </c>
      <c r="N105" s="204" t="s">
        <v>715</v>
      </c>
      <c r="O105" s="218" t="e">
        <f>VLOOKUP(Tabla3[[#This Row],[Grado]],[2]Cuotas!$A:$E,2,0)</f>
        <v>#N/A</v>
      </c>
      <c r="P105" s="218" t="e">
        <f>VLOOKUP(Tabla3[[#This Row],[Grado]],[2]Cuotas!$A:$E,4,0)</f>
        <v>#N/A</v>
      </c>
      <c r="Q105" s="218" t="e">
        <f>VLOOKUP(Tabla3[[#This Row],[Grado]],[2]Cuotas!$A:$E,3,0)</f>
        <v>#N/A</v>
      </c>
      <c r="R105" s="247">
        <v>0.15</v>
      </c>
      <c r="S105" s="206" t="e">
        <f>Tabla3[[#This Row],[Monto Colegiatura]]*Tabla3[[#This Row],[% Beca Colegio 16-17]]</f>
        <v>#N/A</v>
      </c>
      <c r="T105" s="218"/>
      <c r="U105" s="218" t="e">
        <f>Tabla3[[#This Row],[Monto Colegiatura]]*Tabla3[[#This Row],[% Beca Prestación 16-17]]</f>
        <v>#N/A</v>
      </c>
      <c r="V105" s="219">
        <v>0.15</v>
      </c>
      <c r="W105" s="206" t="e">
        <f>Tabla3[[#This Row],[Monto Colegiatura]]*Tabla3[[#This Row],[% Beca Comunidad 16-17]]</f>
        <v>#N/A</v>
      </c>
      <c r="X105" s="218" t="e">
        <f>Tabla3[[#This Row],[Cantidad Beca Comunidad 16-17]]*25%</f>
        <v>#N/A</v>
      </c>
      <c r="Y105" s="218"/>
      <c r="Z105" s="218" t="e">
        <f>Tabla3[[#This Row],[Monto Colegiatura]]*Tabla3[[#This Row],[% Beca UNAM 16-17]]</f>
        <v>#N/A</v>
      </c>
      <c r="AA105" s="219"/>
      <c r="AB105" s="218" t="e">
        <f>Tabla3[[#This Row],[Monto Reinscripción]]*Tabla3[[#This Row],[% Beca Reinscripción 16-17]]</f>
        <v>#N/A</v>
      </c>
      <c r="AC105" s="218"/>
      <c r="AD105" s="218" t="e">
        <f>Tabla3[[#This Row],[Monto Canasta]]*Tabla3[[#This Row],[% Beca Canasta 16-17]]</f>
        <v>#N/A</v>
      </c>
      <c r="AE105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05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05" s="209" t="e">
        <f>VLOOKUP(Tabla3[[#This Row],[Nombre del Alumno]],[2]!Tabla1[[Alumno]:[Cuenta Ciclos]],2,0)</f>
        <v>#REF!</v>
      </c>
      <c r="AH105" s="210" t="s">
        <v>716</v>
      </c>
      <c r="AI105" s="263" t="s">
        <v>717</v>
      </c>
      <c r="AJ105" s="264"/>
      <c r="AK105" s="264"/>
      <c r="AL105" s="264"/>
      <c r="AM105" s="265">
        <v>0.3</v>
      </c>
      <c r="AN105" s="266"/>
      <c r="AO105" s="264">
        <f>Tabla3[[#This Row],[Monto Colegiatura ]]*Tabla3[[#This Row],[% AutorizadoBeca Colegiatura 17-18]]</f>
        <v>0</v>
      </c>
      <c r="AP105" s="267"/>
      <c r="AQ105" s="264">
        <f>Tabla3[[#This Row],[Monto Colegiatura ]]*Tabla3[[#This Row],[% Beca Prestacion 17-18]]</f>
        <v>0</v>
      </c>
      <c r="AR105" s="267"/>
      <c r="AS105" s="264">
        <f>Tabla3[[#This Row],[Canasta]]*Tabla3[[#This Row],[% Beca Canasta 17-18]]</f>
        <v>0</v>
      </c>
      <c r="AT105" s="267"/>
      <c r="AU105" s="268">
        <v>0</v>
      </c>
      <c r="AV105" s="264">
        <f>Tabla3[[#This Row],[Cantidad Beca Comunidad Colegiatura 17-18]]*25%</f>
        <v>0</v>
      </c>
      <c r="AW105" s="264"/>
      <c r="AX105" s="269"/>
      <c r="AY105" s="264">
        <f>Tabla3[[#This Row],[Monto Colegiatura ]]*Tabla3[[#This Row],[% Beca UNAM 17-18]]</f>
        <v>0</v>
      </c>
      <c r="AZ105" s="270"/>
      <c r="BA105" s="271">
        <f>3200*Tabla3[[#This Row],[% Beca Reinscripciones UNAM 17-18]]</f>
        <v>0</v>
      </c>
      <c r="BB105" s="270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0</v>
      </c>
      <c r="BC105" s="272"/>
      <c r="BD105" s="270">
        <f>Tabla3[[#This Row],[Monto Colegiatura ]]*Tabla3[[#This Row],[% Beca Comunidad 17-18]]</f>
        <v>0</v>
      </c>
      <c r="BE105" s="270">
        <f>Tabla3[[#This Row],[Cantidad Beca Comunidad Colegiatura 17-18]]*75%</f>
        <v>0</v>
      </c>
      <c r="BF105" s="267"/>
      <c r="BG105" s="270">
        <f>Tabla3[[#This Row],[Reinscripción]]*Tabla3[[#This Row],[% Beca Reinscripciones Comunidad 18-19]]</f>
        <v>0</v>
      </c>
      <c r="BH105" s="270">
        <f>Tabla3[[#This Row],[Cantidad Beca Reinscripciones Comunidad 18-19]]*70%</f>
        <v>0</v>
      </c>
      <c r="BI105" s="271">
        <f>Tabla3[[#This Row],[75% Cantidad Beca Comunidad Colegiatura 17-18]]+Tabla3[[#This Row],[70% Cantidad Beca Reinscripciones 18-19]]</f>
        <v>0</v>
      </c>
      <c r="BJ105" s="273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0</v>
      </c>
      <c r="BK105" s="264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0</v>
      </c>
      <c r="BL105" s="270"/>
      <c r="BM105" s="265"/>
      <c r="BN105" s="274" t="s">
        <v>718</v>
      </c>
      <c r="BO105" s="275" t="s">
        <v>719</v>
      </c>
      <c r="BP105" s="276">
        <f>Tabla3[[#This Row],[% AutorizadoBeca Colegiatura 17-18]]+Tabla3[[#This Row],[% Beca Prestacion 17-18]]+Tabla3[[#This Row],[% Beca UNAM 17-18]]</f>
        <v>0</v>
      </c>
      <c r="BQ105" s="277">
        <f t="shared" si="3"/>
        <v>0</v>
      </c>
      <c r="BR105" s="276">
        <f>Tabla3[[#This Row],[% Beca Comunidad 17-18]]</f>
        <v>0</v>
      </c>
      <c r="BS105" s="277">
        <f t="shared" si="4"/>
        <v>0</v>
      </c>
      <c r="BT105" s="277">
        <f t="shared" si="5"/>
        <v>0</v>
      </c>
      <c r="BU105" s="108">
        <f>Tabla3[[#This Row],[Monto3]]*75%</f>
        <v>0</v>
      </c>
      <c r="BV105" s="107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0</v>
      </c>
      <c r="BW105" s="107" t="e">
        <f>VLOOKUP(Tabla3[[#This Row],[Nombre del Alumno]],'[3]BECAS COLEGIATURAS'!$I:$N,6,0)</f>
        <v>#N/A</v>
      </c>
      <c r="BX105" s="107" t="e">
        <f>VLOOKUP(Tabla3[[#This Row],[Nombre del Alumno]],[1]!Tabla1[[NOMBRE DEL ALUMNO]:[MATRIZ]],6,0)</f>
        <v>#REF!</v>
      </c>
      <c r="BY105" s="107" t="e">
        <f>VLOOKUP(Tabla3[[#This Row],[Nombre del Alumno]],'[3]BECAS COLEGIATURAS'!$I:$L,4,0)</f>
        <v>#N/A</v>
      </c>
      <c r="BZ105" s="108" t="e">
        <f>VLOOKUP(Tabla3[[#This Row],[Grado 18-19]],[2]Cuotas!$Q:$U,2,0)</f>
        <v>#N/A</v>
      </c>
      <c r="CA105" s="108" t="e">
        <f>VLOOKUP(Tabla3[[#This Row],[Grado 18-19]],[2]Cuotas!$Q:$U,3,0)</f>
        <v>#N/A</v>
      </c>
      <c r="CB105" s="108" t="e">
        <f>VLOOKUP(Tabla3[[#This Row],[Grado 18-19]],[2]Cuotas!$Q:$U,4,0)</f>
        <v>#N/A</v>
      </c>
      <c r="CC105" s="107">
        <v>0</v>
      </c>
      <c r="CD105" s="222">
        <v>0.1</v>
      </c>
      <c r="CE105" s="218" t="e">
        <f>Tabla3[[#This Row],[Monto Colegiatura 2018-2019]]*Tabla3[[#This Row],[% AutorizadoBeca Colegiatura 18-19]]</f>
        <v>#N/A</v>
      </c>
      <c r="CF105" s="223"/>
      <c r="CG105" s="218" t="e">
        <f>Tabla3[[#This Row],[Monto Colegiatura 2018-2019]]*Tabla3[[#This Row],[% Beca Prestacion 18-19]]</f>
        <v>#N/A</v>
      </c>
      <c r="CH105" s="223"/>
      <c r="CI105" s="218" t="e">
        <f>Tabla3[[#This Row],[Canasta 2018-2019]]*Tabla3[[#This Row],[% Beca Canasta 18-19]]</f>
        <v>#N/A</v>
      </c>
      <c r="CJ105" s="223"/>
      <c r="CK105" s="218" t="e">
        <f>Tabla3[[#This Row],[Reinscripción 2019-2020]]*Tabla3[[#This Row],[% Beca Reinscripciones 19-20]]</f>
        <v>#N/A</v>
      </c>
      <c r="CL105" s="218" t="e">
        <f>Tabla3[[#This Row],[Cantidad Beca Comunidad Colegiatura 18-19]]*25%</f>
        <v>#N/A</v>
      </c>
      <c r="CM105" s="224" t="e">
        <f>Tabla3[[#This Row],[Cantidad Beca Reinscripciones Comunidad 19-20]]*25%</f>
        <v>#N/A</v>
      </c>
      <c r="CN105" s="222"/>
      <c r="CO105" s="218" t="e">
        <f>Tabla3[[#This Row],[Monto Colegiatura 2018-2019]]*Tabla3[[#This Row],[% Beca UNAM 18-19]]</f>
        <v>#N/A</v>
      </c>
      <c r="CP105" s="225"/>
      <c r="CQ105" s="224">
        <f>3328*Tabla3[[#This Row],[% Beca Reinscripciones UNAM 18-19]]</f>
        <v>0</v>
      </c>
      <c r="CR105" s="226" t="e">
        <f>Tabla3[[#This Row],[Cantidad Beca Colegiatura 18-19]]+Tabla3[[#This Row],[Cantidad Beca Canasta 18-19]]+Tabla3[[#This Row],[Cantidad Beca Reinscripciones 19-20]]</f>
        <v>#N/A</v>
      </c>
      <c r="CS105" s="222">
        <v>0.2</v>
      </c>
      <c r="CT105" s="218" t="e">
        <f>Tabla3[[#This Row],[Monto Colegiatura 2018-2019]]*Tabla3[[#This Row],[% Beca Comunidad 18-19]]</f>
        <v>#N/A</v>
      </c>
      <c r="CU105" s="218" t="e">
        <f>Tabla3[[#This Row],[Cantidad Beca Comunidad Colegiatura 18-19]]*75%</f>
        <v>#N/A</v>
      </c>
      <c r="CV105" s="223"/>
      <c r="CW105" s="218" t="e">
        <f>Tabla3[[#This Row],[Reinscripción 2019-2020]]*Tabla3[[#This Row],[% Beca Reinscripciones Comunidad 19-20]]</f>
        <v>#N/A</v>
      </c>
      <c r="CX105" s="218" t="e">
        <f>Tabla3[[#This Row],[Cantidad Beca Reinscripciones Comunidad 19-20]]*75%</f>
        <v>#N/A</v>
      </c>
      <c r="CY105" s="227" t="e">
        <f>Tabla3[[#This Row],[75% Cantidad Beca Comunidad Colegiatura 18-19]]+Tabla3[[#This Row],[75% Cantidad Beca Reinscripciones 19-20]]</f>
        <v>#N/A</v>
      </c>
      <c r="CZ105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05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05" s="108">
        <f>1440*(Tabla3[[#This Row],[% AutorizadoBeca Colegiatura 18-19]]+Tabla3[[#This Row],[% Beca Prestacion 18-19]]+Tabla3[[#This Row],[% Beca UNAM 18-19]]+Tabla3[[#This Row],[% Beca Comunidad 18-19]])</f>
        <v>432.00000000000006</v>
      </c>
    </row>
    <row r="106" spans="2:106" ht="15" customHeight="1" x14ac:dyDescent="0.2">
      <c r="B106" s="107" t="s">
        <v>710</v>
      </c>
      <c r="C106" s="107" t="e">
        <f>VLOOKUP(Tabla3[[#This Row],[Nombre del Padre]],[1]!Tabla1[[PADRE]:[PADRE_CELULAR]],2,0)</f>
        <v>#REF!</v>
      </c>
      <c r="D106" s="107" t="e">
        <f>VLOOKUP(Tabla3[[#This Row],[Nombre del Padre]],[1]!Tabla1[[PADRE]:[PADRE_CELULAR]],3,0)</f>
        <v>#REF!</v>
      </c>
      <c r="E106" s="107" t="s">
        <v>711</v>
      </c>
      <c r="F106" s="107" t="e">
        <f>VLOOKUP(Tabla3[[#This Row],[Nombre de la Madre]],[1]!Tabla1[[MADRE]:[MADRE_TELEFONO]],2,0)</f>
        <v>#REF!</v>
      </c>
      <c r="G106" s="202" t="e">
        <f>VLOOKUP(Tabla3[[#This Row],[Nombre de la Madre]],[1]!Tabla1[[MADRE]:[MADRE_TELEFONO]],3,0)</f>
        <v>#REF!</v>
      </c>
      <c r="H106" s="228"/>
      <c r="I106" s="225">
        <v>1425</v>
      </c>
      <c r="J106" s="225" t="s">
        <v>712</v>
      </c>
      <c r="K106" s="225" t="s">
        <v>273</v>
      </c>
      <c r="L106" s="225" t="s">
        <v>98</v>
      </c>
      <c r="M106" s="205" t="s">
        <v>720</v>
      </c>
      <c r="N106" s="204" t="s">
        <v>338</v>
      </c>
      <c r="O106" s="218" t="e">
        <f>VLOOKUP(Tabla3[[#This Row],[Grado]],[2]Cuotas!$A:$E,2,0)</f>
        <v>#N/A</v>
      </c>
      <c r="P106" s="218" t="e">
        <f>VLOOKUP(Tabla3[[#This Row],[Grado]],[2]Cuotas!$A:$E,4,0)</f>
        <v>#N/A</v>
      </c>
      <c r="Q106" s="218" t="e">
        <f>VLOOKUP(Tabla3[[#This Row],[Grado]],[2]Cuotas!$A:$E,3,0)</f>
        <v>#N/A</v>
      </c>
      <c r="R106" s="247">
        <v>0.15</v>
      </c>
      <c r="S106" s="206" t="e">
        <f>Tabla3[[#This Row],[Monto Colegiatura]]*Tabla3[[#This Row],[% Beca Colegio 16-17]]</f>
        <v>#N/A</v>
      </c>
      <c r="T106" s="218"/>
      <c r="U106" s="218" t="e">
        <f>Tabla3[[#This Row],[Monto Colegiatura]]*Tabla3[[#This Row],[% Beca Prestación 16-17]]</f>
        <v>#N/A</v>
      </c>
      <c r="V106" s="219">
        <v>0.15</v>
      </c>
      <c r="W106" s="206" t="e">
        <f>Tabla3[[#This Row],[Monto Colegiatura]]*Tabla3[[#This Row],[% Beca Comunidad 16-17]]</f>
        <v>#N/A</v>
      </c>
      <c r="X106" s="218" t="e">
        <f>Tabla3[[#This Row],[Cantidad Beca Comunidad 16-17]]*25%</f>
        <v>#N/A</v>
      </c>
      <c r="Y106" s="218"/>
      <c r="Z106" s="218" t="e">
        <f>Tabla3[[#This Row],[Monto Colegiatura]]*Tabla3[[#This Row],[% Beca UNAM 16-17]]</f>
        <v>#N/A</v>
      </c>
      <c r="AA106" s="219"/>
      <c r="AB106" s="218" t="e">
        <f>Tabla3[[#This Row],[Monto Reinscripción]]*Tabla3[[#This Row],[% Beca Reinscripción 16-17]]</f>
        <v>#N/A</v>
      </c>
      <c r="AC106" s="218"/>
      <c r="AD106" s="218" t="e">
        <f>Tabla3[[#This Row],[Monto Canasta]]*Tabla3[[#This Row],[% Beca Canasta 16-17]]</f>
        <v>#N/A</v>
      </c>
      <c r="AE106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06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06" s="209" t="e">
        <f>VLOOKUP(Tabla3[[#This Row],[Nombre del Alumno]],[2]!Tabla1[[Alumno]:[Cuenta Ciclos]],2,0)</f>
        <v>#REF!</v>
      </c>
      <c r="AH106" s="210" t="s">
        <v>716</v>
      </c>
      <c r="AI106" s="263" t="s">
        <v>717</v>
      </c>
      <c r="AJ106" s="264"/>
      <c r="AK106" s="264"/>
      <c r="AL106" s="264"/>
      <c r="AM106" s="265">
        <v>0.3</v>
      </c>
      <c r="AN106" s="266"/>
      <c r="AO106" s="264">
        <f>Tabla3[[#This Row],[Monto Colegiatura ]]*Tabla3[[#This Row],[% AutorizadoBeca Colegiatura 17-18]]</f>
        <v>0</v>
      </c>
      <c r="AP106" s="267"/>
      <c r="AQ106" s="264">
        <f>Tabla3[[#This Row],[Monto Colegiatura ]]*Tabla3[[#This Row],[% Beca Prestacion 17-18]]</f>
        <v>0</v>
      </c>
      <c r="AR106" s="267"/>
      <c r="AS106" s="264">
        <f>Tabla3[[#This Row],[Canasta]]*Tabla3[[#This Row],[% Beca Canasta 17-18]]</f>
        <v>0</v>
      </c>
      <c r="AT106" s="267"/>
      <c r="AU106" s="268">
        <v>0</v>
      </c>
      <c r="AV106" s="264">
        <f>Tabla3[[#This Row],[Cantidad Beca Comunidad Colegiatura 17-18]]*25%</f>
        <v>0</v>
      </c>
      <c r="AW106" s="264"/>
      <c r="AX106" s="269"/>
      <c r="AY106" s="264">
        <f>Tabla3[[#This Row],[Monto Colegiatura ]]*Tabla3[[#This Row],[% Beca UNAM 17-18]]</f>
        <v>0</v>
      </c>
      <c r="AZ106" s="270"/>
      <c r="BA106" s="271">
        <f>3200*Tabla3[[#This Row],[% Beca Reinscripciones UNAM 17-18]]</f>
        <v>0</v>
      </c>
      <c r="BB106" s="270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0</v>
      </c>
      <c r="BC106" s="272"/>
      <c r="BD106" s="270">
        <f>Tabla3[[#This Row],[Monto Colegiatura ]]*Tabla3[[#This Row],[% Beca Comunidad 17-18]]</f>
        <v>0</v>
      </c>
      <c r="BE106" s="270">
        <f>Tabla3[[#This Row],[Cantidad Beca Comunidad Colegiatura 17-18]]*75%</f>
        <v>0</v>
      </c>
      <c r="BF106" s="267"/>
      <c r="BG106" s="270">
        <f>Tabla3[[#This Row],[Reinscripción]]*Tabla3[[#This Row],[% Beca Reinscripciones Comunidad 18-19]]</f>
        <v>0</v>
      </c>
      <c r="BH106" s="270">
        <f>Tabla3[[#This Row],[Cantidad Beca Reinscripciones Comunidad 18-19]]*70%</f>
        <v>0</v>
      </c>
      <c r="BI106" s="271">
        <f>Tabla3[[#This Row],[75% Cantidad Beca Comunidad Colegiatura 17-18]]+Tabla3[[#This Row],[70% Cantidad Beca Reinscripciones 18-19]]</f>
        <v>0</v>
      </c>
      <c r="BJ106" s="273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0</v>
      </c>
      <c r="BK106" s="264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0</v>
      </c>
      <c r="BL106" s="270"/>
      <c r="BM106" s="265"/>
      <c r="BN106" s="274" t="s">
        <v>721</v>
      </c>
      <c r="BO106" s="276"/>
      <c r="BP106" s="276">
        <f>Tabla3[[#This Row],[% AutorizadoBeca Colegiatura 17-18]]+Tabla3[[#This Row],[% Beca Prestacion 17-18]]+Tabla3[[#This Row],[% Beca UNAM 17-18]]</f>
        <v>0</v>
      </c>
      <c r="BQ106" s="277">
        <f t="shared" si="3"/>
        <v>0</v>
      </c>
      <c r="BR106" s="276">
        <f>Tabla3[[#This Row],[% Beca Comunidad 17-18]]</f>
        <v>0</v>
      </c>
      <c r="BS106" s="277">
        <f t="shared" si="4"/>
        <v>0</v>
      </c>
      <c r="BT106" s="277">
        <f t="shared" si="5"/>
        <v>0</v>
      </c>
      <c r="BU106" s="108">
        <f>Tabla3[[#This Row],[Monto3]]*75%</f>
        <v>0</v>
      </c>
      <c r="BV106" s="107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0</v>
      </c>
      <c r="BW106" s="107" t="e">
        <f>VLOOKUP(Tabla3[[#This Row],[Nombre del Alumno]],'[3]BECAS COLEGIATURAS'!$I:$N,6,0)</f>
        <v>#N/A</v>
      </c>
      <c r="BX106" s="107" t="e">
        <f>VLOOKUP(Tabla3[[#This Row],[Nombre del Alumno]],[1]!Tabla1[[NOMBRE DEL ALUMNO]:[MATRIZ]],6,0)</f>
        <v>#REF!</v>
      </c>
      <c r="BY106" s="107" t="e">
        <f>VLOOKUP(Tabla3[[#This Row],[Nombre del Alumno]],'[3]BECAS COLEGIATURAS'!$I:$L,4,0)</f>
        <v>#N/A</v>
      </c>
      <c r="BZ106" s="108" t="e">
        <f>VLOOKUP(Tabla3[[#This Row],[Grado 18-19]],[2]Cuotas!$Q:$U,2,0)</f>
        <v>#N/A</v>
      </c>
      <c r="CA106" s="108" t="e">
        <f>VLOOKUP(Tabla3[[#This Row],[Grado 18-19]],[2]Cuotas!$Q:$U,3,0)</f>
        <v>#N/A</v>
      </c>
      <c r="CB106" s="108" t="e">
        <f>VLOOKUP(Tabla3[[#This Row],[Grado 18-19]],[2]Cuotas!$Q:$U,4,0)</f>
        <v>#N/A</v>
      </c>
      <c r="CC106" s="107">
        <v>0</v>
      </c>
      <c r="CD106" s="222">
        <v>0.1</v>
      </c>
      <c r="CE106" s="218" t="e">
        <f>Tabla3[[#This Row],[Monto Colegiatura 2018-2019]]*Tabla3[[#This Row],[% AutorizadoBeca Colegiatura 18-19]]</f>
        <v>#N/A</v>
      </c>
      <c r="CF106" s="223"/>
      <c r="CG106" s="218" t="e">
        <f>Tabla3[[#This Row],[Monto Colegiatura 2018-2019]]*Tabla3[[#This Row],[% Beca Prestacion 18-19]]</f>
        <v>#N/A</v>
      </c>
      <c r="CH106" s="223"/>
      <c r="CI106" s="218" t="e">
        <f>Tabla3[[#This Row],[Canasta 2018-2019]]*Tabla3[[#This Row],[% Beca Canasta 18-19]]</f>
        <v>#N/A</v>
      </c>
      <c r="CJ106" s="223"/>
      <c r="CK106" s="218" t="e">
        <f>Tabla3[[#This Row],[Reinscripción 2019-2020]]*Tabla3[[#This Row],[% Beca Reinscripciones 19-20]]</f>
        <v>#N/A</v>
      </c>
      <c r="CL106" s="218" t="e">
        <f>Tabla3[[#This Row],[Cantidad Beca Comunidad Colegiatura 18-19]]*25%</f>
        <v>#N/A</v>
      </c>
      <c r="CM106" s="224" t="e">
        <f>Tabla3[[#This Row],[Cantidad Beca Reinscripciones Comunidad 19-20]]*25%</f>
        <v>#N/A</v>
      </c>
      <c r="CN106" s="222"/>
      <c r="CO106" s="218" t="e">
        <f>Tabla3[[#This Row],[Monto Colegiatura 2018-2019]]*Tabla3[[#This Row],[% Beca UNAM 18-19]]</f>
        <v>#N/A</v>
      </c>
      <c r="CP106" s="225"/>
      <c r="CQ106" s="224">
        <f>3328*Tabla3[[#This Row],[% Beca Reinscripciones UNAM 18-19]]</f>
        <v>0</v>
      </c>
      <c r="CR106" s="226" t="e">
        <f>Tabla3[[#This Row],[Cantidad Beca Colegiatura 18-19]]+Tabla3[[#This Row],[Cantidad Beca Canasta 18-19]]+Tabla3[[#This Row],[Cantidad Beca Reinscripciones 19-20]]</f>
        <v>#N/A</v>
      </c>
      <c r="CS106" s="222">
        <v>0.2</v>
      </c>
      <c r="CT106" s="218" t="e">
        <f>Tabla3[[#This Row],[Monto Colegiatura 2018-2019]]*Tabla3[[#This Row],[% Beca Comunidad 18-19]]</f>
        <v>#N/A</v>
      </c>
      <c r="CU106" s="218" t="e">
        <f>Tabla3[[#This Row],[Cantidad Beca Comunidad Colegiatura 18-19]]*75%</f>
        <v>#N/A</v>
      </c>
      <c r="CV106" s="223"/>
      <c r="CW106" s="218" t="e">
        <f>Tabla3[[#This Row],[Reinscripción 2019-2020]]*Tabla3[[#This Row],[% Beca Reinscripciones Comunidad 19-20]]</f>
        <v>#N/A</v>
      </c>
      <c r="CX106" s="218" t="e">
        <f>Tabla3[[#This Row],[Cantidad Beca Reinscripciones Comunidad 19-20]]*75%</f>
        <v>#N/A</v>
      </c>
      <c r="CY106" s="227" t="e">
        <f>Tabla3[[#This Row],[75% Cantidad Beca Comunidad Colegiatura 18-19]]+Tabla3[[#This Row],[75% Cantidad Beca Reinscripciones 19-20]]</f>
        <v>#N/A</v>
      </c>
      <c r="CZ106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06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06" s="108">
        <f>1440*(Tabla3[[#This Row],[% AutorizadoBeca Colegiatura 18-19]]+Tabla3[[#This Row],[% Beca Prestacion 18-19]]+Tabla3[[#This Row],[% Beca UNAM 18-19]]+Tabla3[[#This Row],[% Beca Comunidad 18-19]])</f>
        <v>432.00000000000006</v>
      </c>
    </row>
    <row r="107" spans="2:106" ht="15" customHeight="1" x14ac:dyDescent="0.2">
      <c r="B107" s="107" t="s">
        <v>722</v>
      </c>
      <c r="C107" s="107" t="e">
        <f>VLOOKUP(Tabla3[[#This Row],[Nombre del Padre]],[1]!Tabla1[[PADRE]:[PADRE_CELULAR]],2,0)</f>
        <v>#REF!</v>
      </c>
      <c r="D107" s="107" t="e">
        <f>VLOOKUP(Tabla3[[#This Row],[Nombre del Padre]],[1]!Tabla1[[PADRE]:[PADRE_CELULAR]],3,0)</f>
        <v>#REF!</v>
      </c>
      <c r="E107" s="107" t="s">
        <v>723</v>
      </c>
      <c r="F107" s="107" t="e">
        <f>VLOOKUP(Tabla3[[#This Row],[Nombre de la Madre]],[1]!Tabla1[[MADRE]:[MADRE_TELEFONO]],2,0)</f>
        <v>#REF!</v>
      </c>
      <c r="G107" s="202" t="e">
        <f>VLOOKUP(Tabla3[[#This Row],[Nombre de la Madre]],[1]!Tabla1[[MADRE]:[MADRE_TELEFONO]],3,0)</f>
        <v>#REF!</v>
      </c>
      <c r="H107" s="230">
        <v>59</v>
      </c>
      <c r="I107" s="225">
        <v>1677</v>
      </c>
      <c r="J107" s="225" t="s">
        <v>724</v>
      </c>
      <c r="K107" s="225" t="s">
        <v>637</v>
      </c>
      <c r="L107" s="225" t="s">
        <v>725</v>
      </c>
      <c r="M107" s="205" t="s">
        <v>346</v>
      </c>
      <c r="N107" s="204" t="s">
        <v>278</v>
      </c>
      <c r="O107" s="218" t="e">
        <f>VLOOKUP(Tabla3[[#This Row],[Grado]],[2]Cuotas!$A:$E,2,0)</f>
        <v>#N/A</v>
      </c>
      <c r="P107" s="218" t="e">
        <f>VLOOKUP(Tabla3[[#This Row],[Grado]],[2]Cuotas!$A:$E,4,0)</f>
        <v>#N/A</v>
      </c>
      <c r="Q107" s="218" t="e">
        <f>VLOOKUP(Tabla3[[#This Row],[Grado]],[2]Cuotas!$A:$E,3,0)</f>
        <v>#N/A</v>
      </c>
      <c r="R107" s="247"/>
      <c r="S107" s="206" t="e">
        <f>Tabla3[[#This Row],[Monto Colegiatura]]*Tabla3[[#This Row],[% Beca Colegio 16-17]]</f>
        <v>#N/A</v>
      </c>
      <c r="T107" s="219">
        <v>0.4</v>
      </c>
      <c r="U107" s="218" t="e">
        <f>Tabla3[[#This Row],[Monto Colegiatura]]*Tabla3[[#This Row],[% Beca Prestación 16-17]]</f>
        <v>#N/A</v>
      </c>
      <c r="V107" s="219"/>
      <c r="W107" s="206" t="e">
        <f>Tabla3[[#This Row],[Monto Colegiatura]]*Tabla3[[#This Row],[% Beca Comunidad 16-17]]</f>
        <v>#N/A</v>
      </c>
      <c r="X107" s="218" t="e">
        <f>Tabla3[[#This Row],[Cantidad Beca Comunidad 16-17]]*25%</f>
        <v>#N/A</v>
      </c>
      <c r="Y107" s="218"/>
      <c r="Z107" s="218" t="e">
        <f>Tabla3[[#This Row],[Monto Colegiatura]]*Tabla3[[#This Row],[% Beca UNAM 16-17]]</f>
        <v>#N/A</v>
      </c>
      <c r="AA107" s="219"/>
      <c r="AB107" s="218" t="e">
        <f>Tabla3[[#This Row],[Monto Reinscripción]]*Tabla3[[#This Row],[% Beca Reinscripción 16-17]]</f>
        <v>#N/A</v>
      </c>
      <c r="AC107" s="218"/>
      <c r="AD107" s="218" t="e">
        <f>Tabla3[[#This Row],[Monto Canasta]]*Tabla3[[#This Row],[% Beca Canasta 16-17]]</f>
        <v>#N/A</v>
      </c>
      <c r="AE107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07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07" s="209" t="e">
        <f>VLOOKUP(Tabla3[[#This Row],[Nombre del Alumno]],[2]!Tabla1[[Alumno]:[Cuenta Ciclos]],2,0)</f>
        <v>#REF!</v>
      </c>
      <c r="AH107" s="210" t="s">
        <v>347</v>
      </c>
      <c r="AI107" s="211" t="s">
        <v>291</v>
      </c>
      <c r="AJ107" s="206" t="e">
        <f>VLOOKUP(Tabla3[[#This Row],[Grado 17-18]],[2]Cuotas!$H:$L,2,0)</f>
        <v>#N/A</v>
      </c>
      <c r="AK107" s="206" t="e">
        <f>VLOOKUP(Tabla3[[#This Row],[Grado 17-18]],[2]Cuotas!$H:$L,3,0)</f>
        <v>#N/A</v>
      </c>
      <c r="AL107" s="206" t="e">
        <f>VLOOKUP(Tabla3[[#This Row],[Grado 17-18]],[2]Cuotas!$H:$L,4,0)</f>
        <v>#N/A</v>
      </c>
      <c r="AM107" s="223"/>
      <c r="AN107" s="252"/>
      <c r="AO107" s="206" t="e">
        <f>Tabla3[[#This Row],[Monto Colegiatura ]]*Tabla3[[#This Row],[% AutorizadoBeca Colegiatura 17-18]]</f>
        <v>#N/A</v>
      </c>
      <c r="AP107" s="219">
        <v>0.4</v>
      </c>
      <c r="AQ107" s="206" t="e">
        <f>Tabla3[[#This Row],[Monto Colegiatura ]]*Tabla3[[#This Row],[% Beca Prestacion 17-18]]</f>
        <v>#N/A</v>
      </c>
      <c r="AR107" s="219"/>
      <c r="AS107" s="206" t="e">
        <f>Tabla3[[#This Row],[Canasta]]*Tabla3[[#This Row],[% Beca Canasta 17-18]]</f>
        <v>#N/A</v>
      </c>
      <c r="AT107" s="219"/>
      <c r="AU107" s="253">
        <v>0</v>
      </c>
      <c r="AV107" s="206" t="e">
        <f>Tabla3[[#This Row],[Cantidad Beca Comunidad Colegiatura 17-18]]*25%</f>
        <v>#N/A</v>
      </c>
      <c r="AW107" s="206"/>
      <c r="AX107" s="254"/>
      <c r="AY107" s="206" t="e">
        <f>Tabla3[[#This Row],[Monto Colegiatura ]]*Tabla3[[#This Row],[% Beca UNAM 17-18]]</f>
        <v>#N/A</v>
      </c>
      <c r="AZ107" s="218"/>
      <c r="BA107" s="224">
        <f>3200*Tabla3[[#This Row],[% Beca Reinscripciones UNAM 17-18]]</f>
        <v>0</v>
      </c>
      <c r="BB107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07" s="217"/>
      <c r="BD107" s="218" t="e">
        <f>Tabla3[[#This Row],[Monto Colegiatura ]]*Tabla3[[#This Row],[% Beca Comunidad 17-18]]</f>
        <v>#N/A</v>
      </c>
      <c r="BE107" s="218" t="e">
        <f>Tabla3[[#This Row],[Cantidad Beca Comunidad Colegiatura 17-18]]*75%</f>
        <v>#N/A</v>
      </c>
      <c r="BF107" s="219"/>
      <c r="BG107" s="218" t="e">
        <f>Tabla3[[#This Row],[Reinscripción]]*Tabla3[[#This Row],[% Beca Reinscripciones Comunidad 18-19]]</f>
        <v>#N/A</v>
      </c>
      <c r="BH107" s="218" t="e">
        <f>Tabla3[[#This Row],[Cantidad Beca Reinscripciones Comunidad 18-19]]*70%</f>
        <v>#N/A</v>
      </c>
      <c r="BI107" s="224" t="e">
        <f>Tabla3[[#This Row],[75% Cantidad Beca Comunidad Colegiatura 17-18]]+Tabla3[[#This Row],[70% Cantidad Beca Reinscripciones 18-19]]</f>
        <v>#N/A</v>
      </c>
      <c r="BJ107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07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07" s="255"/>
      <c r="BM107" s="225"/>
      <c r="BN107" s="221"/>
      <c r="BO107" s="107"/>
      <c r="BP107" s="107">
        <f>Tabla3[[#This Row],[% AutorizadoBeca Colegiatura 17-18]]+Tabla3[[#This Row],[% Beca Prestacion 17-18]]+Tabla3[[#This Row],[% Beca UNAM 17-18]]</f>
        <v>0.4</v>
      </c>
      <c r="BQ107" s="108">
        <f t="shared" si="3"/>
        <v>458.8</v>
      </c>
      <c r="BR107" s="107">
        <f>Tabla3[[#This Row],[% Beca Comunidad 17-18]]</f>
        <v>0</v>
      </c>
      <c r="BS107" s="108">
        <f t="shared" si="4"/>
        <v>0</v>
      </c>
      <c r="BT107" s="108">
        <f t="shared" si="5"/>
        <v>0</v>
      </c>
      <c r="BU107" s="108">
        <f>Tabla3[[#This Row],[Monto3]]*75%</f>
        <v>0</v>
      </c>
      <c r="BV107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07" s="107" t="e">
        <f>VLOOKUP(Tabla3[[#This Row],[Nombre del Alumno]],'[3]BECAS COLEGIATURAS'!$I:$N,6,0)</f>
        <v>#N/A</v>
      </c>
      <c r="BX107" s="107" t="e">
        <f>VLOOKUP(Tabla3[[#This Row],[Nombre del Alumno]],[1]!Tabla1[[NOMBRE DEL ALUMNO]:[MATRIZ]],6,0)</f>
        <v>#REF!</v>
      </c>
      <c r="BY107" s="107" t="e">
        <f>VLOOKUP(Tabla3[[#This Row],[Nombre del Alumno]],'[3]BECAS COLEGIATURAS'!$I:$L,4,0)</f>
        <v>#N/A</v>
      </c>
      <c r="BZ107" s="108" t="e">
        <f>VLOOKUP(Tabla3[[#This Row],[Grado 18-19]],[2]Cuotas!$Q:$U,2,0)</f>
        <v>#N/A</v>
      </c>
      <c r="CA107" s="108" t="e">
        <f>VLOOKUP(Tabla3[[#This Row],[Grado 18-19]],[2]Cuotas!$Q:$U,3,0)</f>
        <v>#N/A</v>
      </c>
      <c r="CB107" s="108" t="e">
        <f>VLOOKUP(Tabla3[[#This Row],[Grado 18-19]],[2]Cuotas!$Q:$U,4,0)</f>
        <v>#N/A</v>
      </c>
      <c r="CC107" s="107">
        <v>0</v>
      </c>
      <c r="CD107" s="222"/>
      <c r="CE107" s="218" t="e">
        <f>Tabla3[[#This Row],[Monto Colegiatura 2018-2019]]*Tabla3[[#This Row],[% AutorizadoBeca Colegiatura 18-19]]</f>
        <v>#N/A</v>
      </c>
      <c r="CF107" s="223">
        <v>0.5</v>
      </c>
      <c r="CG107" s="218" t="e">
        <f>Tabla3[[#This Row],[Monto Colegiatura 2018-2019]]*Tabla3[[#This Row],[% Beca Prestacion 18-19]]</f>
        <v>#N/A</v>
      </c>
      <c r="CH107" s="223"/>
      <c r="CI107" s="218" t="e">
        <f>Tabla3[[#This Row],[Canasta 2018-2019]]*Tabla3[[#This Row],[% Beca Canasta 18-19]]</f>
        <v>#N/A</v>
      </c>
      <c r="CJ107" s="223"/>
      <c r="CK107" s="218" t="e">
        <f>Tabla3[[#This Row],[Reinscripción 2019-2020]]*Tabla3[[#This Row],[% Beca Reinscripciones 19-20]]</f>
        <v>#N/A</v>
      </c>
      <c r="CL107" s="218" t="e">
        <f>Tabla3[[#This Row],[Cantidad Beca Comunidad Colegiatura 18-19]]*25%</f>
        <v>#N/A</v>
      </c>
      <c r="CM107" s="224" t="e">
        <f>Tabla3[[#This Row],[Cantidad Beca Reinscripciones Comunidad 19-20]]*25%</f>
        <v>#N/A</v>
      </c>
      <c r="CN107" s="222"/>
      <c r="CO107" s="218" t="e">
        <f>Tabla3[[#This Row],[Monto Colegiatura 2018-2019]]*Tabla3[[#This Row],[% Beca UNAM 18-19]]</f>
        <v>#N/A</v>
      </c>
      <c r="CP107" s="225"/>
      <c r="CQ107" s="224">
        <f>3328*Tabla3[[#This Row],[% Beca Reinscripciones UNAM 18-19]]</f>
        <v>0</v>
      </c>
      <c r="CR107" s="226" t="e">
        <f>Tabla3[[#This Row],[Cantidad Beca Colegiatura 18-19]]+Tabla3[[#This Row],[Cantidad Beca Canasta 18-19]]+Tabla3[[#This Row],[Cantidad Beca Reinscripciones 19-20]]</f>
        <v>#N/A</v>
      </c>
      <c r="CS107" s="222"/>
      <c r="CT107" s="218" t="e">
        <f>Tabla3[[#This Row],[Monto Colegiatura 2018-2019]]*Tabla3[[#This Row],[% Beca Comunidad 18-19]]</f>
        <v>#N/A</v>
      </c>
      <c r="CU107" s="218" t="e">
        <f>Tabla3[[#This Row],[Cantidad Beca Comunidad Colegiatura 18-19]]*75%</f>
        <v>#N/A</v>
      </c>
      <c r="CV107" s="223"/>
      <c r="CW107" s="218" t="e">
        <f>Tabla3[[#This Row],[Reinscripción 2019-2020]]*Tabla3[[#This Row],[% Beca Reinscripciones Comunidad 19-20]]</f>
        <v>#N/A</v>
      </c>
      <c r="CX107" s="218" t="e">
        <f>Tabla3[[#This Row],[Cantidad Beca Reinscripciones Comunidad 19-20]]*75%</f>
        <v>#N/A</v>
      </c>
      <c r="CY107" s="227" t="e">
        <f>Tabla3[[#This Row],[75% Cantidad Beca Comunidad Colegiatura 18-19]]+Tabla3[[#This Row],[75% Cantidad Beca Reinscripciones 19-20]]</f>
        <v>#N/A</v>
      </c>
      <c r="CZ107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07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07" s="108">
        <f>1440*(Tabla3[[#This Row],[% AutorizadoBeca Colegiatura 18-19]]+Tabla3[[#This Row],[% Beca Prestacion 18-19]]+Tabla3[[#This Row],[% Beca UNAM 18-19]]+Tabla3[[#This Row],[% Beca Comunidad 18-19]])</f>
        <v>720</v>
      </c>
    </row>
    <row r="108" spans="2:106" ht="15" hidden="1" customHeight="1" x14ac:dyDescent="0.2">
      <c r="B108" s="107" t="s">
        <v>726</v>
      </c>
      <c r="C108" s="107" t="e">
        <f>VLOOKUP(Tabla3[[#This Row],[Nombre del Padre]],[1]!Tabla1[[PADRE]:[PADRE_CELULAR]],2,0)</f>
        <v>#REF!</v>
      </c>
      <c r="D108" s="107" t="e">
        <f>VLOOKUP(Tabla3[[#This Row],[Nombre del Padre]],[1]!Tabla1[[PADRE]:[PADRE_CELULAR]],3,0)</f>
        <v>#REF!</v>
      </c>
      <c r="E108" s="107" t="s">
        <v>727</v>
      </c>
      <c r="F108" s="107" t="e">
        <f>VLOOKUP(Tabla3[[#This Row],[Nombre de la Madre]],[1]!Tabla1[[MADRE]:[MADRE_TELEFONO]],2,0)</f>
        <v>#REF!</v>
      </c>
      <c r="G108" s="202" t="e">
        <f>VLOOKUP(Tabla3[[#This Row],[Nombre de la Madre]],[1]!Tabla1[[MADRE]:[MADRE_TELEFONO]],3,0)</f>
        <v>#REF!</v>
      </c>
      <c r="H108" s="230">
        <v>60</v>
      </c>
      <c r="I108" s="278">
        <v>1804</v>
      </c>
      <c r="J108" s="278" t="s">
        <v>728</v>
      </c>
      <c r="K108" s="278" t="s">
        <v>273</v>
      </c>
      <c r="L108" s="278" t="s">
        <v>729</v>
      </c>
      <c r="M108" s="279" t="s">
        <v>730</v>
      </c>
      <c r="N108" s="204" t="s">
        <v>291</v>
      </c>
      <c r="O108" s="218" t="e">
        <f>VLOOKUP(Tabla3[[#This Row],[Grado]],[2]Cuotas!$A:$E,2,0)</f>
        <v>#N/A</v>
      </c>
      <c r="P108" s="218" t="e">
        <f>VLOOKUP(Tabla3[[#This Row],[Grado]],[2]Cuotas!$A:$E,4,0)</f>
        <v>#N/A</v>
      </c>
      <c r="Q108" s="218" t="e">
        <f>VLOOKUP(Tabla3[[#This Row],[Grado]],[2]Cuotas!$A:$E,3,0)</f>
        <v>#N/A</v>
      </c>
      <c r="R108" s="247"/>
      <c r="S108" s="206" t="e">
        <f>Tabla3[[#This Row],[Monto Colegiatura]]*Tabla3[[#This Row],[% Beca Colegio 16-17]]</f>
        <v>#N/A</v>
      </c>
      <c r="T108" s="218"/>
      <c r="U108" s="218" t="e">
        <f>Tabla3[[#This Row],[Monto Colegiatura]]*Tabla3[[#This Row],[% Beca Prestación 16-17]]</f>
        <v>#N/A</v>
      </c>
      <c r="V108" s="219">
        <v>0.9</v>
      </c>
      <c r="W108" s="206" t="e">
        <f>Tabla3[[#This Row],[Monto Colegiatura]]*Tabla3[[#This Row],[% Beca Comunidad 16-17]]</f>
        <v>#N/A</v>
      </c>
      <c r="X108" s="218" t="e">
        <f>Tabla3[[#This Row],[Cantidad Beca Comunidad 16-17]]*25%</f>
        <v>#N/A</v>
      </c>
      <c r="Y108" s="218"/>
      <c r="Z108" s="218" t="e">
        <f>Tabla3[[#This Row],[Monto Colegiatura]]*Tabla3[[#This Row],[% Beca UNAM 16-17]]</f>
        <v>#N/A</v>
      </c>
      <c r="AA108" s="219"/>
      <c r="AB108" s="218" t="e">
        <f>Tabla3[[#This Row],[Monto Reinscripción]]*Tabla3[[#This Row],[% Beca Reinscripción 16-17]]</f>
        <v>#N/A</v>
      </c>
      <c r="AC108" s="218"/>
      <c r="AD108" s="218" t="e">
        <f>Tabla3[[#This Row],[Monto Canasta]]*Tabla3[[#This Row],[% Beca Canasta 16-17]]</f>
        <v>#N/A</v>
      </c>
      <c r="AE108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08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08" s="209" t="e">
        <f>VLOOKUP(Tabla3[[#This Row],[Nombre del Alumno]],[2]!Tabla1[[Alumno]:[Cuenta Ciclos]],2,0)</f>
        <v>#REF!</v>
      </c>
      <c r="AH108" s="280" t="s">
        <v>731</v>
      </c>
      <c r="AI108" s="211" t="s">
        <v>409</v>
      </c>
      <c r="AJ108" s="206" t="e">
        <f>VLOOKUP(Tabla3[[#This Row],[Grado 17-18]],[2]Cuotas!$H:$L,2,0)</f>
        <v>#N/A</v>
      </c>
      <c r="AK108" s="206" t="e">
        <f>VLOOKUP(Tabla3[[#This Row],[Grado 17-18]],[2]Cuotas!$H:$L,3,0)</f>
        <v>#N/A</v>
      </c>
      <c r="AL108" s="206" t="e">
        <f>VLOOKUP(Tabla3[[#This Row],[Grado 17-18]],[2]Cuotas!$H:$L,4,0)</f>
        <v>#N/A</v>
      </c>
      <c r="AM108" s="223"/>
      <c r="AN108" s="252"/>
      <c r="AO108" s="206" t="e">
        <f>Tabla3[[#This Row],[Monto Colegiatura ]]*Tabla3[[#This Row],[% AutorizadoBeca Colegiatura 17-18]]</f>
        <v>#N/A</v>
      </c>
      <c r="AP108" s="219"/>
      <c r="AQ108" s="206" t="e">
        <f>Tabla3[[#This Row],[Monto Colegiatura ]]*Tabla3[[#This Row],[% Beca Prestacion 17-18]]</f>
        <v>#N/A</v>
      </c>
      <c r="AR108" s="219"/>
      <c r="AS108" s="206" t="e">
        <f>Tabla3[[#This Row],[Canasta]]*Tabla3[[#This Row],[% Beca Canasta 17-18]]</f>
        <v>#N/A</v>
      </c>
      <c r="AT108" s="219"/>
      <c r="AU108" s="253">
        <v>0</v>
      </c>
      <c r="AV108" s="206" t="e">
        <f>Tabla3[[#This Row],[Cantidad Beca Comunidad Colegiatura 17-18]]*25%</f>
        <v>#N/A</v>
      </c>
      <c r="AW108" s="206"/>
      <c r="AX108" s="254"/>
      <c r="AY108" s="206" t="e">
        <f>Tabla3[[#This Row],[Monto Colegiatura ]]*Tabla3[[#This Row],[% Beca UNAM 17-18]]</f>
        <v>#N/A</v>
      </c>
      <c r="AZ108" s="218"/>
      <c r="BA108" s="224">
        <f>3200*Tabla3[[#This Row],[% Beca Reinscripciones UNAM 17-18]]</f>
        <v>0</v>
      </c>
      <c r="BB108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08" s="217">
        <v>0.8</v>
      </c>
      <c r="BD108" s="218" t="e">
        <f>Tabla3[[#This Row],[Monto Colegiatura ]]*Tabla3[[#This Row],[% Beca Comunidad 17-18]]</f>
        <v>#N/A</v>
      </c>
      <c r="BE108" s="218" t="e">
        <f>Tabla3[[#This Row],[Cantidad Beca Comunidad Colegiatura 17-18]]*75%</f>
        <v>#N/A</v>
      </c>
      <c r="BF108" s="219"/>
      <c r="BG108" s="218" t="e">
        <f>Tabla3[[#This Row],[Reinscripción]]*Tabla3[[#This Row],[% Beca Reinscripciones Comunidad 18-19]]</f>
        <v>#N/A</v>
      </c>
      <c r="BH108" s="218" t="e">
        <f>Tabla3[[#This Row],[Cantidad Beca Reinscripciones Comunidad 18-19]]*70%</f>
        <v>#N/A</v>
      </c>
      <c r="BI108" s="224" t="e">
        <f>Tabla3[[#This Row],[75% Cantidad Beca Comunidad Colegiatura 17-18]]+Tabla3[[#This Row],[70% Cantidad Beca Reinscripciones 18-19]]</f>
        <v>#N/A</v>
      </c>
      <c r="BJ108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08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08" s="255"/>
      <c r="BM108" s="225"/>
      <c r="BN108" s="221"/>
      <c r="BO108" s="107"/>
      <c r="BP108" s="107">
        <f>Tabla3[[#This Row],[% AutorizadoBeca Colegiatura 17-18]]+Tabla3[[#This Row],[% Beca Prestacion 17-18]]+Tabla3[[#This Row],[% Beca UNAM 17-18]]</f>
        <v>0</v>
      </c>
      <c r="BQ108" s="108">
        <f t="shared" si="3"/>
        <v>0</v>
      </c>
      <c r="BR108" s="107">
        <f>Tabla3[[#This Row],[% Beca Comunidad 17-18]]</f>
        <v>0.8</v>
      </c>
      <c r="BS108" s="108">
        <f t="shared" si="4"/>
        <v>917.6</v>
      </c>
      <c r="BT108" s="108">
        <f t="shared" si="5"/>
        <v>229.4</v>
      </c>
      <c r="BU108" s="108">
        <f>Tabla3[[#This Row],[Monto3]]*75%</f>
        <v>688.2</v>
      </c>
      <c r="BV108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08" s="107" t="e">
        <f>VLOOKUP(Tabla3[[#This Row],[Nombre del Alumno]],'[3]BECAS COLEGIATURAS'!$I:$N,6,0)</f>
        <v>#N/A</v>
      </c>
      <c r="BX108" s="281" t="s">
        <v>732</v>
      </c>
      <c r="BY108" s="281" t="s">
        <v>542</v>
      </c>
      <c r="BZ108" s="108" t="e">
        <f>VLOOKUP(Tabla3[[#This Row],[Grado 18-19]],[2]Cuotas!$Q:$U,2,0)</f>
        <v>#N/A</v>
      </c>
      <c r="CA108" s="108" t="e">
        <f>VLOOKUP(Tabla3[[#This Row],[Grado 18-19]],[2]Cuotas!$Q:$U,3,0)</f>
        <v>#N/A</v>
      </c>
      <c r="CB108" s="108" t="e">
        <f>VLOOKUP(Tabla3[[#This Row],[Grado 18-19]],[2]Cuotas!$Q:$U,4,0)</f>
        <v>#N/A</v>
      </c>
      <c r="CC108" s="276">
        <v>0</v>
      </c>
      <c r="CD108" s="282"/>
      <c r="CE108" s="270" t="e">
        <f>Tabla3[[#This Row],[Monto Colegiatura 2018-2019]]*Tabla3[[#This Row],[% AutorizadoBeca Colegiatura 18-19]]</f>
        <v>#N/A</v>
      </c>
      <c r="CF108" s="283"/>
      <c r="CG108" s="270" t="e">
        <f>Tabla3[[#This Row],[Monto Colegiatura 2018-2019]]*Tabla3[[#This Row],[% Beca Prestacion 18-19]]</f>
        <v>#N/A</v>
      </c>
      <c r="CH108" s="283"/>
      <c r="CI108" s="270" t="e">
        <f>Tabla3[[#This Row],[Canasta 2018-2019]]*Tabla3[[#This Row],[% Beca Canasta 18-19]]</f>
        <v>#N/A</v>
      </c>
      <c r="CJ108" s="283"/>
      <c r="CK108" s="270" t="e">
        <f>Tabla3[[#This Row],[Reinscripción 2019-2020]]*Tabla3[[#This Row],[% Beca Reinscripciones 19-20]]</f>
        <v>#N/A</v>
      </c>
      <c r="CL108" s="270" t="e">
        <f>Tabla3[[#This Row],[Cantidad Beca Comunidad Colegiatura 18-19]]*25%</f>
        <v>#N/A</v>
      </c>
      <c r="CM108" s="271" t="e">
        <f>Tabla3[[#This Row],[Cantidad Beca Reinscripciones Comunidad 19-20]]*25%</f>
        <v>#N/A</v>
      </c>
      <c r="CN108" s="282"/>
      <c r="CO108" s="270" t="e">
        <f>Tabla3[[#This Row],[Monto Colegiatura 2018-2019]]*Tabla3[[#This Row],[% Beca UNAM 18-19]]</f>
        <v>#N/A</v>
      </c>
      <c r="CP108" s="284"/>
      <c r="CQ108" s="271">
        <f>3328*Tabla3[[#This Row],[% Beca Reinscripciones UNAM 18-19]]</f>
        <v>0</v>
      </c>
      <c r="CR108" s="285" t="e">
        <f>Tabla3[[#This Row],[Cantidad Beca Colegiatura 18-19]]+Tabla3[[#This Row],[Cantidad Beca Canasta 18-19]]+Tabla3[[#This Row],[Cantidad Beca Reinscripciones 19-20]]</f>
        <v>#N/A</v>
      </c>
      <c r="CS108" s="282"/>
      <c r="CT108" s="270" t="e">
        <f>Tabla3[[#This Row],[Monto Colegiatura 2018-2019]]*Tabla3[[#This Row],[% Beca Comunidad 18-19]]</f>
        <v>#N/A</v>
      </c>
      <c r="CU108" s="270" t="e">
        <f>Tabla3[[#This Row],[Cantidad Beca Comunidad Colegiatura 18-19]]*75%</f>
        <v>#N/A</v>
      </c>
      <c r="CV108" s="283"/>
      <c r="CW108" s="270" t="e">
        <f>Tabla3[[#This Row],[Reinscripción 2019-2020]]*Tabla3[[#This Row],[% Beca Reinscripciones Comunidad 19-20]]</f>
        <v>#N/A</v>
      </c>
      <c r="CX108" s="270" t="e">
        <f>Tabla3[[#This Row],[Cantidad Beca Reinscripciones Comunidad 19-20]]*75%</f>
        <v>#N/A</v>
      </c>
      <c r="CY108" s="286" t="e">
        <f>Tabla3[[#This Row],[75% Cantidad Beca Comunidad Colegiatura 18-19]]+Tabla3[[#This Row],[75% Cantidad Beca Reinscripciones 19-20]]</f>
        <v>#N/A</v>
      </c>
      <c r="CZ108" s="277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08" s="277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08" s="277">
        <f>1440*(Tabla3[[#This Row],[% AutorizadoBeca Colegiatura 18-19]]+Tabla3[[#This Row],[% Beca Prestacion 18-19]]+Tabla3[[#This Row],[% Beca UNAM 18-19]]+Tabla3[[#This Row],[% Beca Comunidad 18-19]])</f>
        <v>0</v>
      </c>
    </row>
    <row r="109" spans="2:106" ht="15" customHeight="1" x14ac:dyDescent="0.2">
      <c r="B109" s="107" t="s">
        <v>726</v>
      </c>
      <c r="C109" s="107" t="e">
        <f>VLOOKUP(Tabla3[[#This Row],[Nombre del Padre]],[1]!Tabla1[[PADRE]:[PADRE_CELULAR]],2,0)</f>
        <v>#REF!</v>
      </c>
      <c r="D109" s="107" t="e">
        <f>VLOOKUP(Tabla3[[#This Row],[Nombre del Padre]],[1]!Tabla1[[PADRE]:[PADRE_CELULAR]],3,0)</f>
        <v>#REF!</v>
      </c>
      <c r="E109" s="107" t="s">
        <v>727</v>
      </c>
      <c r="F109" s="107" t="e">
        <f>VLOOKUP(Tabla3[[#This Row],[Nombre de la Madre]],[1]!Tabla1[[MADRE]:[MADRE_TELEFONO]],2,0)</f>
        <v>#REF!</v>
      </c>
      <c r="G109" s="202" t="e">
        <f>VLOOKUP(Tabla3[[#This Row],[Nombre de la Madre]],[1]!Tabla1[[MADRE]:[MADRE_TELEFONO]],3,0)</f>
        <v>#REF!</v>
      </c>
      <c r="H109" s="230"/>
      <c r="I109" s="225">
        <v>1804</v>
      </c>
      <c r="J109" s="225" t="s">
        <v>728</v>
      </c>
      <c r="K109" s="225" t="s">
        <v>273</v>
      </c>
      <c r="L109" s="225" t="s">
        <v>733</v>
      </c>
      <c r="M109" s="205" t="s">
        <v>734</v>
      </c>
      <c r="N109" s="204" t="s">
        <v>276</v>
      </c>
      <c r="O109" s="218" t="e">
        <f>VLOOKUP(Tabla3[[#This Row],[Grado]],[2]Cuotas!$A:$E,2,0)</f>
        <v>#N/A</v>
      </c>
      <c r="P109" s="218" t="e">
        <f>VLOOKUP(Tabla3[[#This Row],[Grado]],[2]Cuotas!$A:$E,4,0)</f>
        <v>#N/A</v>
      </c>
      <c r="Q109" s="218" t="e">
        <f>VLOOKUP(Tabla3[[#This Row],[Grado]],[2]Cuotas!$A:$E,3,0)</f>
        <v>#N/A</v>
      </c>
      <c r="R109" s="247"/>
      <c r="S109" s="206" t="e">
        <f>Tabla3[[#This Row],[Monto Colegiatura]]*Tabla3[[#This Row],[% Beca Colegio 16-17]]</f>
        <v>#N/A</v>
      </c>
      <c r="T109" s="218"/>
      <c r="U109" s="218" t="e">
        <f>Tabla3[[#This Row],[Monto Colegiatura]]*Tabla3[[#This Row],[% Beca Prestación 16-17]]</f>
        <v>#N/A</v>
      </c>
      <c r="V109" s="219">
        <v>0.9</v>
      </c>
      <c r="W109" s="206" t="e">
        <f>Tabla3[[#This Row],[Monto Colegiatura]]*Tabla3[[#This Row],[% Beca Comunidad 16-17]]</f>
        <v>#N/A</v>
      </c>
      <c r="X109" s="218" t="e">
        <f>Tabla3[[#This Row],[Cantidad Beca Comunidad 16-17]]*25%</f>
        <v>#N/A</v>
      </c>
      <c r="Y109" s="218"/>
      <c r="Z109" s="218" t="e">
        <f>Tabla3[[#This Row],[Monto Colegiatura]]*Tabla3[[#This Row],[% Beca UNAM 16-17]]</f>
        <v>#N/A</v>
      </c>
      <c r="AA109" s="219"/>
      <c r="AB109" s="218" t="e">
        <f>Tabla3[[#This Row],[Monto Reinscripción]]*Tabla3[[#This Row],[% Beca Reinscripción 16-17]]</f>
        <v>#N/A</v>
      </c>
      <c r="AC109" s="218"/>
      <c r="AD109" s="218" t="e">
        <f>Tabla3[[#This Row],[Monto Canasta]]*Tabla3[[#This Row],[% Beca Canasta 16-17]]</f>
        <v>#N/A</v>
      </c>
      <c r="AE109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09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09" s="209" t="e">
        <f>VLOOKUP(Tabla3[[#This Row],[Nombre del Alumno]],[2]!Tabla1[[Alumno]:[Cuenta Ciclos]],2,0)</f>
        <v>#REF!</v>
      </c>
      <c r="AH109" s="210" t="s">
        <v>735</v>
      </c>
      <c r="AI109" s="211" t="s">
        <v>278</v>
      </c>
      <c r="AJ109" s="206" t="e">
        <f>VLOOKUP(Tabla3[[#This Row],[Grado 17-18]],[2]Cuotas!$H:$L,2,0)</f>
        <v>#N/A</v>
      </c>
      <c r="AK109" s="206" t="e">
        <f>VLOOKUP(Tabla3[[#This Row],[Grado 17-18]],[2]Cuotas!$H:$L,3,0)</f>
        <v>#N/A</v>
      </c>
      <c r="AL109" s="206" t="e">
        <f>VLOOKUP(Tabla3[[#This Row],[Grado 17-18]],[2]Cuotas!$H:$L,4,0)</f>
        <v>#N/A</v>
      </c>
      <c r="AM109" s="223"/>
      <c r="AN109" s="252"/>
      <c r="AO109" s="206" t="e">
        <f>Tabla3[[#This Row],[Monto Colegiatura ]]*Tabla3[[#This Row],[% AutorizadoBeca Colegiatura 17-18]]</f>
        <v>#N/A</v>
      </c>
      <c r="AP109" s="219"/>
      <c r="AQ109" s="206" t="e">
        <f>Tabla3[[#This Row],[Monto Colegiatura ]]*Tabla3[[#This Row],[% Beca Prestacion 17-18]]</f>
        <v>#N/A</v>
      </c>
      <c r="AR109" s="219"/>
      <c r="AS109" s="206" t="e">
        <f>Tabla3[[#This Row],[Canasta]]*Tabla3[[#This Row],[% Beca Canasta 17-18]]</f>
        <v>#N/A</v>
      </c>
      <c r="AT109" s="219"/>
      <c r="AU109" s="253">
        <v>0</v>
      </c>
      <c r="AV109" s="206" t="e">
        <f>Tabla3[[#This Row],[Cantidad Beca Comunidad Colegiatura 17-18]]*25%</f>
        <v>#N/A</v>
      </c>
      <c r="AW109" s="206"/>
      <c r="AX109" s="254"/>
      <c r="AY109" s="206" t="e">
        <f>Tabla3[[#This Row],[Monto Colegiatura ]]*Tabla3[[#This Row],[% Beca UNAM 17-18]]</f>
        <v>#N/A</v>
      </c>
      <c r="AZ109" s="218"/>
      <c r="BA109" s="224">
        <f>3200*Tabla3[[#This Row],[% Beca Reinscripciones UNAM 17-18]]</f>
        <v>0</v>
      </c>
      <c r="BB109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09" s="217">
        <v>0.8</v>
      </c>
      <c r="BD109" s="218" t="e">
        <f>Tabla3[[#This Row],[Monto Colegiatura ]]*Tabla3[[#This Row],[% Beca Comunidad 17-18]]</f>
        <v>#N/A</v>
      </c>
      <c r="BE109" s="218" t="e">
        <f>Tabla3[[#This Row],[Cantidad Beca Comunidad Colegiatura 17-18]]*75%</f>
        <v>#N/A</v>
      </c>
      <c r="BF109" s="219"/>
      <c r="BG109" s="218" t="e">
        <f>Tabla3[[#This Row],[Reinscripción]]*Tabla3[[#This Row],[% Beca Reinscripciones Comunidad 18-19]]</f>
        <v>#N/A</v>
      </c>
      <c r="BH109" s="218" t="e">
        <f>Tabla3[[#This Row],[Cantidad Beca Reinscripciones Comunidad 18-19]]*70%</f>
        <v>#N/A</v>
      </c>
      <c r="BI109" s="224" t="e">
        <f>Tabla3[[#This Row],[75% Cantidad Beca Comunidad Colegiatura 17-18]]+Tabla3[[#This Row],[70% Cantidad Beca Reinscripciones 18-19]]</f>
        <v>#N/A</v>
      </c>
      <c r="BJ109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09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09" s="255"/>
      <c r="BM109" s="225"/>
      <c r="BN109" s="221"/>
      <c r="BO109" s="107"/>
      <c r="BP109" s="107">
        <f>Tabla3[[#This Row],[% AutorizadoBeca Colegiatura 17-18]]+Tabla3[[#This Row],[% Beca Prestacion 17-18]]+Tabla3[[#This Row],[% Beca UNAM 17-18]]</f>
        <v>0</v>
      </c>
      <c r="BQ109" s="108">
        <f t="shared" si="3"/>
        <v>0</v>
      </c>
      <c r="BR109" s="107">
        <f>Tabla3[[#This Row],[% Beca Comunidad 17-18]]</f>
        <v>0.8</v>
      </c>
      <c r="BS109" s="108">
        <f t="shared" si="4"/>
        <v>917.6</v>
      </c>
      <c r="BT109" s="108">
        <f t="shared" si="5"/>
        <v>229.4</v>
      </c>
      <c r="BU109" s="108">
        <f>Tabla3[[#This Row],[Monto3]]*75%</f>
        <v>688.2</v>
      </c>
      <c r="BV109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09" s="107" t="e">
        <f>VLOOKUP(Tabla3[[#This Row],[Nombre del Alumno]],'[3]BECAS COLEGIATURAS'!$I:$N,6,0)</f>
        <v>#N/A</v>
      </c>
      <c r="BX109" s="107" t="e">
        <f>VLOOKUP(Tabla3[[#This Row],[Nombre del Alumno]],[1]!Tabla1[[NOMBRE DEL ALUMNO]:[MATRIZ]],6,0)</f>
        <v>#REF!</v>
      </c>
      <c r="BY109" s="107" t="e">
        <f>VLOOKUP(Tabla3[[#This Row],[Nombre del Alumno]],'[3]BECAS COLEGIATURAS'!$I:$L,4,0)</f>
        <v>#N/A</v>
      </c>
      <c r="BZ109" s="108" t="e">
        <f>VLOOKUP(Tabla3[[#This Row],[Grado 18-19]],[2]Cuotas!$Q:$U,2,0)</f>
        <v>#N/A</v>
      </c>
      <c r="CA109" s="108" t="e">
        <f>VLOOKUP(Tabla3[[#This Row],[Grado 18-19]],[2]Cuotas!$Q:$U,3,0)</f>
        <v>#N/A</v>
      </c>
      <c r="CB109" s="108" t="e">
        <f>VLOOKUP(Tabla3[[#This Row],[Grado 18-19]],[2]Cuotas!$Q:$U,4,0)</f>
        <v>#N/A</v>
      </c>
      <c r="CC109" s="107">
        <v>0</v>
      </c>
      <c r="CD109" s="222"/>
      <c r="CE109" s="218" t="e">
        <f>Tabla3[[#This Row],[Monto Colegiatura 2018-2019]]*Tabla3[[#This Row],[% AutorizadoBeca Colegiatura 18-19]]</f>
        <v>#N/A</v>
      </c>
      <c r="CF109" s="223"/>
      <c r="CG109" s="218" t="e">
        <f>Tabla3[[#This Row],[Monto Colegiatura 2018-2019]]*Tabla3[[#This Row],[% Beca Prestacion 18-19]]</f>
        <v>#N/A</v>
      </c>
      <c r="CH109" s="223"/>
      <c r="CI109" s="218" t="e">
        <f>Tabla3[[#This Row],[Canasta 2018-2019]]*Tabla3[[#This Row],[% Beca Canasta 18-19]]</f>
        <v>#N/A</v>
      </c>
      <c r="CJ109" s="223"/>
      <c r="CK109" s="218" t="e">
        <f>Tabla3[[#This Row],[Reinscripción 2019-2020]]*Tabla3[[#This Row],[% Beca Reinscripciones 19-20]]</f>
        <v>#N/A</v>
      </c>
      <c r="CL109" s="218" t="e">
        <f>Tabla3[[#This Row],[Cantidad Beca Comunidad Colegiatura 18-19]]*25%</f>
        <v>#N/A</v>
      </c>
      <c r="CM109" s="224" t="e">
        <f>Tabla3[[#This Row],[Cantidad Beca Reinscripciones Comunidad 19-20]]*25%</f>
        <v>#N/A</v>
      </c>
      <c r="CN109" s="222"/>
      <c r="CO109" s="218" t="e">
        <f>Tabla3[[#This Row],[Monto Colegiatura 2018-2019]]*Tabla3[[#This Row],[% Beca UNAM 18-19]]</f>
        <v>#N/A</v>
      </c>
      <c r="CP109" s="225"/>
      <c r="CQ109" s="224">
        <f>3328*Tabla3[[#This Row],[% Beca Reinscripciones UNAM 18-19]]</f>
        <v>0</v>
      </c>
      <c r="CR109" s="226" t="e">
        <f>Tabla3[[#This Row],[Cantidad Beca Colegiatura 18-19]]+Tabla3[[#This Row],[Cantidad Beca Canasta 18-19]]+Tabla3[[#This Row],[Cantidad Beca Reinscripciones 19-20]]</f>
        <v>#N/A</v>
      </c>
      <c r="CS109" s="222">
        <v>0.8</v>
      </c>
      <c r="CT109" s="218" t="e">
        <f>Tabla3[[#This Row],[Monto Colegiatura 2018-2019]]*Tabla3[[#This Row],[% Beca Comunidad 18-19]]</f>
        <v>#N/A</v>
      </c>
      <c r="CU109" s="218" t="e">
        <f>Tabla3[[#This Row],[Cantidad Beca Comunidad Colegiatura 18-19]]*75%</f>
        <v>#N/A</v>
      </c>
      <c r="CV109" s="223"/>
      <c r="CW109" s="218" t="e">
        <f>Tabla3[[#This Row],[Reinscripción 2019-2020]]*Tabla3[[#This Row],[% Beca Reinscripciones Comunidad 19-20]]</f>
        <v>#N/A</v>
      </c>
      <c r="CX109" s="218" t="e">
        <f>Tabla3[[#This Row],[Cantidad Beca Reinscripciones Comunidad 19-20]]*75%</f>
        <v>#N/A</v>
      </c>
      <c r="CY109" s="227" t="e">
        <f>Tabla3[[#This Row],[75% Cantidad Beca Comunidad Colegiatura 18-19]]+Tabla3[[#This Row],[75% Cantidad Beca Reinscripciones 19-20]]</f>
        <v>#N/A</v>
      </c>
      <c r="CZ109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09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09" s="108">
        <f>1440*(Tabla3[[#This Row],[% AutorizadoBeca Colegiatura 18-19]]+Tabla3[[#This Row],[% Beca Prestacion 18-19]]+Tabla3[[#This Row],[% Beca UNAM 18-19]]+Tabla3[[#This Row],[% Beca Comunidad 18-19]])</f>
        <v>1152</v>
      </c>
    </row>
    <row r="110" spans="2:106" ht="15" customHeight="1" x14ac:dyDescent="0.2">
      <c r="B110" s="107" t="s">
        <v>736</v>
      </c>
      <c r="C110" s="107" t="e">
        <f>VLOOKUP(Tabla3[[#This Row],[Nombre del Padre]],[1]!Tabla1[[PADRE]:[PADRE_CELULAR]],2,0)</f>
        <v>#REF!</v>
      </c>
      <c r="D110" s="107" t="e">
        <f>VLOOKUP(Tabla3[[#This Row],[Nombre del Padre]],[1]!Tabla1[[PADRE]:[PADRE_CELULAR]],3,0)</f>
        <v>#REF!</v>
      </c>
      <c r="E110" s="107" t="s">
        <v>737</v>
      </c>
      <c r="F110" s="107" t="e">
        <f>VLOOKUP(Tabla3[[#This Row],[Nombre de la Madre]],[1]!Tabla1[[MADRE]:[MADRE_TELEFONO]],2,0)</f>
        <v>#REF!</v>
      </c>
      <c r="G110" s="234" t="e">
        <f>VLOOKUP(Tabla3[[#This Row],[Nombre de la Madre]],[1]!Tabla1[[MADRE]:[MADRE_TELEFONO]],3,0)</f>
        <v>#REF!</v>
      </c>
      <c r="H110" s="230">
        <v>61</v>
      </c>
      <c r="I110" s="225">
        <v>1618</v>
      </c>
      <c r="J110" s="225" t="s">
        <v>738</v>
      </c>
      <c r="K110" s="225" t="s">
        <v>273</v>
      </c>
      <c r="L110" s="225" t="s">
        <v>100</v>
      </c>
      <c r="M110" s="205" t="s">
        <v>739</v>
      </c>
      <c r="N110" s="204" t="s">
        <v>338</v>
      </c>
      <c r="O110" s="218" t="e">
        <f>VLOOKUP(Tabla3[[#This Row],[Grado]],[2]Cuotas!$A:$E,2,0)</f>
        <v>#N/A</v>
      </c>
      <c r="P110" s="218" t="e">
        <f>VLOOKUP(Tabla3[[#This Row],[Grado]],[2]Cuotas!$A:$E,4,0)</f>
        <v>#N/A</v>
      </c>
      <c r="Q110" s="218" t="e">
        <f>VLOOKUP(Tabla3[[#This Row],[Grado]],[2]Cuotas!$A:$E,3,0)</f>
        <v>#N/A</v>
      </c>
      <c r="R110" s="247">
        <v>0.3</v>
      </c>
      <c r="S110" s="206" t="e">
        <f>Tabla3[[#This Row],[Monto Colegiatura]]*Tabla3[[#This Row],[% Beca Colegio 16-17]]</f>
        <v>#N/A</v>
      </c>
      <c r="T110" s="218"/>
      <c r="U110" s="218" t="e">
        <f>Tabla3[[#This Row],[Monto Colegiatura]]*Tabla3[[#This Row],[% Beca Prestación 16-17]]</f>
        <v>#N/A</v>
      </c>
      <c r="V110" s="219">
        <v>0.3</v>
      </c>
      <c r="W110" s="206" t="e">
        <f>Tabla3[[#This Row],[Monto Colegiatura]]*Tabla3[[#This Row],[% Beca Comunidad 16-17]]</f>
        <v>#N/A</v>
      </c>
      <c r="X110" s="218" t="e">
        <f>Tabla3[[#This Row],[Cantidad Beca Comunidad 16-17]]*25%</f>
        <v>#N/A</v>
      </c>
      <c r="Y110" s="218"/>
      <c r="Z110" s="218" t="e">
        <f>Tabla3[[#This Row],[Monto Colegiatura]]*Tabla3[[#This Row],[% Beca UNAM 16-17]]</f>
        <v>#N/A</v>
      </c>
      <c r="AA110" s="219"/>
      <c r="AB110" s="218" t="e">
        <f>Tabla3[[#This Row],[Monto Reinscripción]]*Tabla3[[#This Row],[% Beca Reinscripción 16-17]]</f>
        <v>#N/A</v>
      </c>
      <c r="AC110" s="218"/>
      <c r="AD110" s="218" t="e">
        <f>Tabla3[[#This Row],[Monto Canasta]]*Tabla3[[#This Row],[% Beca Canasta 16-17]]</f>
        <v>#N/A</v>
      </c>
      <c r="AE110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10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10" s="209" t="e">
        <f>VLOOKUP(Tabla3[[#This Row],[Nombre del Alumno]],[2]!Tabla1[[Alumno]:[Cuenta Ciclos]],2,0)</f>
        <v>#REF!</v>
      </c>
      <c r="AH110" s="210" t="s">
        <v>740</v>
      </c>
      <c r="AI110" s="211" t="s">
        <v>276</v>
      </c>
      <c r="AJ110" s="206" t="e">
        <f>VLOOKUP(Tabla3[[#This Row],[Grado 17-18]],[2]Cuotas!$H:$L,2,0)</f>
        <v>#N/A</v>
      </c>
      <c r="AK110" s="206" t="e">
        <f>VLOOKUP(Tabla3[[#This Row],[Grado 17-18]],[2]Cuotas!$H:$L,3,0)</f>
        <v>#N/A</v>
      </c>
      <c r="AL110" s="206" t="e">
        <f>VLOOKUP(Tabla3[[#This Row],[Grado 17-18]],[2]Cuotas!$H:$L,4,0)</f>
        <v>#N/A</v>
      </c>
      <c r="AM110" s="251">
        <v>0.4</v>
      </c>
      <c r="AN110" s="252">
        <v>0.7</v>
      </c>
      <c r="AO110" s="206" t="e">
        <f>Tabla3[[#This Row],[Monto Colegiatura ]]*Tabla3[[#This Row],[% AutorizadoBeca Colegiatura 17-18]]</f>
        <v>#N/A</v>
      </c>
      <c r="AP110" s="219"/>
      <c r="AQ110" s="206" t="e">
        <f>Tabla3[[#This Row],[Monto Colegiatura ]]*Tabla3[[#This Row],[% Beca Prestacion 17-18]]</f>
        <v>#N/A</v>
      </c>
      <c r="AR110" s="219"/>
      <c r="AS110" s="206" t="e">
        <f>Tabla3[[#This Row],[Canasta]]*Tabla3[[#This Row],[% Beca Canasta 17-18]]</f>
        <v>#N/A</v>
      </c>
      <c r="AT110" s="219"/>
      <c r="AU110" s="253">
        <v>0</v>
      </c>
      <c r="AV110" s="206" t="e">
        <f>Tabla3[[#This Row],[Cantidad Beca Comunidad Colegiatura 17-18]]*25%</f>
        <v>#N/A</v>
      </c>
      <c r="AW110" s="206"/>
      <c r="AX110" s="254"/>
      <c r="AY110" s="206" t="e">
        <f>Tabla3[[#This Row],[Monto Colegiatura ]]*Tabla3[[#This Row],[% Beca UNAM 17-18]]</f>
        <v>#N/A</v>
      </c>
      <c r="AZ110" s="218"/>
      <c r="BA110" s="224">
        <f>3200*Tabla3[[#This Row],[% Beca Reinscripciones UNAM 17-18]]</f>
        <v>0</v>
      </c>
      <c r="BB110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10" s="231">
        <v>0.3</v>
      </c>
      <c r="BD110" s="218" t="e">
        <f>Tabla3[[#This Row],[Monto Colegiatura ]]*Tabla3[[#This Row],[% Beca Comunidad 17-18]]</f>
        <v>#N/A</v>
      </c>
      <c r="BE110" s="218" t="e">
        <f>Tabla3[[#This Row],[Cantidad Beca Comunidad Colegiatura 17-18]]*75%</f>
        <v>#N/A</v>
      </c>
      <c r="BF110" s="219"/>
      <c r="BG110" s="218" t="e">
        <f>Tabla3[[#This Row],[Reinscripción]]*Tabla3[[#This Row],[% Beca Reinscripciones Comunidad 18-19]]</f>
        <v>#N/A</v>
      </c>
      <c r="BH110" s="218" t="e">
        <f>Tabla3[[#This Row],[Cantidad Beca Reinscripciones Comunidad 18-19]]*70%</f>
        <v>#N/A</v>
      </c>
      <c r="BI110" s="224" t="e">
        <f>Tabla3[[#This Row],[75% Cantidad Beca Comunidad Colegiatura 17-18]]+Tabla3[[#This Row],[70% Cantidad Beca Reinscripciones 18-19]]</f>
        <v>#N/A</v>
      </c>
      <c r="BJ110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10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10" s="255"/>
      <c r="BM110" s="251"/>
      <c r="BN110" s="221" t="s">
        <v>633</v>
      </c>
      <c r="BO110" s="107"/>
      <c r="BP110" s="107">
        <f>Tabla3[[#This Row],[% AutorizadoBeca Colegiatura 17-18]]+Tabla3[[#This Row],[% Beca Prestacion 17-18]]+Tabla3[[#This Row],[% Beca UNAM 17-18]]</f>
        <v>0.7</v>
      </c>
      <c r="BQ110" s="108">
        <f t="shared" si="3"/>
        <v>802.9</v>
      </c>
      <c r="BR110" s="107">
        <f>Tabla3[[#This Row],[% Beca Comunidad 17-18]]</f>
        <v>0.3</v>
      </c>
      <c r="BS110" s="108">
        <f t="shared" si="4"/>
        <v>344.09999999999997</v>
      </c>
      <c r="BT110" s="108">
        <f t="shared" si="5"/>
        <v>86.024999999999991</v>
      </c>
      <c r="BU110" s="108">
        <f>Tabla3[[#This Row],[Monto3]]*75%</f>
        <v>258.07499999999999</v>
      </c>
      <c r="BV110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10" s="107" t="e">
        <f>VLOOKUP(Tabla3[[#This Row],[Nombre del Alumno]],'[3]BECAS COLEGIATURAS'!$I:$N,6,0)</f>
        <v>#N/A</v>
      </c>
      <c r="BX110" s="107" t="e">
        <f>VLOOKUP(Tabla3[[#This Row],[Nombre del Alumno]],[1]!Tabla1[[NOMBRE DEL ALUMNO]:[MATRIZ]],6,0)</f>
        <v>#REF!</v>
      </c>
      <c r="BY110" s="107" t="e">
        <f>VLOOKUP(Tabla3[[#This Row],[Nombre del Alumno]],'[3]BECAS COLEGIATURAS'!$I:$L,4,0)</f>
        <v>#N/A</v>
      </c>
      <c r="BZ110" s="108" t="e">
        <f>VLOOKUP(Tabla3[[#This Row],[Grado 18-19]],[2]Cuotas!$Q:$U,2,0)</f>
        <v>#N/A</v>
      </c>
      <c r="CA110" s="108" t="e">
        <f>VLOOKUP(Tabla3[[#This Row],[Grado 18-19]],[2]Cuotas!$Q:$U,3,0)</f>
        <v>#N/A</v>
      </c>
      <c r="CB110" s="108" t="e">
        <f>VLOOKUP(Tabla3[[#This Row],[Grado 18-19]],[2]Cuotas!$Q:$U,4,0)</f>
        <v>#N/A</v>
      </c>
      <c r="CC110" s="107">
        <v>50</v>
      </c>
      <c r="CD110" s="222">
        <v>0.3</v>
      </c>
      <c r="CE110" s="218" t="e">
        <f>Tabla3[[#This Row],[Monto Colegiatura 2018-2019]]*Tabla3[[#This Row],[% AutorizadoBeca Colegiatura 18-19]]</f>
        <v>#N/A</v>
      </c>
      <c r="CF110" s="223"/>
      <c r="CG110" s="218" t="e">
        <f>Tabla3[[#This Row],[Monto Colegiatura 2018-2019]]*Tabla3[[#This Row],[% Beca Prestacion 18-19]]</f>
        <v>#N/A</v>
      </c>
      <c r="CH110" s="223"/>
      <c r="CI110" s="218" t="e">
        <f>Tabla3[[#This Row],[Canasta 2018-2019]]*Tabla3[[#This Row],[% Beca Canasta 18-19]]</f>
        <v>#N/A</v>
      </c>
      <c r="CJ110" s="223"/>
      <c r="CK110" s="218" t="e">
        <f>Tabla3[[#This Row],[Reinscripción 2019-2020]]*Tabla3[[#This Row],[% Beca Reinscripciones 19-20]]</f>
        <v>#N/A</v>
      </c>
      <c r="CL110" s="218" t="e">
        <f>Tabla3[[#This Row],[Cantidad Beca Comunidad Colegiatura 18-19]]*25%</f>
        <v>#N/A</v>
      </c>
      <c r="CM110" s="224" t="e">
        <f>Tabla3[[#This Row],[Cantidad Beca Reinscripciones Comunidad 19-20]]*25%</f>
        <v>#N/A</v>
      </c>
      <c r="CN110" s="222"/>
      <c r="CO110" s="218" t="e">
        <f>Tabla3[[#This Row],[Monto Colegiatura 2018-2019]]*Tabla3[[#This Row],[% Beca UNAM 18-19]]</f>
        <v>#N/A</v>
      </c>
      <c r="CP110" s="225"/>
      <c r="CQ110" s="224">
        <f>3328*Tabla3[[#This Row],[% Beca Reinscripciones UNAM 18-19]]</f>
        <v>0</v>
      </c>
      <c r="CR110" s="226" t="e">
        <f>Tabla3[[#This Row],[Cantidad Beca Colegiatura 18-19]]+Tabla3[[#This Row],[Cantidad Beca Canasta 18-19]]+Tabla3[[#This Row],[Cantidad Beca Reinscripciones 19-20]]</f>
        <v>#N/A</v>
      </c>
      <c r="CS110" s="222">
        <v>0.3</v>
      </c>
      <c r="CT110" s="218" t="e">
        <f>Tabla3[[#This Row],[Monto Colegiatura 2018-2019]]*Tabla3[[#This Row],[% Beca Comunidad 18-19]]</f>
        <v>#N/A</v>
      </c>
      <c r="CU110" s="218" t="e">
        <f>Tabla3[[#This Row],[Cantidad Beca Comunidad Colegiatura 18-19]]*75%</f>
        <v>#N/A</v>
      </c>
      <c r="CV110" s="223"/>
      <c r="CW110" s="218" t="e">
        <f>Tabla3[[#This Row],[Reinscripción 2019-2020]]*Tabla3[[#This Row],[% Beca Reinscripciones Comunidad 19-20]]</f>
        <v>#N/A</v>
      </c>
      <c r="CX110" s="218" t="e">
        <f>Tabla3[[#This Row],[Cantidad Beca Reinscripciones Comunidad 19-20]]*75%</f>
        <v>#N/A</v>
      </c>
      <c r="CY110" s="227" t="e">
        <f>Tabla3[[#This Row],[75% Cantidad Beca Comunidad Colegiatura 18-19]]+Tabla3[[#This Row],[75% Cantidad Beca Reinscripciones 19-20]]</f>
        <v>#N/A</v>
      </c>
      <c r="CZ110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10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10" s="108">
        <f>1440*(Tabla3[[#This Row],[% AutorizadoBeca Colegiatura 18-19]]+Tabla3[[#This Row],[% Beca Prestacion 18-19]]+Tabla3[[#This Row],[% Beca UNAM 18-19]]+Tabla3[[#This Row],[% Beca Comunidad 18-19]])</f>
        <v>864</v>
      </c>
    </row>
    <row r="111" spans="2:106" ht="15" customHeight="1" x14ac:dyDescent="0.2">
      <c r="B111" s="107" t="s">
        <v>736</v>
      </c>
      <c r="C111" s="107" t="e">
        <f>VLOOKUP(Tabla3[[#This Row],[Nombre del Padre]],[1]!Tabla1[[PADRE]:[PADRE_CELULAR]],2,0)</f>
        <v>#REF!</v>
      </c>
      <c r="D111" s="107" t="e">
        <f>VLOOKUP(Tabla3[[#This Row],[Nombre del Padre]],[1]!Tabla1[[PADRE]:[PADRE_CELULAR]],3,0)</f>
        <v>#REF!</v>
      </c>
      <c r="E111" s="107" t="s">
        <v>737</v>
      </c>
      <c r="F111" s="107" t="e">
        <f>VLOOKUP(Tabla3[[#This Row],[Nombre de la Madre]],[1]!Tabla1[[MADRE]:[MADRE_TELEFONO]],2,0)</f>
        <v>#REF!</v>
      </c>
      <c r="G111" s="234" t="e">
        <f>VLOOKUP(Tabla3[[#This Row],[Nombre de la Madre]],[1]!Tabla1[[MADRE]:[MADRE_TELEFONO]],3,0)</f>
        <v>#REF!</v>
      </c>
      <c r="H111" s="228"/>
      <c r="I111" s="225">
        <v>1618</v>
      </c>
      <c r="J111" s="225" t="s">
        <v>738</v>
      </c>
      <c r="K111" s="225" t="s">
        <v>273</v>
      </c>
      <c r="L111" s="225" t="s">
        <v>741</v>
      </c>
      <c r="M111" s="205" t="s">
        <v>742</v>
      </c>
      <c r="N111" s="204" t="s">
        <v>291</v>
      </c>
      <c r="O111" s="218" t="e">
        <f>VLOOKUP(Tabla3[[#This Row],[Grado]],[2]Cuotas!$A:$E,2,0)</f>
        <v>#N/A</v>
      </c>
      <c r="P111" s="218" t="e">
        <f>VLOOKUP(Tabla3[[#This Row],[Grado]],[2]Cuotas!$A:$E,4,0)</f>
        <v>#N/A</v>
      </c>
      <c r="Q111" s="218" t="e">
        <f>VLOOKUP(Tabla3[[#This Row],[Grado]],[2]Cuotas!$A:$E,3,0)</f>
        <v>#N/A</v>
      </c>
      <c r="R111" s="247">
        <v>0.3</v>
      </c>
      <c r="S111" s="206" t="e">
        <f>Tabla3[[#This Row],[Monto Colegiatura]]*Tabla3[[#This Row],[% Beca Colegio 16-17]]</f>
        <v>#N/A</v>
      </c>
      <c r="T111" s="218"/>
      <c r="U111" s="218" t="e">
        <f>Tabla3[[#This Row],[Monto Colegiatura]]*Tabla3[[#This Row],[% Beca Prestación 16-17]]</f>
        <v>#N/A</v>
      </c>
      <c r="V111" s="219">
        <v>0.3</v>
      </c>
      <c r="W111" s="206" t="e">
        <f>Tabla3[[#This Row],[Monto Colegiatura]]*Tabla3[[#This Row],[% Beca Comunidad 16-17]]</f>
        <v>#N/A</v>
      </c>
      <c r="X111" s="218" t="e">
        <f>Tabla3[[#This Row],[Cantidad Beca Comunidad 16-17]]*25%</f>
        <v>#N/A</v>
      </c>
      <c r="Y111" s="218"/>
      <c r="Z111" s="218" t="e">
        <f>Tabla3[[#This Row],[Monto Colegiatura]]*Tabla3[[#This Row],[% Beca UNAM 16-17]]</f>
        <v>#N/A</v>
      </c>
      <c r="AA111" s="219"/>
      <c r="AB111" s="218" t="e">
        <f>Tabla3[[#This Row],[Monto Reinscripción]]*Tabla3[[#This Row],[% Beca Reinscripción 16-17]]</f>
        <v>#N/A</v>
      </c>
      <c r="AC111" s="218"/>
      <c r="AD111" s="218" t="e">
        <f>Tabla3[[#This Row],[Monto Canasta]]*Tabla3[[#This Row],[% Beca Canasta 16-17]]</f>
        <v>#N/A</v>
      </c>
      <c r="AE111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11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11" s="209" t="e">
        <f>VLOOKUP(Tabla3[[#This Row],[Nombre del Alumno]],[2]!Tabla1[[Alumno]:[Cuenta Ciclos]],2,0)</f>
        <v>#REF!</v>
      </c>
      <c r="AH111" s="210" t="s">
        <v>743</v>
      </c>
      <c r="AI111" s="211" t="s">
        <v>409</v>
      </c>
      <c r="AJ111" s="206" t="e">
        <f>VLOOKUP(Tabla3[[#This Row],[Grado 17-18]],[2]Cuotas!$H:$L,2,0)</f>
        <v>#N/A</v>
      </c>
      <c r="AK111" s="206" t="e">
        <f>VLOOKUP(Tabla3[[#This Row],[Grado 17-18]],[2]Cuotas!$H:$L,3,0)</f>
        <v>#N/A</v>
      </c>
      <c r="AL111" s="206" t="e">
        <f>VLOOKUP(Tabla3[[#This Row],[Grado 17-18]],[2]Cuotas!$H:$L,4,0)</f>
        <v>#N/A</v>
      </c>
      <c r="AM111" s="251">
        <v>0.4</v>
      </c>
      <c r="AN111" s="252">
        <v>0.7</v>
      </c>
      <c r="AO111" s="206" t="e">
        <f>Tabla3[[#This Row],[Monto Colegiatura ]]*Tabla3[[#This Row],[% AutorizadoBeca Colegiatura 17-18]]</f>
        <v>#N/A</v>
      </c>
      <c r="AP111" s="219"/>
      <c r="AQ111" s="206" t="e">
        <f>Tabla3[[#This Row],[Monto Colegiatura ]]*Tabla3[[#This Row],[% Beca Prestacion 17-18]]</f>
        <v>#N/A</v>
      </c>
      <c r="AR111" s="219"/>
      <c r="AS111" s="206" t="e">
        <f>Tabla3[[#This Row],[Canasta]]*Tabla3[[#This Row],[% Beca Canasta 17-18]]</f>
        <v>#N/A</v>
      </c>
      <c r="AT111" s="219"/>
      <c r="AU111" s="253">
        <v>0</v>
      </c>
      <c r="AV111" s="206" t="e">
        <f>Tabla3[[#This Row],[Cantidad Beca Comunidad Colegiatura 17-18]]*25%</f>
        <v>#N/A</v>
      </c>
      <c r="AW111" s="206"/>
      <c r="AX111" s="254"/>
      <c r="AY111" s="206" t="e">
        <f>Tabla3[[#This Row],[Monto Colegiatura ]]*Tabla3[[#This Row],[% Beca UNAM 17-18]]</f>
        <v>#N/A</v>
      </c>
      <c r="AZ111" s="218"/>
      <c r="BA111" s="224">
        <f>3200*Tabla3[[#This Row],[% Beca Reinscripciones UNAM 17-18]]</f>
        <v>0</v>
      </c>
      <c r="BB111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11" s="231">
        <v>0.3</v>
      </c>
      <c r="BD111" s="218" t="e">
        <f>Tabla3[[#This Row],[Monto Colegiatura ]]*Tabla3[[#This Row],[% Beca Comunidad 17-18]]</f>
        <v>#N/A</v>
      </c>
      <c r="BE111" s="218" t="e">
        <f>Tabla3[[#This Row],[Cantidad Beca Comunidad Colegiatura 17-18]]*75%</f>
        <v>#N/A</v>
      </c>
      <c r="BF111" s="219"/>
      <c r="BG111" s="218" t="e">
        <f>Tabla3[[#This Row],[Reinscripción]]*Tabla3[[#This Row],[% Beca Reinscripciones Comunidad 18-19]]</f>
        <v>#N/A</v>
      </c>
      <c r="BH111" s="218" t="e">
        <f>Tabla3[[#This Row],[Cantidad Beca Reinscripciones Comunidad 18-19]]*70%</f>
        <v>#N/A</v>
      </c>
      <c r="BI111" s="224" t="e">
        <f>Tabla3[[#This Row],[75% Cantidad Beca Comunidad Colegiatura 17-18]]+Tabla3[[#This Row],[70% Cantidad Beca Reinscripciones 18-19]]</f>
        <v>#N/A</v>
      </c>
      <c r="BJ111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11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11" s="255"/>
      <c r="BM111" s="251"/>
      <c r="BN111" s="221" t="s">
        <v>633</v>
      </c>
      <c r="BO111" s="107"/>
      <c r="BP111" s="107">
        <f>Tabla3[[#This Row],[% AutorizadoBeca Colegiatura 17-18]]+Tabla3[[#This Row],[% Beca Prestacion 17-18]]+Tabla3[[#This Row],[% Beca UNAM 17-18]]</f>
        <v>0.7</v>
      </c>
      <c r="BQ111" s="108">
        <f t="shared" si="3"/>
        <v>802.9</v>
      </c>
      <c r="BR111" s="107">
        <f>Tabla3[[#This Row],[% Beca Comunidad 17-18]]</f>
        <v>0.3</v>
      </c>
      <c r="BS111" s="108">
        <f t="shared" si="4"/>
        <v>344.09999999999997</v>
      </c>
      <c r="BT111" s="108">
        <f t="shared" si="5"/>
        <v>86.024999999999991</v>
      </c>
      <c r="BU111" s="108">
        <f>Tabla3[[#This Row],[Monto3]]*75%</f>
        <v>258.07499999999999</v>
      </c>
      <c r="BV111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11" s="107" t="e">
        <f>VLOOKUP(Tabla3[[#This Row],[Nombre del Alumno]],'[3]BECAS COLEGIATURAS'!$I:$N,6,0)</f>
        <v>#N/A</v>
      </c>
      <c r="BX111" s="107" t="e">
        <f>VLOOKUP(Tabla3[[#This Row],[Nombre del Alumno]],[1]!Tabla1[[NOMBRE DEL ALUMNO]:[MATRIZ]],6,0)</f>
        <v>#REF!</v>
      </c>
      <c r="BY111" s="107" t="e">
        <f>VLOOKUP(Tabla3[[#This Row],[Nombre del Alumno]],'[3]BECAS COLEGIATURAS'!$I:$L,4,0)</f>
        <v>#N/A</v>
      </c>
      <c r="BZ111" s="108" t="e">
        <f>VLOOKUP(Tabla3[[#This Row],[Grado 18-19]],[2]Cuotas!$Q:$U,2,0)</f>
        <v>#N/A</v>
      </c>
      <c r="CA111" s="108" t="e">
        <f>VLOOKUP(Tabla3[[#This Row],[Grado 18-19]],[2]Cuotas!$Q:$U,3,0)</f>
        <v>#N/A</v>
      </c>
      <c r="CB111" s="108" t="e">
        <f>VLOOKUP(Tabla3[[#This Row],[Grado 18-19]],[2]Cuotas!$Q:$U,4,0)</f>
        <v>#N/A</v>
      </c>
      <c r="CC111" s="107">
        <v>50</v>
      </c>
      <c r="CD111" s="222">
        <v>0.3</v>
      </c>
      <c r="CE111" s="218" t="e">
        <f>Tabla3[[#This Row],[Monto Colegiatura 2018-2019]]*Tabla3[[#This Row],[% AutorizadoBeca Colegiatura 18-19]]</f>
        <v>#N/A</v>
      </c>
      <c r="CF111" s="223"/>
      <c r="CG111" s="218" t="e">
        <f>Tabla3[[#This Row],[Monto Colegiatura 2018-2019]]*Tabla3[[#This Row],[% Beca Prestacion 18-19]]</f>
        <v>#N/A</v>
      </c>
      <c r="CH111" s="223"/>
      <c r="CI111" s="218" t="e">
        <f>Tabla3[[#This Row],[Canasta 2018-2019]]*Tabla3[[#This Row],[% Beca Canasta 18-19]]</f>
        <v>#N/A</v>
      </c>
      <c r="CJ111" s="223"/>
      <c r="CK111" s="218" t="e">
        <f>Tabla3[[#This Row],[Reinscripción 2019-2020]]*Tabla3[[#This Row],[% Beca Reinscripciones 19-20]]</f>
        <v>#N/A</v>
      </c>
      <c r="CL111" s="218" t="e">
        <f>Tabla3[[#This Row],[Cantidad Beca Comunidad Colegiatura 18-19]]*25%</f>
        <v>#N/A</v>
      </c>
      <c r="CM111" s="224" t="e">
        <f>Tabla3[[#This Row],[Cantidad Beca Reinscripciones Comunidad 19-20]]*25%</f>
        <v>#N/A</v>
      </c>
      <c r="CN111" s="222"/>
      <c r="CO111" s="218" t="e">
        <f>Tabla3[[#This Row],[Monto Colegiatura 2018-2019]]*Tabla3[[#This Row],[% Beca UNAM 18-19]]</f>
        <v>#N/A</v>
      </c>
      <c r="CP111" s="225"/>
      <c r="CQ111" s="224">
        <f>3328*Tabla3[[#This Row],[% Beca Reinscripciones UNAM 18-19]]</f>
        <v>0</v>
      </c>
      <c r="CR111" s="226" t="e">
        <f>Tabla3[[#This Row],[Cantidad Beca Colegiatura 18-19]]+Tabla3[[#This Row],[Cantidad Beca Canasta 18-19]]+Tabla3[[#This Row],[Cantidad Beca Reinscripciones 19-20]]</f>
        <v>#N/A</v>
      </c>
      <c r="CS111" s="222">
        <v>0.3</v>
      </c>
      <c r="CT111" s="218" t="e">
        <f>Tabla3[[#This Row],[Monto Colegiatura 2018-2019]]*Tabla3[[#This Row],[% Beca Comunidad 18-19]]</f>
        <v>#N/A</v>
      </c>
      <c r="CU111" s="218" t="e">
        <f>Tabla3[[#This Row],[Cantidad Beca Comunidad Colegiatura 18-19]]*75%</f>
        <v>#N/A</v>
      </c>
      <c r="CV111" s="223"/>
      <c r="CW111" s="218" t="e">
        <f>Tabla3[[#This Row],[Reinscripción 2019-2020]]*Tabla3[[#This Row],[% Beca Reinscripciones Comunidad 19-20]]</f>
        <v>#N/A</v>
      </c>
      <c r="CX111" s="218" t="e">
        <f>Tabla3[[#This Row],[Cantidad Beca Reinscripciones Comunidad 19-20]]*75%</f>
        <v>#N/A</v>
      </c>
      <c r="CY111" s="227" t="e">
        <f>Tabla3[[#This Row],[75% Cantidad Beca Comunidad Colegiatura 18-19]]+Tabla3[[#This Row],[75% Cantidad Beca Reinscripciones 19-20]]</f>
        <v>#N/A</v>
      </c>
      <c r="CZ111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11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11" s="108">
        <f>1440*(Tabla3[[#This Row],[% AutorizadoBeca Colegiatura 18-19]]+Tabla3[[#This Row],[% Beca Prestacion 18-19]]+Tabla3[[#This Row],[% Beca UNAM 18-19]]+Tabla3[[#This Row],[% Beca Comunidad 18-19]])</f>
        <v>864</v>
      </c>
    </row>
    <row r="112" spans="2:106" ht="15" customHeight="1" x14ac:dyDescent="0.2">
      <c r="B112" s="107" t="s">
        <v>744</v>
      </c>
      <c r="C112" s="107" t="e">
        <f>VLOOKUP(Tabla3[[#This Row],[Nombre del Padre]],[1]!Tabla1[[PADRE]:[PADRE_CELULAR]],2,0)</f>
        <v>#REF!</v>
      </c>
      <c r="D112" s="107" t="e">
        <f>VLOOKUP(Tabla3[[#This Row],[Nombre del Padre]],[1]!Tabla1[[PADRE]:[PADRE_CELULAR]],3,0)</f>
        <v>#REF!</v>
      </c>
      <c r="E112" s="107" t="s">
        <v>745</v>
      </c>
      <c r="F112" s="107" t="e">
        <f>VLOOKUP(Tabla3[[#This Row],[Nombre de la Madre]],[1]!Tabla1[[MADRE]:[MADRE_TELEFONO]],2,0)</f>
        <v>#REF!</v>
      </c>
      <c r="G112" s="202" t="e">
        <f>VLOOKUP(Tabla3[[#This Row],[Nombre de la Madre]],[1]!Tabla1[[MADRE]:[MADRE_TELEFONO]],3,0)</f>
        <v>#REF!</v>
      </c>
      <c r="H112" s="228">
        <v>62</v>
      </c>
      <c r="I112" s="225">
        <v>2906</v>
      </c>
      <c r="J112" s="225" t="s">
        <v>746</v>
      </c>
      <c r="K112" s="225" t="s">
        <v>637</v>
      </c>
      <c r="L112" s="225" t="s">
        <v>747</v>
      </c>
      <c r="M112" s="205"/>
      <c r="N112" s="204"/>
      <c r="O112" s="218"/>
      <c r="P112" s="218"/>
      <c r="Q112" s="218"/>
      <c r="R112" s="247"/>
      <c r="S112" s="206"/>
      <c r="T112" s="218"/>
      <c r="U112" s="218"/>
      <c r="V112" s="219"/>
      <c r="W112" s="206">
        <f>Tabla3[[#This Row],[Monto Colegiatura]]*Tabla3[[#This Row],[% Beca Comunidad 16-17]]</f>
        <v>0</v>
      </c>
      <c r="X112" s="218"/>
      <c r="Y112" s="218"/>
      <c r="Z112" s="218"/>
      <c r="AA112" s="219"/>
      <c r="AB112" s="218"/>
      <c r="AC112" s="218"/>
      <c r="AD112" s="218"/>
      <c r="AE112" s="218"/>
      <c r="AF112" s="206">
        <f>Tabla3[[#This Row],[Monto Colegiatura]]+Tabla3[[#This Row],[Monto Reinscripción]]+Tabla3[[#This Row],[Monto Canasta]]-Tabla3[[#This Row],[Monto Becado 16-17]]</f>
        <v>0</v>
      </c>
      <c r="AG112" s="232" t="s">
        <v>289</v>
      </c>
      <c r="AH112" s="210" t="s">
        <v>748</v>
      </c>
      <c r="AI112" s="211" t="s">
        <v>332</v>
      </c>
      <c r="AJ112" s="206" t="e">
        <f>VLOOKUP(Tabla3[[#This Row],[Grado 17-18]],[2]Cuotas!$H:$L,2,0)</f>
        <v>#N/A</v>
      </c>
      <c r="AK112" s="206" t="e">
        <f>VLOOKUP(Tabla3[[#This Row],[Grado 17-18]],[2]Cuotas!$H:$L,3,0)</f>
        <v>#N/A</v>
      </c>
      <c r="AL112" s="206" t="e">
        <f>VLOOKUP(Tabla3[[#This Row],[Grado 17-18]],[2]Cuotas!$H:$L,4,0)</f>
        <v>#N/A</v>
      </c>
      <c r="AM112" s="223">
        <v>0.8</v>
      </c>
      <c r="AN112" s="252">
        <v>0.5</v>
      </c>
      <c r="AO112" s="206" t="e">
        <f>Tabla3[[#This Row],[Monto Colegiatura ]]*Tabla3[[#This Row],[% AutorizadoBeca Colegiatura 17-18]]</f>
        <v>#N/A</v>
      </c>
      <c r="AP112" s="219"/>
      <c r="AQ112" s="206" t="e">
        <f>Tabla3[[#This Row],[Monto Colegiatura ]]*Tabla3[[#This Row],[% Beca Prestacion 17-18]]</f>
        <v>#N/A</v>
      </c>
      <c r="AR112" s="219"/>
      <c r="AS112" s="206" t="e">
        <f>Tabla3[[#This Row],[Canasta]]*Tabla3[[#This Row],[% Beca Canasta 17-18]]</f>
        <v>#N/A</v>
      </c>
      <c r="AT112" s="219"/>
      <c r="AU112" s="253">
        <v>0</v>
      </c>
      <c r="AV112" s="206" t="e">
        <f>Tabla3[[#This Row],[Cantidad Beca Comunidad Colegiatura 17-18]]*25%</f>
        <v>#N/A</v>
      </c>
      <c r="AW112" s="206"/>
      <c r="AX112" s="254"/>
      <c r="AY112" s="206" t="e">
        <f>Tabla3[[#This Row],[Monto Colegiatura ]]*Tabla3[[#This Row],[% Beca UNAM 17-18]]</f>
        <v>#N/A</v>
      </c>
      <c r="AZ112" s="218"/>
      <c r="BA112" s="224">
        <f>3200*Tabla3[[#This Row],[% Beca Reinscripciones UNAM 17-18]]</f>
        <v>0</v>
      </c>
      <c r="BB112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12" s="217"/>
      <c r="BD112" s="218" t="e">
        <f>Tabla3[[#This Row],[Monto Colegiatura ]]*Tabla3[[#This Row],[% Beca Comunidad 17-18]]</f>
        <v>#N/A</v>
      </c>
      <c r="BE112" s="218" t="e">
        <f>Tabla3[[#This Row],[Cantidad Beca Comunidad Colegiatura 17-18]]*75%</f>
        <v>#N/A</v>
      </c>
      <c r="BF112" s="219"/>
      <c r="BG112" s="218" t="e">
        <f>Tabla3[[#This Row],[Reinscripción]]*Tabla3[[#This Row],[% Beca Reinscripciones Comunidad 18-19]]</f>
        <v>#N/A</v>
      </c>
      <c r="BH112" s="218" t="e">
        <f>Tabla3[[#This Row],[Cantidad Beca Reinscripciones Comunidad 18-19]]*70%</f>
        <v>#N/A</v>
      </c>
      <c r="BI112" s="224" t="e">
        <f>Tabla3[[#This Row],[75% Cantidad Beca Comunidad Colegiatura 17-18]]+Tabla3[[#This Row],[70% Cantidad Beca Reinscripciones 18-19]]</f>
        <v>#N/A</v>
      </c>
      <c r="BJ112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12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12" s="255"/>
      <c r="BM112" s="225"/>
      <c r="BN112" s="287" t="s">
        <v>749</v>
      </c>
      <c r="BO112" s="107"/>
      <c r="BP112" s="107">
        <f>Tabla3[[#This Row],[% AutorizadoBeca Colegiatura 17-18]]+Tabla3[[#This Row],[% Beca Prestacion 17-18]]+Tabla3[[#This Row],[% Beca UNAM 17-18]]</f>
        <v>0.5</v>
      </c>
      <c r="BQ112" s="108">
        <f t="shared" si="3"/>
        <v>573.5</v>
      </c>
      <c r="BR112" s="107">
        <f>Tabla3[[#This Row],[% Beca Comunidad 17-18]]</f>
        <v>0</v>
      </c>
      <c r="BS112" s="108">
        <f t="shared" si="4"/>
        <v>0</v>
      </c>
      <c r="BT112" s="108">
        <f t="shared" si="5"/>
        <v>0</v>
      </c>
      <c r="BU112" s="108">
        <f>Tabla3[[#This Row],[Monto3]]*75%</f>
        <v>0</v>
      </c>
      <c r="BV112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12" s="107" t="e">
        <f>VLOOKUP(Tabla3[[#This Row],[Nombre del Alumno]],'[3]BECAS COLEGIATURAS'!$I:$N,6,0)</f>
        <v>#N/A</v>
      </c>
      <c r="BX112" s="107" t="e">
        <f>VLOOKUP(Tabla3[[#This Row],[Nombre del Alumno]],[1]!Tabla1[[NOMBRE DEL ALUMNO]:[MATRIZ]],6,0)</f>
        <v>#REF!</v>
      </c>
      <c r="BY112" s="107" t="e">
        <f>VLOOKUP(Tabla3[[#This Row],[Nombre del Alumno]],'[3]BECAS COLEGIATURAS'!$I:$L,4,0)</f>
        <v>#N/A</v>
      </c>
      <c r="BZ112" s="108" t="e">
        <f>VLOOKUP(Tabla3[[#This Row],[Grado 18-19]],[2]Cuotas!$Q:$U,2,0)</f>
        <v>#N/A</v>
      </c>
      <c r="CA112" s="108" t="e">
        <f>VLOOKUP(Tabla3[[#This Row],[Grado 18-19]],[2]Cuotas!$Q:$U,3,0)</f>
        <v>#N/A</v>
      </c>
      <c r="CB112" s="108" t="e">
        <f>VLOOKUP(Tabla3[[#This Row],[Grado 18-19]],[2]Cuotas!$Q:$U,4,0)</f>
        <v>#N/A</v>
      </c>
      <c r="CC112" s="107">
        <v>75</v>
      </c>
      <c r="CD112" s="222">
        <v>0.3</v>
      </c>
      <c r="CE112" s="218" t="e">
        <f>Tabla3[[#This Row],[Monto Colegiatura 2018-2019]]*Tabla3[[#This Row],[% AutorizadoBeca Colegiatura 18-19]]</f>
        <v>#N/A</v>
      </c>
      <c r="CF112" s="223"/>
      <c r="CG112" s="218" t="e">
        <f>Tabla3[[#This Row],[Monto Colegiatura 2018-2019]]*Tabla3[[#This Row],[% Beca Prestacion 18-19]]</f>
        <v>#N/A</v>
      </c>
      <c r="CH112" s="223"/>
      <c r="CI112" s="218" t="e">
        <f>Tabla3[[#This Row],[Canasta 2018-2019]]*Tabla3[[#This Row],[% Beca Canasta 18-19]]</f>
        <v>#N/A</v>
      </c>
      <c r="CJ112" s="223"/>
      <c r="CK112" s="218" t="e">
        <f>Tabla3[[#This Row],[Reinscripción 2019-2020]]*Tabla3[[#This Row],[% Beca Reinscripciones 19-20]]</f>
        <v>#N/A</v>
      </c>
      <c r="CL112" s="218" t="e">
        <f>Tabla3[[#This Row],[Cantidad Beca Comunidad Colegiatura 18-19]]*25%</f>
        <v>#N/A</v>
      </c>
      <c r="CM112" s="224" t="e">
        <f>Tabla3[[#This Row],[Cantidad Beca Reinscripciones Comunidad 19-20]]*25%</f>
        <v>#N/A</v>
      </c>
      <c r="CN112" s="222"/>
      <c r="CO112" s="218" t="e">
        <f>Tabla3[[#This Row],[Monto Colegiatura 2018-2019]]*Tabla3[[#This Row],[% Beca UNAM 18-19]]</f>
        <v>#N/A</v>
      </c>
      <c r="CP112" s="225"/>
      <c r="CQ112" s="224">
        <f>3328*Tabla3[[#This Row],[% Beca Reinscripciones UNAM 18-19]]</f>
        <v>0</v>
      </c>
      <c r="CR112" s="226" t="e">
        <f>Tabla3[[#This Row],[Cantidad Beca Colegiatura 18-19]]+Tabla3[[#This Row],[Cantidad Beca Canasta 18-19]]+Tabla3[[#This Row],[Cantidad Beca Reinscripciones 19-20]]</f>
        <v>#N/A</v>
      </c>
      <c r="CS112" s="222"/>
      <c r="CT112" s="218" t="e">
        <f>Tabla3[[#This Row],[Monto Colegiatura 2018-2019]]*Tabla3[[#This Row],[% Beca Comunidad 18-19]]</f>
        <v>#N/A</v>
      </c>
      <c r="CU112" s="218" t="e">
        <f>Tabla3[[#This Row],[Cantidad Beca Comunidad Colegiatura 18-19]]*75%</f>
        <v>#N/A</v>
      </c>
      <c r="CV112" s="223"/>
      <c r="CW112" s="218" t="e">
        <f>Tabla3[[#This Row],[Reinscripción 2019-2020]]*Tabla3[[#This Row],[% Beca Reinscripciones Comunidad 19-20]]</f>
        <v>#N/A</v>
      </c>
      <c r="CX112" s="218" t="e">
        <f>Tabla3[[#This Row],[Cantidad Beca Reinscripciones Comunidad 19-20]]*75%</f>
        <v>#N/A</v>
      </c>
      <c r="CY112" s="227" t="e">
        <f>Tabla3[[#This Row],[75% Cantidad Beca Comunidad Colegiatura 18-19]]+Tabla3[[#This Row],[75% Cantidad Beca Reinscripciones 19-20]]</f>
        <v>#N/A</v>
      </c>
      <c r="CZ112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12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12" s="108">
        <f>1440*(Tabla3[[#This Row],[% AutorizadoBeca Colegiatura 18-19]]+Tabla3[[#This Row],[% Beca Prestacion 18-19]]+Tabla3[[#This Row],[% Beca UNAM 18-19]]+Tabla3[[#This Row],[% Beca Comunidad 18-19]])</f>
        <v>432</v>
      </c>
    </row>
    <row r="113" spans="2:106" ht="15" customHeight="1" x14ac:dyDescent="0.2">
      <c r="B113" s="107" t="s">
        <v>750</v>
      </c>
      <c r="C113" s="107" t="e">
        <f>VLOOKUP(Tabla3[[#This Row],[Nombre del Padre]],[1]!Tabla1[[PADRE]:[PADRE_CELULAR]],2,0)</f>
        <v>#REF!</v>
      </c>
      <c r="D113" s="107" t="e">
        <f>VLOOKUP(Tabla3[[#This Row],[Nombre del Padre]],[1]!Tabla1[[PADRE]:[PADRE_CELULAR]],3,0)</f>
        <v>#REF!</v>
      </c>
      <c r="E113" s="107" t="s">
        <v>751</v>
      </c>
      <c r="F113" s="107" t="e">
        <f>VLOOKUP(Tabla3[[#This Row],[Nombre de la Madre]],[1]!Tabla1[[MADRE]:[MADRE_TELEFONO]],2,0)</f>
        <v>#REF!</v>
      </c>
      <c r="G113" s="202" t="e">
        <f>VLOOKUP(Tabla3[[#This Row],[Nombre de la Madre]],[1]!Tabla1[[MADRE]:[MADRE_TELEFONO]],3,0)</f>
        <v>#REF!</v>
      </c>
      <c r="H113" s="228">
        <v>63</v>
      </c>
      <c r="I113" s="225">
        <v>1138</v>
      </c>
      <c r="J113" s="225" t="s">
        <v>752</v>
      </c>
      <c r="K113" s="225" t="s">
        <v>273</v>
      </c>
      <c r="L113" s="225" t="s">
        <v>753</v>
      </c>
      <c r="M113" s="205" t="s">
        <v>480</v>
      </c>
      <c r="N113" s="204" t="s">
        <v>276</v>
      </c>
      <c r="O113" s="218" t="e">
        <f>VLOOKUP(Tabla3[[#This Row],[Grado]],[2]Cuotas!$A:$E,2,0)</f>
        <v>#N/A</v>
      </c>
      <c r="P113" s="218" t="e">
        <f>VLOOKUP(Tabla3[[#This Row],[Grado]],[2]Cuotas!$A:$E,4,0)</f>
        <v>#N/A</v>
      </c>
      <c r="Q113" s="218" t="e">
        <f>VLOOKUP(Tabla3[[#This Row],[Grado]],[2]Cuotas!$A:$E,3,0)</f>
        <v>#N/A</v>
      </c>
      <c r="R113" s="247">
        <v>0.5</v>
      </c>
      <c r="S113" s="206" t="e">
        <f>Tabla3[[#This Row],[Monto Colegiatura]]*Tabla3[[#This Row],[% Beca Colegio 16-17]]</f>
        <v>#N/A</v>
      </c>
      <c r="T113" s="218"/>
      <c r="U113" s="218" t="e">
        <f>Tabla3[[#This Row],[Monto Colegiatura]]*Tabla3[[#This Row],[% Beca Prestación 16-17]]</f>
        <v>#N/A</v>
      </c>
      <c r="V113" s="219">
        <v>0.5</v>
      </c>
      <c r="W113" s="206" t="e">
        <f>Tabla3[[#This Row],[Monto Colegiatura]]*Tabla3[[#This Row],[% Beca Comunidad 16-17]]</f>
        <v>#N/A</v>
      </c>
      <c r="X113" s="218" t="e">
        <f>Tabla3[[#This Row],[Cantidad Beca Comunidad 16-17]]*25%</f>
        <v>#N/A</v>
      </c>
      <c r="Y113" s="218"/>
      <c r="Z113" s="218" t="e">
        <f>Tabla3[[#This Row],[Monto Colegiatura]]*Tabla3[[#This Row],[% Beca UNAM 16-17]]</f>
        <v>#N/A</v>
      </c>
      <c r="AA113" s="219"/>
      <c r="AB113" s="218" t="e">
        <f>Tabla3[[#This Row],[Monto Reinscripción]]*Tabla3[[#This Row],[% Beca Reinscripción 16-17]]</f>
        <v>#N/A</v>
      </c>
      <c r="AC113" s="218"/>
      <c r="AD113" s="218" t="e">
        <f>Tabla3[[#This Row],[Monto Canasta]]*Tabla3[[#This Row],[% Beca Canasta 16-17]]</f>
        <v>#N/A</v>
      </c>
      <c r="AE113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13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13" s="209" t="e">
        <f>VLOOKUP(Tabla3[[#This Row],[Nombre del Alumno]],[2]!Tabla1[[Alumno]:[Cuenta Ciclos]],2,0)</f>
        <v>#REF!</v>
      </c>
      <c r="AH113" s="210" t="s">
        <v>754</v>
      </c>
      <c r="AI113" s="211" t="s">
        <v>278</v>
      </c>
      <c r="AJ113" s="206" t="e">
        <f>VLOOKUP(Tabla3[[#This Row],[Grado 17-18]],[2]Cuotas!$H:$L,2,0)</f>
        <v>#N/A</v>
      </c>
      <c r="AK113" s="206" t="e">
        <f>VLOOKUP(Tabla3[[#This Row],[Grado 17-18]],[2]Cuotas!$H:$L,3,0)</f>
        <v>#N/A</v>
      </c>
      <c r="AL113" s="206" t="e">
        <f>VLOOKUP(Tabla3[[#This Row],[Grado 17-18]],[2]Cuotas!$H:$L,4,0)</f>
        <v>#N/A</v>
      </c>
      <c r="AM113" s="251">
        <v>0.5</v>
      </c>
      <c r="AN113" s="252">
        <v>0.5</v>
      </c>
      <c r="AO113" s="206" t="e">
        <f>Tabla3[[#This Row],[Monto Colegiatura ]]*Tabla3[[#This Row],[% AutorizadoBeca Colegiatura 17-18]]</f>
        <v>#N/A</v>
      </c>
      <c r="AP113" s="219"/>
      <c r="AQ113" s="206" t="e">
        <f>Tabla3[[#This Row],[Monto Colegiatura ]]*Tabla3[[#This Row],[% Beca Prestacion 17-18]]</f>
        <v>#N/A</v>
      </c>
      <c r="AR113" s="219"/>
      <c r="AS113" s="206" t="e">
        <f>Tabla3[[#This Row],[Canasta]]*Tabla3[[#This Row],[% Beca Canasta 17-18]]</f>
        <v>#N/A</v>
      </c>
      <c r="AT113" s="219">
        <v>1</v>
      </c>
      <c r="AU113" s="253" t="e">
        <f>Tabla3[[#This Row],[Reinscripción]]*Tabla3[[#This Row],[% Beca Reinscripciones 18-19]]</f>
        <v>#N/A</v>
      </c>
      <c r="AV113" s="206" t="e">
        <f>Tabla3[[#This Row],[Cantidad Beca Comunidad Colegiatura 17-18]]*25%</f>
        <v>#N/A</v>
      </c>
      <c r="AW113" s="206"/>
      <c r="AX113" s="254"/>
      <c r="AY113" s="206" t="e">
        <f>Tabla3[[#This Row],[Monto Colegiatura ]]*Tabla3[[#This Row],[% Beca UNAM 17-18]]</f>
        <v>#N/A</v>
      </c>
      <c r="AZ113" s="218"/>
      <c r="BA113" s="224">
        <f>3200*Tabla3[[#This Row],[% Beca Reinscripciones UNAM 17-18]]</f>
        <v>0</v>
      </c>
      <c r="BB113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13" s="231">
        <v>0.5</v>
      </c>
      <c r="BD113" s="218" t="e">
        <f>Tabla3[[#This Row],[Monto Colegiatura ]]*Tabla3[[#This Row],[% Beca Comunidad 17-18]]</f>
        <v>#N/A</v>
      </c>
      <c r="BE113" s="218" t="e">
        <f>Tabla3[[#This Row],[Cantidad Beca Comunidad Colegiatura 17-18]]*75%</f>
        <v>#N/A</v>
      </c>
      <c r="BF113" s="219"/>
      <c r="BG113" s="218" t="e">
        <f>Tabla3[[#This Row],[Reinscripción]]*Tabla3[[#This Row],[% Beca Reinscripciones Comunidad 18-19]]</f>
        <v>#N/A</v>
      </c>
      <c r="BH113" s="218" t="e">
        <f>Tabla3[[#This Row],[Cantidad Beca Reinscripciones Comunidad 18-19]]*70%</f>
        <v>#N/A</v>
      </c>
      <c r="BI113" s="224" t="e">
        <f>Tabla3[[#This Row],[75% Cantidad Beca Comunidad Colegiatura 17-18]]+Tabla3[[#This Row],[70% Cantidad Beca Reinscripciones 18-19]]</f>
        <v>#N/A</v>
      </c>
      <c r="BJ113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13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13" s="255"/>
      <c r="BM113" s="251" t="s">
        <v>755</v>
      </c>
      <c r="BN113" s="221" t="s">
        <v>756</v>
      </c>
      <c r="BO113" s="107"/>
      <c r="BP113" s="107">
        <f>Tabla3[[#This Row],[% AutorizadoBeca Colegiatura 17-18]]+Tabla3[[#This Row],[% Beca Prestacion 17-18]]+Tabla3[[#This Row],[% Beca UNAM 17-18]]</f>
        <v>0.5</v>
      </c>
      <c r="BQ113" s="108">
        <f t="shared" si="3"/>
        <v>573.5</v>
      </c>
      <c r="BR113" s="107">
        <f>Tabla3[[#This Row],[% Beca Comunidad 17-18]]</f>
        <v>0.5</v>
      </c>
      <c r="BS113" s="108">
        <f t="shared" si="4"/>
        <v>573.5</v>
      </c>
      <c r="BT113" s="108">
        <f t="shared" si="5"/>
        <v>143.375</v>
      </c>
      <c r="BU113" s="108">
        <f>Tabla3[[#This Row],[Monto3]]*75%</f>
        <v>430.125</v>
      </c>
      <c r="BV113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13" s="107" t="e">
        <f>VLOOKUP(Tabla3[[#This Row],[Nombre del Alumno]],'[3]BECAS COLEGIATURAS'!$I:$N,6,0)</f>
        <v>#N/A</v>
      </c>
      <c r="BX113" s="107" t="e">
        <f>VLOOKUP(Tabla3[[#This Row],[Nombre del Alumno]],[1]!Tabla1[[NOMBRE DEL ALUMNO]:[MATRIZ]],6,0)</f>
        <v>#REF!</v>
      </c>
      <c r="BY113" s="107" t="e">
        <f>VLOOKUP(Tabla3[[#This Row],[Nombre del Alumno]],'[3]BECAS COLEGIATURAS'!$I:$L,4,0)</f>
        <v>#N/A</v>
      </c>
      <c r="BZ113" s="108" t="e">
        <f>VLOOKUP(Tabla3[[#This Row],[Grado 18-19]],[2]Cuotas!$Q:$U,2,0)</f>
        <v>#N/A</v>
      </c>
      <c r="CA113" s="108" t="e">
        <f>VLOOKUP(Tabla3[[#This Row],[Grado 18-19]],[2]Cuotas!$Q:$U,3,0)</f>
        <v>#N/A</v>
      </c>
      <c r="CB113" s="108" t="e">
        <f>VLOOKUP(Tabla3[[#This Row],[Grado 18-19]],[2]Cuotas!$Q:$U,4,0)</f>
        <v>#N/A</v>
      </c>
      <c r="CC113" s="107">
        <v>50</v>
      </c>
      <c r="CD113" s="222">
        <v>0.5</v>
      </c>
      <c r="CE113" s="218" t="e">
        <f>Tabla3[[#This Row],[Monto Colegiatura 2018-2019]]*Tabla3[[#This Row],[% AutorizadoBeca Colegiatura 18-19]]</f>
        <v>#N/A</v>
      </c>
      <c r="CF113" s="223"/>
      <c r="CG113" s="218" t="e">
        <f>Tabla3[[#This Row],[Monto Colegiatura 2018-2019]]*Tabla3[[#This Row],[% Beca Prestacion 18-19]]</f>
        <v>#N/A</v>
      </c>
      <c r="CH113" s="223"/>
      <c r="CI113" s="218" t="e">
        <f>Tabla3[[#This Row],[Canasta 2018-2019]]*Tabla3[[#This Row],[% Beca Canasta 18-19]]</f>
        <v>#N/A</v>
      </c>
      <c r="CJ113" s="223" t="e">
        <f>VLOOKUP(Tabla3[[#This Row],[Nombre del Alumno]],'[3]BECAS REINSCRIPCIONES'!$B$8:$D$21,3,0)</f>
        <v>#N/A</v>
      </c>
      <c r="CK113" s="218" t="e">
        <f>Tabla3[[#This Row],[Reinscripción 2019-2020]]*Tabla3[[#This Row],[% Beca Reinscripciones 19-20]]</f>
        <v>#N/A</v>
      </c>
      <c r="CL113" s="218" t="e">
        <f>Tabla3[[#This Row],[Cantidad Beca Comunidad Colegiatura 18-19]]*25%</f>
        <v>#N/A</v>
      </c>
      <c r="CM113" s="224" t="e">
        <f>Tabla3[[#This Row],[Cantidad Beca Reinscripciones Comunidad 19-20]]*25%</f>
        <v>#N/A</v>
      </c>
      <c r="CN113" s="222"/>
      <c r="CO113" s="218" t="e">
        <f>Tabla3[[#This Row],[Monto Colegiatura 2018-2019]]*Tabla3[[#This Row],[% Beca UNAM 18-19]]</f>
        <v>#N/A</v>
      </c>
      <c r="CP113" s="225"/>
      <c r="CQ113" s="224">
        <f>3328*Tabla3[[#This Row],[% Beca Reinscripciones UNAM 18-19]]</f>
        <v>0</v>
      </c>
      <c r="CR113" s="226" t="e">
        <f>Tabla3[[#This Row],[Cantidad Beca Colegiatura 18-19]]+Tabla3[[#This Row],[Cantidad Beca Canasta 18-19]]+Tabla3[[#This Row],[Cantidad Beca Reinscripciones 19-20]]</f>
        <v>#N/A</v>
      </c>
      <c r="CS113" s="222">
        <v>0.5</v>
      </c>
      <c r="CT113" s="218" t="e">
        <f>Tabla3[[#This Row],[Monto Colegiatura 2018-2019]]*Tabla3[[#This Row],[% Beca Comunidad 18-19]]</f>
        <v>#N/A</v>
      </c>
      <c r="CU113" s="218" t="e">
        <f>Tabla3[[#This Row],[Cantidad Beca Comunidad Colegiatura 18-19]]*75%</f>
        <v>#N/A</v>
      </c>
      <c r="CV113" s="223"/>
      <c r="CW113" s="218" t="e">
        <f>Tabla3[[#This Row],[Reinscripción 2019-2020]]*Tabla3[[#This Row],[% Beca Reinscripciones Comunidad 19-20]]</f>
        <v>#N/A</v>
      </c>
      <c r="CX113" s="218" t="e">
        <f>Tabla3[[#This Row],[Cantidad Beca Reinscripciones Comunidad 19-20]]*75%</f>
        <v>#N/A</v>
      </c>
      <c r="CY113" s="227" t="e">
        <f>Tabla3[[#This Row],[75% Cantidad Beca Comunidad Colegiatura 18-19]]+Tabla3[[#This Row],[75% Cantidad Beca Reinscripciones 19-20]]</f>
        <v>#N/A</v>
      </c>
      <c r="CZ113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13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13" s="108">
        <f>1440*(Tabla3[[#This Row],[% AutorizadoBeca Colegiatura 18-19]]+Tabla3[[#This Row],[% Beca Prestacion 18-19]]+Tabla3[[#This Row],[% Beca UNAM 18-19]]+Tabla3[[#This Row],[% Beca Comunidad 18-19]])</f>
        <v>1440</v>
      </c>
    </row>
    <row r="114" spans="2:106" ht="15" customHeight="1" x14ac:dyDescent="0.2">
      <c r="B114" s="107" t="s">
        <v>757</v>
      </c>
      <c r="C114" s="107" t="e">
        <f>VLOOKUP(Tabla3[[#This Row],[Nombre del Padre]],[1]!Tabla1[[PADRE]:[PADRE_CELULAR]],2,0)</f>
        <v>#REF!</v>
      </c>
      <c r="D114" s="107" t="e">
        <f>VLOOKUP(Tabla3[[#This Row],[Nombre del Padre]],[1]!Tabla1[[PADRE]:[PADRE_CELULAR]],3,0)</f>
        <v>#REF!</v>
      </c>
      <c r="E114" s="107" t="s">
        <v>758</v>
      </c>
      <c r="F114" s="107" t="e">
        <f>VLOOKUP(Tabla3[[#This Row],[Nombre de la Madre]],[1]!Tabla1[[MADRE]:[MADRE_TELEFONO]],2,0)</f>
        <v>#REF!</v>
      </c>
      <c r="G114" s="202" t="e">
        <f>VLOOKUP(Tabla3[[#This Row],[Nombre de la Madre]],[1]!Tabla1[[MADRE]:[MADRE_TELEFONO]],3,0)</f>
        <v>#REF!</v>
      </c>
      <c r="H114" s="228">
        <v>64</v>
      </c>
      <c r="I114" s="225">
        <v>1810</v>
      </c>
      <c r="J114" s="225" t="s">
        <v>759</v>
      </c>
      <c r="K114" s="225" t="s">
        <v>273</v>
      </c>
      <c r="L114" s="225" t="s">
        <v>760</v>
      </c>
      <c r="M114" s="205" t="s">
        <v>761</v>
      </c>
      <c r="N114" s="204" t="s">
        <v>336</v>
      </c>
      <c r="O114" s="218" t="e">
        <f>VLOOKUP(Tabla3[[#This Row],[Grado]],[2]Cuotas!$A:$E,2,0)</f>
        <v>#N/A</v>
      </c>
      <c r="P114" s="218" t="e">
        <f>VLOOKUP(Tabla3[[#This Row],[Grado]],[2]Cuotas!$A:$E,4,0)</f>
        <v>#N/A</v>
      </c>
      <c r="Q114" s="218" t="e">
        <f>VLOOKUP(Tabla3[[#This Row],[Grado]],[2]Cuotas!$A:$E,3,0)</f>
        <v>#N/A</v>
      </c>
      <c r="R114" s="247"/>
      <c r="S114" s="206" t="e">
        <f>Tabla3[[#This Row],[Monto Colegiatura]]*Tabla3[[#This Row],[% Beca Colegio 16-17]]</f>
        <v>#N/A</v>
      </c>
      <c r="T114" s="218"/>
      <c r="U114" s="218" t="e">
        <f>Tabla3[[#This Row],[Monto Colegiatura]]*Tabla3[[#This Row],[% Beca Prestación 16-17]]</f>
        <v>#N/A</v>
      </c>
      <c r="V114" s="219">
        <v>0.5</v>
      </c>
      <c r="W114" s="206" t="e">
        <f>Tabla3[[#This Row],[Monto Colegiatura]]*Tabla3[[#This Row],[% Beca Comunidad 16-17]]</f>
        <v>#N/A</v>
      </c>
      <c r="X114" s="218" t="e">
        <f>Tabla3[[#This Row],[Cantidad Beca Comunidad 16-17]]*25%</f>
        <v>#N/A</v>
      </c>
      <c r="Y114" s="218"/>
      <c r="Z114" s="218" t="e">
        <f>Tabla3[[#This Row],[Monto Colegiatura]]*Tabla3[[#This Row],[% Beca UNAM 16-17]]</f>
        <v>#N/A</v>
      </c>
      <c r="AA114" s="219"/>
      <c r="AB114" s="218" t="e">
        <f>Tabla3[[#This Row],[Monto Reinscripción]]*Tabla3[[#This Row],[% Beca Reinscripción 16-17]]</f>
        <v>#N/A</v>
      </c>
      <c r="AC114" s="218"/>
      <c r="AD114" s="218" t="e">
        <f>Tabla3[[#This Row],[Monto Canasta]]*Tabla3[[#This Row],[% Beca Canasta 16-17]]</f>
        <v>#N/A</v>
      </c>
      <c r="AE114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14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14" s="209" t="e">
        <f>VLOOKUP(Tabla3[[#This Row],[Nombre del Alumno]],[2]!Tabla1[[Alumno]:[Cuenta Ciclos]],2,0)</f>
        <v>#REF!</v>
      </c>
      <c r="AH114" s="210" t="s">
        <v>762</v>
      </c>
      <c r="AI114" s="211" t="s">
        <v>338</v>
      </c>
      <c r="AJ114" s="206" t="e">
        <f>VLOOKUP(Tabla3[[#This Row],[Grado 17-18]],[2]Cuotas!$H:$L,2,0)</f>
        <v>#N/A</v>
      </c>
      <c r="AK114" s="206" t="e">
        <f>VLOOKUP(Tabla3[[#This Row],[Grado 17-18]],[2]Cuotas!$H:$L,3,0)</f>
        <v>#N/A</v>
      </c>
      <c r="AL114" s="206" t="e">
        <f>VLOOKUP(Tabla3[[#This Row],[Grado 17-18]],[2]Cuotas!$H:$L,4,0)</f>
        <v>#N/A</v>
      </c>
      <c r="AM114" s="223"/>
      <c r="AN114" s="252"/>
      <c r="AO114" s="206" t="e">
        <f>Tabla3[[#This Row],[Monto Colegiatura ]]*Tabla3[[#This Row],[% AutorizadoBeca Colegiatura 17-18]]</f>
        <v>#N/A</v>
      </c>
      <c r="AP114" s="219"/>
      <c r="AQ114" s="206" t="e">
        <f>Tabla3[[#This Row],[Monto Colegiatura ]]*Tabla3[[#This Row],[% Beca Prestacion 17-18]]</f>
        <v>#N/A</v>
      </c>
      <c r="AR114" s="219"/>
      <c r="AS114" s="206" t="e">
        <f>Tabla3[[#This Row],[Canasta]]*Tabla3[[#This Row],[% Beca Canasta 17-18]]</f>
        <v>#N/A</v>
      </c>
      <c r="AT114" s="219"/>
      <c r="AU114" s="253">
        <v>0</v>
      </c>
      <c r="AV114" s="206" t="e">
        <f>Tabla3[[#This Row],[Cantidad Beca Comunidad Colegiatura 17-18]]*25%</f>
        <v>#N/A</v>
      </c>
      <c r="AW114" s="206"/>
      <c r="AX114" s="254"/>
      <c r="AY114" s="206" t="e">
        <f>Tabla3[[#This Row],[Monto Colegiatura ]]*Tabla3[[#This Row],[% Beca UNAM 17-18]]</f>
        <v>#N/A</v>
      </c>
      <c r="AZ114" s="218"/>
      <c r="BA114" s="224">
        <f>3200*Tabla3[[#This Row],[% Beca Reinscripciones UNAM 17-18]]</f>
        <v>0</v>
      </c>
      <c r="BB114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14" s="217">
        <v>0.25</v>
      </c>
      <c r="BD114" s="218" t="e">
        <f>Tabla3[[#This Row],[Monto Colegiatura ]]*Tabla3[[#This Row],[% Beca Comunidad 17-18]]</f>
        <v>#N/A</v>
      </c>
      <c r="BE114" s="218" t="e">
        <f>Tabla3[[#This Row],[Cantidad Beca Comunidad Colegiatura 17-18]]*75%</f>
        <v>#N/A</v>
      </c>
      <c r="BF114" s="219"/>
      <c r="BG114" s="218" t="e">
        <f>Tabla3[[#This Row],[Reinscripción]]*Tabla3[[#This Row],[% Beca Reinscripciones Comunidad 18-19]]</f>
        <v>#N/A</v>
      </c>
      <c r="BH114" s="218" t="e">
        <f>Tabla3[[#This Row],[Cantidad Beca Reinscripciones Comunidad 18-19]]*70%</f>
        <v>#N/A</v>
      </c>
      <c r="BI114" s="224" t="e">
        <f>Tabla3[[#This Row],[75% Cantidad Beca Comunidad Colegiatura 17-18]]+Tabla3[[#This Row],[70% Cantidad Beca Reinscripciones 18-19]]</f>
        <v>#N/A</v>
      </c>
      <c r="BJ114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14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14" s="255"/>
      <c r="BM114" s="225"/>
      <c r="BN114" s="221"/>
      <c r="BO114" s="107"/>
      <c r="BP114" s="107">
        <f>Tabla3[[#This Row],[% AutorizadoBeca Colegiatura 17-18]]+Tabla3[[#This Row],[% Beca Prestacion 17-18]]+Tabla3[[#This Row],[% Beca UNAM 17-18]]</f>
        <v>0</v>
      </c>
      <c r="BQ114" s="108">
        <f t="shared" si="3"/>
        <v>0</v>
      </c>
      <c r="BR114" s="107">
        <f>Tabla3[[#This Row],[% Beca Comunidad 17-18]]</f>
        <v>0.25</v>
      </c>
      <c r="BS114" s="108">
        <f t="shared" si="4"/>
        <v>286.75</v>
      </c>
      <c r="BT114" s="108">
        <f t="shared" si="5"/>
        <v>71.6875</v>
      </c>
      <c r="BU114" s="108">
        <f>Tabla3[[#This Row],[Monto3]]*75%</f>
        <v>215.0625</v>
      </c>
      <c r="BV114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14" s="107" t="e">
        <f>VLOOKUP(Tabla3[[#This Row],[Nombre del Alumno]],'[3]BECAS COLEGIATURAS'!$I:$N,6,0)</f>
        <v>#N/A</v>
      </c>
      <c r="BX114" s="107" t="e">
        <f>VLOOKUP(Tabla3[[#This Row],[Nombre del Alumno]],[1]!Tabla1[[NOMBRE DEL ALUMNO]:[MATRIZ]],6,0)</f>
        <v>#REF!</v>
      </c>
      <c r="BY114" s="107" t="e">
        <f>VLOOKUP(Tabla3[[#This Row],[Nombre del Alumno]],'[3]BECAS COLEGIATURAS'!$I:$L,4,0)</f>
        <v>#N/A</v>
      </c>
      <c r="BZ114" s="108" t="e">
        <f>VLOOKUP(Tabla3[[#This Row],[Grado 18-19]],[2]Cuotas!$Q:$U,2,0)</f>
        <v>#N/A</v>
      </c>
      <c r="CA114" s="108" t="e">
        <f>VLOOKUP(Tabla3[[#This Row],[Grado 18-19]],[2]Cuotas!$Q:$U,3,0)</f>
        <v>#N/A</v>
      </c>
      <c r="CB114" s="108" t="e">
        <f>VLOOKUP(Tabla3[[#This Row],[Grado 18-19]],[2]Cuotas!$Q:$U,4,0)</f>
        <v>#N/A</v>
      </c>
      <c r="CC114" s="107">
        <v>0</v>
      </c>
      <c r="CD114" s="222"/>
      <c r="CE114" s="218" t="e">
        <f>Tabla3[[#This Row],[Monto Colegiatura 2018-2019]]*Tabla3[[#This Row],[% AutorizadoBeca Colegiatura 18-19]]</f>
        <v>#N/A</v>
      </c>
      <c r="CF114" s="223"/>
      <c r="CG114" s="218" t="e">
        <f>Tabla3[[#This Row],[Monto Colegiatura 2018-2019]]*Tabla3[[#This Row],[% Beca Prestacion 18-19]]</f>
        <v>#N/A</v>
      </c>
      <c r="CH114" s="223"/>
      <c r="CI114" s="218" t="e">
        <f>Tabla3[[#This Row],[Canasta 2018-2019]]*Tabla3[[#This Row],[% Beca Canasta 18-19]]</f>
        <v>#N/A</v>
      </c>
      <c r="CJ114" s="223"/>
      <c r="CK114" s="218" t="e">
        <f>Tabla3[[#This Row],[Reinscripción 2019-2020]]*Tabla3[[#This Row],[% Beca Reinscripciones 19-20]]</f>
        <v>#N/A</v>
      </c>
      <c r="CL114" s="218" t="e">
        <f>Tabla3[[#This Row],[Cantidad Beca Comunidad Colegiatura 18-19]]*25%</f>
        <v>#N/A</v>
      </c>
      <c r="CM114" s="224" t="e">
        <f>Tabla3[[#This Row],[Cantidad Beca Reinscripciones Comunidad 19-20]]*25%</f>
        <v>#N/A</v>
      </c>
      <c r="CN114" s="222"/>
      <c r="CO114" s="218" t="e">
        <f>Tabla3[[#This Row],[Monto Colegiatura 2018-2019]]*Tabla3[[#This Row],[% Beca UNAM 18-19]]</f>
        <v>#N/A</v>
      </c>
      <c r="CP114" s="225"/>
      <c r="CQ114" s="224">
        <f>3328*Tabla3[[#This Row],[% Beca Reinscripciones UNAM 18-19]]</f>
        <v>0</v>
      </c>
      <c r="CR114" s="226" t="e">
        <f>Tabla3[[#This Row],[Cantidad Beca Colegiatura 18-19]]+Tabla3[[#This Row],[Cantidad Beca Canasta 18-19]]+Tabla3[[#This Row],[Cantidad Beca Reinscripciones 19-20]]</f>
        <v>#N/A</v>
      </c>
      <c r="CS114" s="222">
        <v>0.25</v>
      </c>
      <c r="CT114" s="218" t="e">
        <f>Tabla3[[#This Row],[Monto Colegiatura 2018-2019]]*Tabla3[[#This Row],[% Beca Comunidad 18-19]]</f>
        <v>#N/A</v>
      </c>
      <c r="CU114" s="218" t="e">
        <f>Tabla3[[#This Row],[Cantidad Beca Comunidad Colegiatura 18-19]]*75%</f>
        <v>#N/A</v>
      </c>
      <c r="CV114" s="223"/>
      <c r="CW114" s="218" t="e">
        <f>Tabla3[[#This Row],[Reinscripción 2019-2020]]*Tabla3[[#This Row],[% Beca Reinscripciones Comunidad 19-20]]</f>
        <v>#N/A</v>
      </c>
      <c r="CX114" s="218" t="e">
        <f>Tabla3[[#This Row],[Cantidad Beca Reinscripciones Comunidad 19-20]]*75%</f>
        <v>#N/A</v>
      </c>
      <c r="CY114" s="227" t="e">
        <f>Tabla3[[#This Row],[75% Cantidad Beca Comunidad Colegiatura 18-19]]+Tabla3[[#This Row],[75% Cantidad Beca Reinscripciones 19-20]]</f>
        <v>#N/A</v>
      </c>
      <c r="CZ114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14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14" s="108">
        <f>1440*(Tabla3[[#This Row],[% AutorizadoBeca Colegiatura 18-19]]+Tabla3[[#This Row],[% Beca Prestacion 18-19]]+Tabla3[[#This Row],[% Beca UNAM 18-19]]+Tabla3[[#This Row],[% Beca Comunidad 18-19]])</f>
        <v>360</v>
      </c>
    </row>
    <row r="115" spans="2:106" ht="15" customHeight="1" x14ac:dyDescent="0.2">
      <c r="B115" s="107" t="s">
        <v>757</v>
      </c>
      <c r="C115" s="107" t="e">
        <f>VLOOKUP(Tabla3[[#This Row],[Nombre del Padre]],[1]!Tabla1[[PADRE]:[PADRE_CELULAR]],2,0)</f>
        <v>#REF!</v>
      </c>
      <c r="D115" s="107" t="e">
        <f>VLOOKUP(Tabla3[[#This Row],[Nombre del Padre]],[1]!Tabla1[[PADRE]:[PADRE_CELULAR]],3,0)</f>
        <v>#REF!</v>
      </c>
      <c r="E115" s="107" t="s">
        <v>758</v>
      </c>
      <c r="F115" s="107" t="e">
        <f>VLOOKUP(Tabla3[[#This Row],[Nombre de la Madre]],[1]!Tabla1[[MADRE]:[MADRE_TELEFONO]],2,0)</f>
        <v>#REF!</v>
      </c>
      <c r="G115" s="202" t="e">
        <f>VLOOKUP(Tabla3[[#This Row],[Nombre de la Madre]],[1]!Tabla1[[MADRE]:[MADRE_TELEFONO]],3,0)</f>
        <v>#REF!</v>
      </c>
      <c r="H115" s="228"/>
      <c r="I115" s="225">
        <v>1810</v>
      </c>
      <c r="J115" s="225" t="s">
        <v>759</v>
      </c>
      <c r="K115" s="225" t="s">
        <v>273</v>
      </c>
      <c r="L115" s="225" t="s">
        <v>103</v>
      </c>
      <c r="M115" s="205" t="s">
        <v>763</v>
      </c>
      <c r="N115" s="204" t="s">
        <v>338</v>
      </c>
      <c r="O115" s="218" t="e">
        <f>VLOOKUP(Tabla3[[#This Row],[Grado]],[2]Cuotas!$A:$E,2,0)</f>
        <v>#N/A</v>
      </c>
      <c r="P115" s="218" t="e">
        <f>VLOOKUP(Tabla3[[#This Row],[Grado]],[2]Cuotas!$A:$E,4,0)</f>
        <v>#N/A</v>
      </c>
      <c r="Q115" s="218" t="e">
        <f>VLOOKUP(Tabla3[[#This Row],[Grado]],[2]Cuotas!$A:$E,3,0)</f>
        <v>#N/A</v>
      </c>
      <c r="R115" s="247"/>
      <c r="S115" s="206" t="e">
        <f>Tabla3[[#This Row],[Monto Colegiatura]]*Tabla3[[#This Row],[% Beca Colegio 16-17]]</f>
        <v>#N/A</v>
      </c>
      <c r="T115" s="218"/>
      <c r="U115" s="218" t="e">
        <f>Tabla3[[#This Row],[Monto Colegiatura]]*Tabla3[[#This Row],[% Beca Prestación 16-17]]</f>
        <v>#N/A</v>
      </c>
      <c r="V115" s="219">
        <v>0.5</v>
      </c>
      <c r="W115" s="206" t="e">
        <f>Tabla3[[#This Row],[Monto Colegiatura]]*Tabla3[[#This Row],[% Beca Comunidad 16-17]]</f>
        <v>#N/A</v>
      </c>
      <c r="X115" s="218" t="e">
        <f>Tabla3[[#This Row],[Cantidad Beca Comunidad 16-17]]*25%</f>
        <v>#N/A</v>
      </c>
      <c r="Y115" s="218"/>
      <c r="Z115" s="218" t="e">
        <f>Tabla3[[#This Row],[Monto Colegiatura]]*Tabla3[[#This Row],[% Beca UNAM 16-17]]</f>
        <v>#N/A</v>
      </c>
      <c r="AA115" s="219"/>
      <c r="AB115" s="218" t="e">
        <f>Tabla3[[#This Row],[Monto Reinscripción]]*Tabla3[[#This Row],[% Beca Reinscripción 16-17]]</f>
        <v>#N/A</v>
      </c>
      <c r="AC115" s="218"/>
      <c r="AD115" s="218" t="e">
        <f>Tabla3[[#This Row],[Monto Canasta]]*Tabla3[[#This Row],[% Beca Canasta 16-17]]</f>
        <v>#N/A</v>
      </c>
      <c r="AE115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15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15" s="209" t="e">
        <f>VLOOKUP(Tabla3[[#This Row],[Nombre del Alumno]],[2]!Tabla1[[Alumno]:[Cuenta Ciclos]],2,0)</f>
        <v>#REF!</v>
      </c>
      <c r="AH115" s="210" t="s">
        <v>764</v>
      </c>
      <c r="AI115" s="211" t="s">
        <v>276</v>
      </c>
      <c r="AJ115" s="206" t="e">
        <f>VLOOKUP(Tabla3[[#This Row],[Grado 17-18]],[2]Cuotas!$H:$L,2,0)</f>
        <v>#N/A</v>
      </c>
      <c r="AK115" s="206" t="e">
        <f>VLOOKUP(Tabla3[[#This Row],[Grado 17-18]],[2]Cuotas!$H:$L,3,0)</f>
        <v>#N/A</v>
      </c>
      <c r="AL115" s="206" t="e">
        <f>VLOOKUP(Tabla3[[#This Row],[Grado 17-18]],[2]Cuotas!$H:$L,4,0)</f>
        <v>#N/A</v>
      </c>
      <c r="AM115" s="223"/>
      <c r="AN115" s="252"/>
      <c r="AO115" s="206" t="e">
        <f>Tabla3[[#This Row],[Monto Colegiatura ]]*Tabla3[[#This Row],[% AutorizadoBeca Colegiatura 17-18]]</f>
        <v>#N/A</v>
      </c>
      <c r="AP115" s="219"/>
      <c r="AQ115" s="206" t="e">
        <f>Tabla3[[#This Row],[Monto Colegiatura ]]*Tabla3[[#This Row],[% Beca Prestacion 17-18]]</f>
        <v>#N/A</v>
      </c>
      <c r="AR115" s="219"/>
      <c r="AS115" s="206" t="e">
        <f>Tabla3[[#This Row],[Canasta]]*Tabla3[[#This Row],[% Beca Canasta 17-18]]</f>
        <v>#N/A</v>
      </c>
      <c r="AT115" s="219"/>
      <c r="AU115" s="253">
        <v>0</v>
      </c>
      <c r="AV115" s="206" t="e">
        <f>Tabla3[[#This Row],[Cantidad Beca Comunidad Colegiatura 17-18]]*25%</f>
        <v>#N/A</v>
      </c>
      <c r="AW115" s="206"/>
      <c r="AX115" s="254"/>
      <c r="AY115" s="206" t="e">
        <f>Tabla3[[#This Row],[Monto Colegiatura ]]*Tabla3[[#This Row],[% Beca UNAM 17-18]]</f>
        <v>#N/A</v>
      </c>
      <c r="AZ115" s="218"/>
      <c r="BA115" s="224">
        <f>3200*Tabla3[[#This Row],[% Beca Reinscripciones UNAM 17-18]]</f>
        <v>0</v>
      </c>
      <c r="BB115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15" s="217">
        <v>0.25</v>
      </c>
      <c r="BD115" s="218" t="e">
        <f>Tabla3[[#This Row],[Monto Colegiatura ]]*Tabla3[[#This Row],[% Beca Comunidad 17-18]]</f>
        <v>#N/A</v>
      </c>
      <c r="BE115" s="218" t="e">
        <f>Tabla3[[#This Row],[Cantidad Beca Comunidad Colegiatura 17-18]]*75%</f>
        <v>#N/A</v>
      </c>
      <c r="BF115" s="219"/>
      <c r="BG115" s="218" t="e">
        <f>Tabla3[[#This Row],[Reinscripción]]*Tabla3[[#This Row],[% Beca Reinscripciones Comunidad 18-19]]</f>
        <v>#N/A</v>
      </c>
      <c r="BH115" s="218" t="e">
        <f>Tabla3[[#This Row],[Cantidad Beca Reinscripciones Comunidad 18-19]]*70%</f>
        <v>#N/A</v>
      </c>
      <c r="BI115" s="224" t="e">
        <f>Tabla3[[#This Row],[75% Cantidad Beca Comunidad Colegiatura 17-18]]+Tabla3[[#This Row],[70% Cantidad Beca Reinscripciones 18-19]]</f>
        <v>#N/A</v>
      </c>
      <c r="BJ115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15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15" s="255"/>
      <c r="BM115" s="225"/>
      <c r="BN115" s="221"/>
      <c r="BO115" s="107"/>
      <c r="BP115" s="107">
        <f>Tabla3[[#This Row],[% AutorizadoBeca Colegiatura 17-18]]+Tabla3[[#This Row],[% Beca Prestacion 17-18]]+Tabla3[[#This Row],[% Beca UNAM 17-18]]</f>
        <v>0</v>
      </c>
      <c r="BQ115" s="108">
        <f t="shared" si="3"/>
        <v>0</v>
      </c>
      <c r="BR115" s="107">
        <f>Tabla3[[#This Row],[% Beca Comunidad 17-18]]</f>
        <v>0.25</v>
      </c>
      <c r="BS115" s="108">
        <f t="shared" si="4"/>
        <v>286.75</v>
      </c>
      <c r="BT115" s="108">
        <f t="shared" si="5"/>
        <v>71.6875</v>
      </c>
      <c r="BU115" s="108">
        <f>Tabla3[[#This Row],[Monto3]]*75%</f>
        <v>215.0625</v>
      </c>
      <c r="BV115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15" s="107" t="e">
        <f>VLOOKUP(Tabla3[[#This Row],[Nombre del Alumno]],'[3]BECAS COLEGIATURAS'!$I:$N,6,0)</f>
        <v>#N/A</v>
      </c>
      <c r="BX115" s="107" t="e">
        <f>VLOOKUP(Tabla3[[#This Row],[Nombre del Alumno]],[1]!Tabla1[[NOMBRE DEL ALUMNO]:[MATRIZ]],6,0)</f>
        <v>#REF!</v>
      </c>
      <c r="BY115" s="107" t="e">
        <f>VLOOKUP(Tabla3[[#This Row],[Nombre del Alumno]],'[3]BECAS COLEGIATURAS'!$I:$L,4,0)</f>
        <v>#N/A</v>
      </c>
      <c r="BZ115" s="108" t="e">
        <f>VLOOKUP(Tabla3[[#This Row],[Grado 18-19]],[2]Cuotas!$Q:$U,2,0)</f>
        <v>#N/A</v>
      </c>
      <c r="CA115" s="108" t="e">
        <f>VLOOKUP(Tabla3[[#This Row],[Grado 18-19]],[2]Cuotas!$Q:$U,3,0)</f>
        <v>#N/A</v>
      </c>
      <c r="CB115" s="108" t="e">
        <f>VLOOKUP(Tabla3[[#This Row],[Grado 18-19]],[2]Cuotas!$Q:$U,4,0)</f>
        <v>#N/A</v>
      </c>
      <c r="CC115" s="107">
        <v>0</v>
      </c>
      <c r="CD115" s="222"/>
      <c r="CE115" s="218" t="e">
        <f>Tabla3[[#This Row],[Monto Colegiatura 2018-2019]]*Tabla3[[#This Row],[% AutorizadoBeca Colegiatura 18-19]]</f>
        <v>#N/A</v>
      </c>
      <c r="CF115" s="223"/>
      <c r="CG115" s="218" t="e">
        <f>Tabla3[[#This Row],[Monto Colegiatura 2018-2019]]*Tabla3[[#This Row],[% Beca Prestacion 18-19]]</f>
        <v>#N/A</v>
      </c>
      <c r="CH115" s="223"/>
      <c r="CI115" s="218" t="e">
        <f>Tabla3[[#This Row],[Canasta 2018-2019]]*Tabla3[[#This Row],[% Beca Canasta 18-19]]</f>
        <v>#N/A</v>
      </c>
      <c r="CJ115" s="223"/>
      <c r="CK115" s="218" t="e">
        <f>Tabla3[[#This Row],[Reinscripción 2019-2020]]*Tabla3[[#This Row],[% Beca Reinscripciones 19-20]]</f>
        <v>#N/A</v>
      </c>
      <c r="CL115" s="218" t="e">
        <f>Tabla3[[#This Row],[Cantidad Beca Comunidad Colegiatura 18-19]]*25%</f>
        <v>#N/A</v>
      </c>
      <c r="CM115" s="224" t="e">
        <f>Tabla3[[#This Row],[Cantidad Beca Reinscripciones Comunidad 19-20]]*25%</f>
        <v>#N/A</v>
      </c>
      <c r="CN115" s="222"/>
      <c r="CO115" s="218" t="e">
        <f>Tabla3[[#This Row],[Monto Colegiatura 2018-2019]]*Tabla3[[#This Row],[% Beca UNAM 18-19]]</f>
        <v>#N/A</v>
      </c>
      <c r="CP115" s="225"/>
      <c r="CQ115" s="224">
        <f>3328*Tabla3[[#This Row],[% Beca Reinscripciones UNAM 18-19]]</f>
        <v>0</v>
      </c>
      <c r="CR115" s="226" t="e">
        <f>Tabla3[[#This Row],[Cantidad Beca Colegiatura 18-19]]+Tabla3[[#This Row],[Cantidad Beca Canasta 18-19]]+Tabla3[[#This Row],[Cantidad Beca Reinscripciones 19-20]]</f>
        <v>#N/A</v>
      </c>
      <c r="CS115" s="222">
        <v>0.25</v>
      </c>
      <c r="CT115" s="218" t="e">
        <f>Tabla3[[#This Row],[Monto Colegiatura 2018-2019]]*Tabla3[[#This Row],[% Beca Comunidad 18-19]]</f>
        <v>#N/A</v>
      </c>
      <c r="CU115" s="218" t="e">
        <f>Tabla3[[#This Row],[Cantidad Beca Comunidad Colegiatura 18-19]]*75%</f>
        <v>#N/A</v>
      </c>
      <c r="CV115" s="223"/>
      <c r="CW115" s="218" t="e">
        <f>Tabla3[[#This Row],[Reinscripción 2019-2020]]*Tabla3[[#This Row],[% Beca Reinscripciones Comunidad 19-20]]</f>
        <v>#N/A</v>
      </c>
      <c r="CX115" s="218" t="e">
        <f>Tabla3[[#This Row],[Cantidad Beca Reinscripciones Comunidad 19-20]]*75%</f>
        <v>#N/A</v>
      </c>
      <c r="CY115" s="227" t="e">
        <f>Tabla3[[#This Row],[75% Cantidad Beca Comunidad Colegiatura 18-19]]+Tabla3[[#This Row],[75% Cantidad Beca Reinscripciones 19-20]]</f>
        <v>#N/A</v>
      </c>
      <c r="CZ115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15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15" s="108">
        <f>1440*(Tabla3[[#This Row],[% AutorizadoBeca Colegiatura 18-19]]+Tabla3[[#This Row],[% Beca Prestacion 18-19]]+Tabla3[[#This Row],[% Beca UNAM 18-19]]+Tabla3[[#This Row],[% Beca Comunidad 18-19]])</f>
        <v>360</v>
      </c>
    </row>
    <row r="116" spans="2:106" ht="15" customHeight="1" x14ac:dyDescent="0.2">
      <c r="B116" s="107" t="s">
        <v>757</v>
      </c>
      <c r="C116" s="107" t="e">
        <f>VLOOKUP(Tabla3[[#This Row],[Nombre del Padre]],[1]!Tabla1[[PADRE]:[PADRE_CELULAR]],2,0)</f>
        <v>#REF!</v>
      </c>
      <c r="D116" s="107" t="e">
        <f>VLOOKUP(Tabla3[[#This Row],[Nombre del Padre]],[1]!Tabla1[[PADRE]:[PADRE_CELULAR]],3,0)</f>
        <v>#REF!</v>
      </c>
      <c r="E116" s="107" t="s">
        <v>758</v>
      </c>
      <c r="F116" s="107" t="e">
        <f>VLOOKUP(Tabla3[[#This Row],[Nombre de la Madre]],[1]!Tabla1[[MADRE]:[MADRE_TELEFONO]],2,0)</f>
        <v>#REF!</v>
      </c>
      <c r="G116" s="202" t="e">
        <f>VLOOKUP(Tabla3[[#This Row],[Nombre de la Madre]],[1]!Tabla1[[MADRE]:[MADRE_TELEFONO]],3,0)</f>
        <v>#REF!</v>
      </c>
      <c r="H116" s="228"/>
      <c r="I116" s="225">
        <v>1810</v>
      </c>
      <c r="J116" s="225" t="s">
        <v>759</v>
      </c>
      <c r="K116" s="225" t="s">
        <v>273</v>
      </c>
      <c r="L116" s="225" t="s">
        <v>765</v>
      </c>
      <c r="M116" s="205" t="s">
        <v>397</v>
      </c>
      <c r="N116" s="204" t="s">
        <v>284</v>
      </c>
      <c r="O116" s="218" t="e">
        <f>VLOOKUP(Tabla3[[#This Row],[Grado]],[2]Cuotas!$A:$E,2,0)</f>
        <v>#N/A</v>
      </c>
      <c r="P116" s="218" t="e">
        <f>VLOOKUP(Tabla3[[#This Row],[Grado]],[2]Cuotas!$A:$E,4,0)</f>
        <v>#N/A</v>
      </c>
      <c r="Q116" s="218" t="e">
        <f>VLOOKUP(Tabla3[[#This Row],[Grado]],[2]Cuotas!$A:$E,3,0)</f>
        <v>#N/A</v>
      </c>
      <c r="R116" s="247"/>
      <c r="S116" s="206" t="e">
        <f>Tabla3[[#This Row],[Monto Colegiatura]]*Tabla3[[#This Row],[% Beca Colegio 16-17]]</f>
        <v>#N/A</v>
      </c>
      <c r="T116" s="218"/>
      <c r="U116" s="218" t="e">
        <f>Tabla3[[#This Row],[Monto Colegiatura]]*Tabla3[[#This Row],[% Beca Prestación 16-17]]</f>
        <v>#N/A</v>
      </c>
      <c r="V116" s="219">
        <v>0.5</v>
      </c>
      <c r="W116" s="206" t="e">
        <f>Tabla3[[#This Row],[Monto Colegiatura]]*Tabla3[[#This Row],[% Beca Comunidad 16-17]]</f>
        <v>#N/A</v>
      </c>
      <c r="X116" s="218" t="e">
        <f>Tabla3[[#This Row],[Cantidad Beca Comunidad 16-17]]*25%</f>
        <v>#N/A</v>
      </c>
      <c r="Y116" s="218"/>
      <c r="Z116" s="218" t="e">
        <f>Tabla3[[#This Row],[Monto Colegiatura]]*Tabla3[[#This Row],[% Beca UNAM 16-17]]</f>
        <v>#N/A</v>
      </c>
      <c r="AA116" s="219"/>
      <c r="AB116" s="218" t="e">
        <f>Tabla3[[#This Row],[Monto Reinscripción]]*Tabla3[[#This Row],[% Beca Reinscripción 16-17]]</f>
        <v>#N/A</v>
      </c>
      <c r="AC116" s="218"/>
      <c r="AD116" s="218" t="e">
        <f>Tabla3[[#This Row],[Monto Canasta]]*Tabla3[[#This Row],[% Beca Canasta 16-17]]</f>
        <v>#N/A</v>
      </c>
      <c r="AE116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16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16" s="209" t="e">
        <f>VLOOKUP(Tabla3[[#This Row],[Nombre del Alumno]],[2]!Tabla1[[Alumno]:[Cuenta Ciclos]],2,0)</f>
        <v>#REF!</v>
      </c>
      <c r="AH116" s="210" t="s">
        <v>766</v>
      </c>
      <c r="AI116" s="211" t="s">
        <v>330</v>
      </c>
      <c r="AJ116" s="206" t="e">
        <f>VLOOKUP(Tabla3[[#This Row],[Grado 17-18]],[2]Cuotas!$H:$L,2,0)</f>
        <v>#N/A</v>
      </c>
      <c r="AK116" s="206">
        <v>2573.7919999999999</v>
      </c>
      <c r="AL116" s="206" t="e">
        <f>VLOOKUP(Tabla3[[#This Row],[Grado 17-18]],[2]Cuotas!$H:$L,4,0)</f>
        <v>#N/A</v>
      </c>
      <c r="AM116" s="223"/>
      <c r="AN116" s="252"/>
      <c r="AO116" s="206" t="e">
        <f>Tabla3[[#This Row],[Monto Colegiatura ]]*Tabla3[[#This Row],[% AutorizadoBeca Colegiatura 17-18]]</f>
        <v>#N/A</v>
      </c>
      <c r="AP116" s="219"/>
      <c r="AQ116" s="206" t="e">
        <f>Tabla3[[#This Row],[Monto Colegiatura ]]*Tabla3[[#This Row],[% Beca Prestacion 17-18]]</f>
        <v>#N/A</v>
      </c>
      <c r="AR116" s="219"/>
      <c r="AS116" s="206" t="e">
        <f>Tabla3[[#This Row],[Canasta]]*Tabla3[[#This Row],[% Beca Canasta 17-18]]</f>
        <v>#N/A</v>
      </c>
      <c r="AT116" s="219"/>
      <c r="AU116" s="253">
        <v>0</v>
      </c>
      <c r="AV116" s="206" t="e">
        <f>Tabla3[[#This Row],[Cantidad Beca Comunidad Colegiatura 17-18]]*25%</f>
        <v>#N/A</v>
      </c>
      <c r="AW116" s="206"/>
      <c r="AX116" s="254"/>
      <c r="AY116" s="206" t="e">
        <f>Tabla3[[#This Row],[Monto Colegiatura ]]*Tabla3[[#This Row],[% Beca UNAM 17-18]]</f>
        <v>#N/A</v>
      </c>
      <c r="AZ116" s="218"/>
      <c r="BA116" s="224">
        <f>3200*Tabla3[[#This Row],[% Beca Reinscripciones UNAM 17-18]]</f>
        <v>0</v>
      </c>
      <c r="BB116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16" s="217">
        <v>0.25</v>
      </c>
      <c r="BD116" s="218" t="e">
        <f>Tabla3[[#This Row],[Monto Colegiatura ]]*Tabla3[[#This Row],[% Beca Comunidad 17-18]]</f>
        <v>#N/A</v>
      </c>
      <c r="BE116" s="218" t="e">
        <f>Tabla3[[#This Row],[Cantidad Beca Comunidad Colegiatura 17-18]]*75%</f>
        <v>#N/A</v>
      </c>
      <c r="BF116" s="219"/>
      <c r="BG116" s="218">
        <f>Tabla3[[#This Row],[Reinscripción]]*Tabla3[[#This Row],[% Beca Reinscripciones Comunidad 18-19]]</f>
        <v>0</v>
      </c>
      <c r="BH116" s="218">
        <f>Tabla3[[#This Row],[Cantidad Beca Reinscripciones Comunidad 18-19]]*70%</f>
        <v>0</v>
      </c>
      <c r="BI116" s="224" t="e">
        <f>Tabla3[[#This Row],[75% Cantidad Beca Comunidad Colegiatura 17-18]]+Tabla3[[#This Row],[70% Cantidad Beca Reinscripciones 18-19]]</f>
        <v>#N/A</v>
      </c>
      <c r="BJ116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16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16" s="255"/>
      <c r="BM116" s="225"/>
      <c r="BN116" s="221"/>
      <c r="BO116" s="107"/>
      <c r="BP116" s="107">
        <f>Tabla3[[#This Row],[% AutorizadoBeca Colegiatura 17-18]]+Tabla3[[#This Row],[% Beca Prestacion 17-18]]+Tabla3[[#This Row],[% Beca UNAM 17-18]]</f>
        <v>0</v>
      </c>
      <c r="BQ116" s="108">
        <f t="shared" si="3"/>
        <v>0</v>
      </c>
      <c r="BR116" s="107">
        <f>Tabla3[[#This Row],[% Beca Comunidad 17-18]]</f>
        <v>0.25</v>
      </c>
      <c r="BS116" s="108">
        <f t="shared" si="4"/>
        <v>286.75</v>
      </c>
      <c r="BT116" s="108">
        <f t="shared" si="5"/>
        <v>71.6875</v>
      </c>
      <c r="BU116" s="108">
        <f>Tabla3[[#This Row],[Monto3]]*75%</f>
        <v>215.0625</v>
      </c>
      <c r="BV116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16" s="107" t="e">
        <f>VLOOKUP(Tabla3[[#This Row],[Nombre del Alumno]],'[3]BECAS COLEGIATURAS'!$I:$N,6,0)</f>
        <v>#N/A</v>
      </c>
      <c r="BX116" s="107" t="e">
        <f>VLOOKUP(Tabla3[[#This Row],[Nombre del Alumno]],[1]!Tabla1[[NOMBRE DEL ALUMNO]:[MATRIZ]],6,0)</f>
        <v>#REF!</v>
      </c>
      <c r="BY116" s="107" t="e">
        <f>VLOOKUP(Tabla3[[#This Row],[Nombre del Alumno]],'[3]BECAS COLEGIATURAS'!$I:$L,4,0)</f>
        <v>#N/A</v>
      </c>
      <c r="BZ116" s="108" t="e">
        <f>VLOOKUP(Tabla3[[#This Row],[Grado 18-19]],[2]Cuotas!$Q:$U,2,0)</f>
        <v>#N/A</v>
      </c>
      <c r="CA116" s="108" t="e">
        <f>VLOOKUP(Tabla3[[#This Row],[Grado 18-19]],[2]Cuotas!$Q:$U,3,0)</f>
        <v>#N/A</v>
      </c>
      <c r="CB116" s="108" t="e">
        <f>VLOOKUP(Tabla3[[#This Row],[Grado 18-19]],[2]Cuotas!$Q:$U,4,0)</f>
        <v>#N/A</v>
      </c>
      <c r="CC116" s="107">
        <v>0</v>
      </c>
      <c r="CD116" s="222"/>
      <c r="CE116" s="218" t="e">
        <f>Tabla3[[#This Row],[Monto Colegiatura 2018-2019]]*Tabla3[[#This Row],[% AutorizadoBeca Colegiatura 18-19]]</f>
        <v>#N/A</v>
      </c>
      <c r="CF116" s="223"/>
      <c r="CG116" s="218" t="e">
        <f>Tabla3[[#This Row],[Monto Colegiatura 2018-2019]]*Tabla3[[#This Row],[% Beca Prestacion 18-19]]</f>
        <v>#N/A</v>
      </c>
      <c r="CH116" s="223"/>
      <c r="CI116" s="218" t="e">
        <f>Tabla3[[#This Row],[Canasta 2018-2019]]*Tabla3[[#This Row],[% Beca Canasta 18-19]]</f>
        <v>#N/A</v>
      </c>
      <c r="CJ116" s="223"/>
      <c r="CK116" s="218" t="e">
        <f>Tabla3[[#This Row],[Reinscripción 2019-2020]]*Tabla3[[#This Row],[% Beca Reinscripciones 19-20]]</f>
        <v>#N/A</v>
      </c>
      <c r="CL116" s="218" t="e">
        <f>Tabla3[[#This Row],[Cantidad Beca Comunidad Colegiatura 18-19]]*25%</f>
        <v>#N/A</v>
      </c>
      <c r="CM116" s="224" t="e">
        <f>Tabla3[[#This Row],[Cantidad Beca Reinscripciones Comunidad 19-20]]*25%</f>
        <v>#N/A</v>
      </c>
      <c r="CN116" s="222"/>
      <c r="CO116" s="218" t="e">
        <f>Tabla3[[#This Row],[Monto Colegiatura 2018-2019]]*Tabla3[[#This Row],[% Beca UNAM 18-19]]</f>
        <v>#N/A</v>
      </c>
      <c r="CP116" s="225"/>
      <c r="CQ116" s="224">
        <f>3328*Tabla3[[#This Row],[% Beca Reinscripciones UNAM 18-19]]</f>
        <v>0</v>
      </c>
      <c r="CR116" s="226" t="e">
        <f>Tabla3[[#This Row],[Cantidad Beca Colegiatura 18-19]]+Tabla3[[#This Row],[Cantidad Beca Canasta 18-19]]+Tabla3[[#This Row],[Cantidad Beca Reinscripciones 19-20]]</f>
        <v>#N/A</v>
      </c>
      <c r="CS116" s="222">
        <v>0.25</v>
      </c>
      <c r="CT116" s="218" t="e">
        <f>Tabla3[[#This Row],[Monto Colegiatura 2018-2019]]*Tabla3[[#This Row],[% Beca Comunidad 18-19]]</f>
        <v>#N/A</v>
      </c>
      <c r="CU116" s="218" t="e">
        <f>Tabla3[[#This Row],[Cantidad Beca Comunidad Colegiatura 18-19]]*75%</f>
        <v>#N/A</v>
      </c>
      <c r="CV116" s="223"/>
      <c r="CW116" s="218" t="e">
        <f>Tabla3[[#This Row],[Reinscripción 2019-2020]]*Tabla3[[#This Row],[% Beca Reinscripciones Comunidad 19-20]]</f>
        <v>#N/A</v>
      </c>
      <c r="CX116" s="218" t="e">
        <f>Tabla3[[#This Row],[Cantidad Beca Reinscripciones Comunidad 19-20]]*75%</f>
        <v>#N/A</v>
      </c>
      <c r="CY116" s="227" t="e">
        <f>Tabla3[[#This Row],[75% Cantidad Beca Comunidad Colegiatura 18-19]]+Tabla3[[#This Row],[75% Cantidad Beca Reinscripciones 19-20]]</f>
        <v>#N/A</v>
      </c>
      <c r="CZ116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16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16" s="108">
        <f>1440*(Tabla3[[#This Row],[% AutorizadoBeca Colegiatura 18-19]]+Tabla3[[#This Row],[% Beca Prestacion 18-19]]+Tabla3[[#This Row],[% Beca UNAM 18-19]]+Tabla3[[#This Row],[% Beca Comunidad 18-19]])</f>
        <v>360</v>
      </c>
    </row>
    <row r="117" spans="2:106" ht="15" customHeight="1" x14ac:dyDescent="0.2">
      <c r="B117" s="107" t="s">
        <v>767</v>
      </c>
      <c r="C117" s="107" t="e">
        <f>VLOOKUP(Tabla3[[#This Row],[Nombre del Padre]],[1]!Tabla1[[PADRE]:[PADRE_CELULAR]],2,0)</f>
        <v>#REF!</v>
      </c>
      <c r="D117" s="107" t="e">
        <f>VLOOKUP(Tabla3[[#This Row],[Nombre del Padre]],[1]!Tabla1[[PADRE]:[PADRE_CELULAR]],3,0)</f>
        <v>#REF!</v>
      </c>
      <c r="E117" s="107" t="s">
        <v>768</v>
      </c>
      <c r="F117" s="107" t="e">
        <f>VLOOKUP(Tabla3[[#This Row],[Nombre de la Madre]],[1]!Tabla1[[MADRE]:[MADRE_TELEFONO]],2,0)</f>
        <v>#REF!</v>
      </c>
      <c r="G117" s="202" t="e">
        <f>VLOOKUP(Tabla3[[#This Row],[Nombre de la Madre]],[1]!Tabla1[[MADRE]:[MADRE_TELEFONO]],3,0)</f>
        <v>#REF!</v>
      </c>
      <c r="H117" s="228">
        <v>65</v>
      </c>
      <c r="I117" s="225">
        <v>1571</v>
      </c>
      <c r="J117" s="225" t="s">
        <v>156</v>
      </c>
      <c r="K117" s="225" t="s">
        <v>312</v>
      </c>
      <c r="L117" s="225" t="s">
        <v>769</v>
      </c>
      <c r="M117" s="205" t="s">
        <v>770</v>
      </c>
      <c r="N117" s="204" t="s">
        <v>336</v>
      </c>
      <c r="O117" s="218" t="e">
        <f>VLOOKUP(Tabla3[[#This Row],[Grado]],[2]Cuotas!$A:$E,2,0)</f>
        <v>#N/A</v>
      </c>
      <c r="P117" s="218" t="e">
        <f>VLOOKUP(Tabla3[[#This Row],[Grado]],[2]Cuotas!$A:$E,4,0)</f>
        <v>#N/A</v>
      </c>
      <c r="Q117" s="218" t="e">
        <f>VLOOKUP(Tabla3[[#This Row],[Grado]],[2]Cuotas!$A:$E,3,0)</f>
        <v>#N/A</v>
      </c>
      <c r="R117" s="247">
        <v>0.5</v>
      </c>
      <c r="S117" s="206" t="e">
        <f>Tabla3[[#This Row],[Monto Colegiatura]]*Tabla3[[#This Row],[% Beca Colegio 16-17]]</f>
        <v>#N/A</v>
      </c>
      <c r="T117" s="218"/>
      <c r="U117" s="218" t="e">
        <f>Tabla3[[#This Row],[Monto Colegiatura]]*Tabla3[[#This Row],[% Beca Prestación 16-17]]</f>
        <v>#N/A</v>
      </c>
      <c r="V117" s="219"/>
      <c r="W117" s="206" t="e">
        <f>Tabla3[[#This Row],[Monto Colegiatura]]*Tabla3[[#This Row],[% Beca Comunidad 16-17]]</f>
        <v>#N/A</v>
      </c>
      <c r="X117" s="218" t="e">
        <f>Tabla3[[#This Row],[Cantidad Beca Comunidad 16-17]]*25%</f>
        <v>#N/A</v>
      </c>
      <c r="Y117" s="218"/>
      <c r="Z117" s="218" t="e">
        <f>Tabla3[[#This Row],[Monto Colegiatura]]*Tabla3[[#This Row],[% Beca UNAM 16-17]]</f>
        <v>#N/A</v>
      </c>
      <c r="AA117" s="219"/>
      <c r="AB117" s="218" t="e">
        <f>Tabla3[[#This Row],[Monto Reinscripción]]*Tabla3[[#This Row],[% Beca Reinscripción 16-17]]</f>
        <v>#N/A</v>
      </c>
      <c r="AC117" s="218"/>
      <c r="AD117" s="218" t="e">
        <f>Tabla3[[#This Row],[Monto Canasta]]*Tabla3[[#This Row],[% Beca Canasta 16-17]]</f>
        <v>#N/A</v>
      </c>
      <c r="AE117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17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17" s="209" t="e">
        <f>VLOOKUP(Tabla3[[#This Row],[Nombre del Alumno]],[2]!Tabla1[[Alumno]:[Cuenta Ciclos]],2,0)</f>
        <v>#REF!</v>
      </c>
      <c r="AH117" s="210" t="s">
        <v>771</v>
      </c>
      <c r="AI117" s="211" t="s">
        <v>338</v>
      </c>
      <c r="AJ117" s="206" t="e">
        <f>VLOOKUP(Tabla3[[#This Row],[Grado 17-18]],[2]Cuotas!$H:$L,2,0)</f>
        <v>#N/A</v>
      </c>
      <c r="AK117" s="206" t="e">
        <f>VLOOKUP(Tabla3[[#This Row],[Grado 17-18]],[2]Cuotas!$H:$L,3,0)</f>
        <v>#N/A</v>
      </c>
      <c r="AL117" s="206" t="e">
        <f>VLOOKUP(Tabla3[[#This Row],[Grado 17-18]],[2]Cuotas!$H:$L,4,0)</f>
        <v>#N/A</v>
      </c>
      <c r="AM117" s="251">
        <v>0.6</v>
      </c>
      <c r="AN117" s="252">
        <v>0.7</v>
      </c>
      <c r="AO117" s="206" t="e">
        <f>Tabla3[[#This Row],[Monto Colegiatura ]]*Tabla3[[#This Row],[% AutorizadoBeca Colegiatura 17-18]]</f>
        <v>#N/A</v>
      </c>
      <c r="AP117" s="219"/>
      <c r="AQ117" s="206" t="e">
        <f>Tabla3[[#This Row],[Monto Colegiatura ]]*Tabla3[[#This Row],[% Beca Prestacion 17-18]]</f>
        <v>#N/A</v>
      </c>
      <c r="AR117" s="219"/>
      <c r="AS117" s="206" t="e">
        <f>Tabla3[[#This Row],[Canasta]]*Tabla3[[#This Row],[% Beca Canasta 17-18]]</f>
        <v>#N/A</v>
      </c>
      <c r="AT117" s="219"/>
      <c r="AU117" s="253">
        <v>0</v>
      </c>
      <c r="AV117" s="206" t="e">
        <f>Tabla3[[#This Row],[Cantidad Beca Comunidad Colegiatura 17-18]]*25%</f>
        <v>#N/A</v>
      </c>
      <c r="AW117" s="206"/>
      <c r="AX117" s="254"/>
      <c r="AY117" s="206" t="e">
        <f>Tabla3[[#This Row],[Monto Colegiatura ]]*Tabla3[[#This Row],[% Beca UNAM 17-18]]</f>
        <v>#N/A</v>
      </c>
      <c r="AZ117" s="218"/>
      <c r="BA117" s="224">
        <f>3200*Tabla3[[#This Row],[% Beca Reinscripciones UNAM 17-18]]</f>
        <v>0</v>
      </c>
      <c r="BB117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17" s="231"/>
      <c r="BD117" s="218" t="e">
        <f>Tabla3[[#This Row],[Monto Colegiatura ]]*Tabla3[[#This Row],[% Beca Comunidad 17-18]]</f>
        <v>#N/A</v>
      </c>
      <c r="BE117" s="218" t="e">
        <f>Tabla3[[#This Row],[Cantidad Beca Comunidad Colegiatura 17-18]]*75%</f>
        <v>#N/A</v>
      </c>
      <c r="BF117" s="219"/>
      <c r="BG117" s="218" t="e">
        <f>Tabla3[[#This Row],[Reinscripción]]*Tabla3[[#This Row],[% Beca Reinscripciones Comunidad 18-19]]</f>
        <v>#N/A</v>
      </c>
      <c r="BH117" s="218" t="e">
        <f>Tabla3[[#This Row],[Cantidad Beca Reinscripciones Comunidad 18-19]]*70%</f>
        <v>#N/A</v>
      </c>
      <c r="BI117" s="224" t="e">
        <f>Tabla3[[#This Row],[75% Cantidad Beca Comunidad Colegiatura 17-18]]+Tabla3[[#This Row],[70% Cantidad Beca Reinscripciones 18-19]]</f>
        <v>#N/A</v>
      </c>
      <c r="BJ117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17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17" s="255"/>
      <c r="BM117" s="225"/>
      <c r="BN117" s="287" t="s">
        <v>772</v>
      </c>
      <c r="BO117" s="107"/>
      <c r="BP117" s="107">
        <f>Tabla3[[#This Row],[% AutorizadoBeca Colegiatura 17-18]]+Tabla3[[#This Row],[% Beca Prestacion 17-18]]+Tabla3[[#This Row],[% Beca UNAM 17-18]]</f>
        <v>0.7</v>
      </c>
      <c r="BQ117" s="108">
        <f t="shared" si="3"/>
        <v>802.9</v>
      </c>
      <c r="BR117" s="107">
        <f>Tabla3[[#This Row],[% Beca Comunidad 17-18]]</f>
        <v>0</v>
      </c>
      <c r="BS117" s="108">
        <f t="shared" si="4"/>
        <v>0</v>
      </c>
      <c r="BT117" s="108">
        <f t="shared" si="5"/>
        <v>0</v>
      </c>
      <c r="BU117" s="108">
        <f>Tabla3[[#This Row],[Monto3]]*75%</f>
        <v>0</v>
      </c>
      <c r="BV117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17" s="107" t="e">
        <f>VLOOKUP(Tabla3[[#This Row],[Nombre del Alumno]],'[3]BECAS COLEGIATURAS'!$I:$N,6,0)</f>
        <v>#N/A</v>
      </c>
      <c r="BX117" s="107" t="e">
        <f>VLOOKUP(Tabla3[[#This Row],[Nombre del Alumno]],[1]!Tabla1[[NOMBRE DEL ALUMNO]:[MATRIZ]],6,0)</f>
        <v>#REF!</v>
      </c>
      <c r="BY117" s="107" t="e">
        <f>VLOOKUP(Tabla3[[#This Row],[Nombre del Alumno]],'[3]BECAS COLEGIATURAS'!$I:$L,4,0)</f>
        <v>#N/A</v>
      </c>
      <c r="BZ117" s="108" t="e">
        <f>VLOOKUP(Tabla3[[#This Row],[Grado 18-19]],[2]Cuotas!$Q:$U,2,0)</f>
        <v>#N/A</v>
      </c>
      <c r="CA117" s="108" t="e">
        <f>VLOOKUP(Tabla3[[#This Row],[Grado 18-19]],[2]Cuotas!$Q:$U,3,0)</f>
        <v>#N/A</v>
      </c>
      <c r="CB117" s="108" t="e">
        <f>VLOOKUP(Tabla3[[#This Row],[Grado 18-19]],[2]Cuotas!$Q:$U,4,0)</f>
        <v>#N/A</v>
      </c>
      <c r="CC117" s="107">
        <v>0</v>
      </c>
      <c r="CD117" s="222">
        <v>0.5</v>
      </c>
      <c r="CE117" s="218" t="e">
        <f>Tabla3[[#This Row],[Monto Colegiatura 2018-2019]]*Tabla3[[#This Row],[% AutorizadoBeca Colegiatura 18-19]]</f>
        <v>#N/A</v>
      </c>
      <c r="CF117" s="223"/>
      <c r="CG117" s="218" t="e">
        <f>Tabla3[[#This Row],[Monto Colegiatura 2018-2019]]*Tabla3[[#This Row],[% Beca Prestacion 18-19]]</f>
        <v>#N/A</v>
      </c>
      <c r="CH117" s="223"/>
      <c r="CI117" s="218" t="e">
        <f>Tabla3[[#This Row],[Canasta 2018-2019]]*Tabla3[[#This Row],[% Beca Canasta 18-19]]</f>
        <v>#N/A</v>
      </c>
      <c r="CJ117" s="223"/>
      <c r="CK117" s="218" t="e">
        <f>Tabla3[[#This Row],[Reinscripción 2019-2020]]*Tabla3[[#This Row],[% Beca Reinscripciones 19-20]]</f>
        <v>#N/A</v>
      </c>
      <c r="CL117" s="218" t="e">
        <f>Tabla3[[#This Row],[Cantidad Beca Comunidad Colegiatura 18-19]]*25%</f>
        <v>#N/A</v>
      </c>
      <c r="CM117" s="224" t="e">
        <f>Tabla3[[#This Row],[Cantidad Beca Reinscripciones Comunidad 19-20]]*25%</f>
        <v>#N/A</v>
      </c>
      <c r="CN117" s="222"/>
      <c r="CO117" s="218" t="e">
        <f>Tabla3[[#This Row],[Monto Colegiatura 2018-2019]]*Tabla3[[#This Row],[% Beca UNAM 18-19]]</f>
        <v>#N/A</v>
      </c>
      <c r="CP117" s="225"/>
      <c r="CQ117" s="224">
        <f>3328*Tabla3[[#This Row],[% Beca Reinscripciones UNAM 18-19]]</f>
        <v>0</v>
      </c>
      <c r="CR117" s="226" t="e">
        <f>Tabla3[[#This Row],[Cantidad Beca Colegiatura 18-19]]+Tabla3[[#This Row],[Cantidad Beca Canasta 18-19]]+Tabla3[[#This Row],[Cantidad Beca Reinscripciones 19-20]]</f>
        <v>#N/A</v>
      </c>
      <c r="CS117" s="222"/>
      <c r="CT117" s="218" t="e">
        <f>Tabla3[[#This Row],[Monto Colegiatura 2018-2019]]*Tabla3[[#This Row],[% Beca Comunidad 18-19]]</f>
        <v>#N/A</v>
      </c>
      <c r="CU117" s="218" t="e">
        <f>Tabla3[[#This Row],[Cantidad Beca Comunidad Colegiatura 18-19]]*75%</f>
        <v>#N/A</v>
      </c>
      <c r="CV117" s="223"/>
      <c r="CW117" s="218" t="e">
        <f>Tabla3[[#This Row],[Reinscripción 2019-2020]]*Tabla3[[#This Row],[% Beca Reinscripciones Comunidad 19-20]]</f>
        <v>#N/A</v>
      </c>
      <c r="CX117" s="218" t="e">
        <f>Tabla3[[#This Row],[Cantidad Beca Reinscripciones Comunidad 19-20]]*75%</f>
        <v>#N/A</v>
      </c>
      <c r="CY117" s="227" t="e">
        <f>Tabla3[[#This Row],[75% Cantidad Beca Comunidad Colegiatura 18-19]]+Tabla3[[#This Row],[75% Cantidad Beca Reinscripciones 19-20]]</f>
        <v>#N/A</v>
      </c>
      <c r="CZ117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17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17" s="108">
        <f>1440*(Tabla3[[#This Row],[% AutorizadoBeca Colegiatura 18-19]]+Tabla3[[#This Row],[% Beca Prestacion 18-19]]+Tabla3[[#This Row],[% Beca UNAM 18-19]]+Tabla3[[#This Row],[% Beca Comunidad 18-19]])</f>
        <v>720</v>
      </c>
    </row>
    <row r="118" spans="2:106" ht="15" customHeight="1" x14ac:dyDescent="0.2">
      <c r="B118" s="107" t="s">
        <v>767</v>
      </c>
      <c r="C118" s="107" t="e">
        <f>VLOOKUP(Tabla3[[#This Row],[Nombre del Padre]],[1]!Tabla1[[PADRE]:[PADRE_CELULAR]],2,0)</f>
        <v>#REF!</v>
      </c>
      <c r="D118" s="107" t="e">
        <f>VLOOKUP(Tabla3[[#This Row],[Nombre del Padre]],[1]!Tabla1[[PADRE]:[PADRE_CELULAR]],3,0)</f>
        <v>#REF!</v>
      </c>
      <c r="E118" s="107" t="s">
        <v>768</v>
      </c>
      <c r="F118" s="107" t="e">
        <f>VLOOKUP(Tabla3[[#This Row],[Nombre de la Madre]],[1]!Tabla1[[MADRE]:[MADRE_TELEFONO]],2,0)</f>
        <v>#REF!</v>
      </c>
      <c r="G118" s="202" t="e">
        <f>VLOOKUP(Tabla3[[#This Row],[Nombre de la Madre]],[1]!Tabla1[[MADRE]:[MADRE_TELEFONO]],3,0)</f>
        <v>#REF!</v>
      </c>
      <c r="H118" s="228"/>
      <c r="I118" s="225">
        <v>1571</v>
      </c>
      <c r="J118" s="225" t="s">
        <v>156</v>
      </c>
      <c r="K118" s="225" t="s">
        <v>312</v>
      </c>
      <c r="L118" s="225" t="s">
        <v>773</v>
      </c>
      <c r="M118" s="205" t="s">
        <v>774</v>
      </c>
      <c r="N118" s="204" t="s">
        <v>276</v>
      </c>
      <c r="O118" s="218" t="e">
        <f>VLOOKUP(Tabla3[[#This Row],[Grado]],[2]Cuotas!$A:$E,2,0)</f>
        <v>#N/A</v>
      </c>
      <c r="P118" s="218" t="e">
        <f>VLOOKUP(Tabla3[[#This Row],[Grado]],[2]Cuotas!$A:$E,4,0)</f>
        <v>#N/A</v>
      </c>
      <c r="Q118" s="218" t="e">
        <f>VLOOKUP(Tabla3[[#This Row],[Grado]],[2]Cuotas!$A:$E,3,0)</f>
        <v>#N/A</v>
      </c>
      <c r="R118" s="247">
        <v>0.5</v>
      </c>
      <c r="S118" s="218" t="e">
        <f>Tabla3[[#This Row],[Monto Colegiatura]]*Tabla3[[#This Row],[% Beca Colegio 16-17]]</f>
        <v>#N/A</v>
      </c>
      <c r="T118" s="218"/>
      <c r="U118" s="218" t="e">
        <f>Tabla3[[#This Row],[Monto Colegiatura]]*Tabla3[[#This Row],[% Beca Prestación 16-17]]</f>
        <v>#N/A</v>
      </c>
      <c r="V118" s="219"/>
      <c r="W118" s="218" t="e">
        <f>Tabla3[[#This Row],[Monto Colegiatura]]*Tabla3[[#This Row],[% Beca Comunidad 16-17]]</f>
        <v>#N/A</v>
      </c>
      <c r="X118" s="218" t="e">
        <f>Tabla3[[#This Row],[Cantidad Beca Comunidad 16-17]]*25%</f>
        <v>#N/A</v>
      </c>
      <c r="Y118" s="218"/>
      <c r="Z118" s="218" t="e">
        <f>Tabla3[[#This Row],[Monto Colegiatura]]*Tabla3[[#This Row],[% Beca UNAM 16-17]]</f>
        <v>#N/A</v>
      </c>
      <c r="AA118" s="219"/>
      <c r="AB118" s="218" t="e">
        <f>Tabla3[[#This Row],[Monto Reinscripción]]*Tabla3[[#This Row],[% Beca Reinscripción 16-17]]</f>
        <v>#N/A</v>
      </c>
      <c r="AC118" s="218"/>
      <c r="AD118" s="218" t="e">
        <f>Tabla3[[#This Row],[Monto Canasta]]*Tabla3[[#This Row],[% Beca Canasta 16-17]]</f>
        <v>#N/A</v>
      </c>
      <c r="AE118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18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18" s="209" t="e">
        <f>VLOOKUP(Tabla3[[#This Row],[Nombre del Alumno]],[2]!Tabla1[[Alumno]:[Cuenta Ciclos]],2,0)</f>
        <v>#REF!</v>
      </c>
      <c r="AH118" s="210" t="s">
        <v>775</v>
      </c>
      <c r="AI118" s="211" t="s">
        <v>278</v>
      </c>
      <c r="AJ118" s="206" t="e">
        <f>VLOOKUP(Tabla3[[#This Row],[Grado 17-18]],[2]Cuotas!$H:$L,2,0)</f>
        <v>#N/A</v>
      </c>
      <c r="AK118" s="206" t="e">
        <f>VLOOKUP(Tabla3[[#This Row],[Grado 17-18]],[2]Cuotas!$H:$L,3,0)</f>
        <v>#N/A</v>
      </c>
      <c r="AL118" s="206" t="e">
        <f>VLOOKUP(Tabla3[[#This Row],[Grado 17-18]],[2]Cuotas!$H:$L,4,0)</f>
        <v>#N/A</v>
      </c>
      <c r="AM118" s="251">
        <v>0.6</v>
      </c>
      <c r="AN118" s="252">
        <v>0.7</v>
      </c>
      <c r="AO118" s="206" t="e">
        <f>Tabla3[[#This Row],[Monto Colegiatura ]]*Tabla3[[#This Row],[% AutorizadoBeca Colegiatura 17-18]]</f>
        <v>#N/A</v>
      </c>
      <c r="AP118" s="219"/>
      <c r="AQ118" s="206" t="e">
        <f>Tabla3[[#This Row],[Monto Colegiatura ]]*Tabla3[[#This Row],[% Beca Prestacion 17-18]]</f>
        <v>#N/A</v>
      </c>
      <c r="AR118" s="219"/>
      <c r="AS118" s="206" t="e">
        <f>Tabla3[[#This Row],[Canasta]]*Tabla3[[#This Row],[% Beca Canasta 17-18]]</f>
        <v>#N/A</v>
      </c>
      <c r="AT118" s="219"/>
      <c r="AU118" s="253">
        <v>0</v>
      </c>
      <c r="AV118" s="206" t="e">
        <f>Tabla3[[#This Row],[Cantidad Beca Comunidad Colegiatura 17-18]]*25%</f>
        <v>#N/A</v>
      </c>
      <c r="AW118" s="206"/>
      <c r="AX118" s="254"/>
      <c r="AY118" s="206" t="e">
        <f>Tabla3[[#This Row],[Monto Colegiatura ]]*Tabla3[[#This Row],[% Beca UNAM 17-18]]</f>
        <v>#N/A</v>
      </c>
      <c r="AZ118" s="218"/>
      <c r="BA118" s="224">
        <f>3200*Tabla3[[#This Row],[% Beca Reinscripciones UNAM 17-18]]</f>
        <v>0</v>
      </c>
      <c r="BB118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18" s="231"/>
      <c r="BD118" s="218" t="e">
        <f>Tabla3[[#This Row],[Monto Colegiatura ]]*Tabla3[[#This Row],[% Beca Comunidad 17-18]]</f>
        <v>#N/A</v>
      </c>
      <c r="BE118" s="218" t="e">
        <f>Tabla3[[#This Row],[Cantidad Beca Comunidad Colegiatura 17-18]]*75%</f>
        <v>#N/A</v>
      </c>
      <c r="BF118" s="219"/>
      <c r="BG118" s="218" t="e">
        <f>Tabla3[[#This Row],[Reinscripción]]*Tabla3[[#This Row],[% Beca Reinscripciones Comunidad 18-19]]</f>
        <v>#N/A</v>
      </c>
      <c r="BH118" s="218" t="e">
        <f>Tabla3[[#This Row],[Cantidad Beca Reinscripciones Comunidad 18-19]]*70%</f>
        <v>#N/A</v>
      </c>
      <c r="BI118" s="224" t="e">
        <f>Tabla3[[#This Row],[75% Cantidad Beca Comunidad Colegiatura 17-18]]+Tabla3[[#This Row],[70% Cantidad Beca Reinscripciones 18-19]]</f>
        <v>#N/A</v>
      </c>
      <c r="BJ118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18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18" s="255"/>
      <c r="BM118" s="225"/>
      <c r="BN118" s="287"/>
      <c r="BO118" s="107"/>
      <c r="BP118" s="107">
        <f>Tabla3[[#This Row],[% AutorizadoBeca Colegiatura 17-18]]+Tabla3[[#This Row],[% Beca Prestacion 17-18]]+Tabla3[[#This Row],[% Beca UNAM 17-18]]</f>
        <v>0.7</v>
      </c>
      <c r="BQ118" s="108">
        <f t="shared" si="3"/>
        <v>802.9</v>
      </c>
      <c r="BR118" s="107">
        <f>Tabla3[[#This Row],[% Beca Comunidad 17-18]]</f>
        <v>0</v>
      </c>
      <c r="BS118" s="108">
        <f t="shared" si="4"/>
        <v>0</v>
      </c>
      <c r="BT118" s="108">
        <f t="shared" si="5"/>
        <v>0</v>
      </c>
      <c r="BU118" s="108">
        <f>Tabla3[[#This Row],[Monto3]]*75%</f>
        <v>0</v>
      </c>
      <c r="BV118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18" s="107" t="e">
        <f>VLOOKUP(Tabla3[[#This Row],[Nombre del Alumno]],'[3]BECAS COLEGIATURAS'!$I:$N,6,0)</f>
        <v>#N/A</v>
      </c>
      <c r="BX118" s="107" t="e">
        <f>VLOOKUP(Tabla3[[#This Row],[Nombre del Alumno]],[1]!Tabla1[[NOMBRE DEL ALUMNO]:[MATRIZ]],6,0)</f>
        <v>#REF!</v>
      </c>
      <c r="BY118" s="107" t="e">
        <f>VLOOKUP(Tabla3[[#This Row],[Nombre del Alumno]],'[3]BECAS COLEGIATURAS'!$I:$L,4,0)</f>
        <v>#N/A</v>
      </c>
      <c r="BZ118" s="108" t="e">
        <f>VLOOKUP(Tabla3[[#This Row],[Grado 18-19]],[2]Cuotas!$Q:$U,2,0)</f>
        <v>#N/A</v>
      </c>
      <c r="CA118" s="108" t="e">
        <f>VLOOKUP(Tabla3[[#This Row],[Grado 18-19]],[2]Cuotas!$Q:$U,3,0)</f>
        <v>#N/A</v>
      </c>
      <c r="CB118" s="108" t="e">
        <f>VLOOKUP(Tabla3[[#This Row],[Grado 18-19]],[2]Cuotas!$Q:$U,4,0)</f>
        <v>#N/A</v>
      </c>
      <c r="CC118" s="107">
        <v>0</v>
      </c>
      <c r="CD118" s="222">
        <v>0.5</v>
      </c>
      <c r="CE118" s="218" t="e">
        <f>Tabla3[[#This Row],[Monto Colegiatura 2018-2019]]*Tabla3[[#This Row],[% AutorizadoBeca Colegiatura 18-19]]</f>
        <v>#N/A</v>
      </c>
      <c r="CF118" s="223"/>
      <c r="CG118" s="218" t="e">
        <f>Tabla3[[#This Row],[Monto Colegiatura 2018-2019]]*Tabla3[[#This Row],[% Beca Prestacion 18-19]]</f>
        <v>#N/A</v>
      </c>
      <c r="CH118" s="223"/>
      <c r="CI118" s="218" t="e">
        <f>Tabla3[[#This Row],[Canasta 2018-2019]]*Tabla3[[#This Row],[% Beca Canasta 18-19]]</f>
        <v>#N/A</v>
      </c>
      <c r="CJ118" s="223"/>
      <c r="CK118" s="218" t="e">
        <f>Tabla3[[#This Row],[Reinscripción 2019-2020]]*Tabla3[[#This Row],[% Beca Reinscripciones 19-20]]</f>
        <v>#N/A</v>
      </c>
      <c r="CL118" s="218" t="e">
        <f>Tabla3[[#This Row],[Cantidad Beca Comunidad Colegiatura 18-19]]*25%</f>
        <v>#N/A</v>
      </c>
      <c r="CM118" s="224" t="e">
        <f>Tabla3[[#This Row],[Cantidad Beca Reinscripciones Comunidad 19-20]]*25%</f>
        <v>#N/A</v>
      </c>
      <c r="CN118" s="222"/>
      <c r="CO118" s="218" t="e">
        <f>Tabla3[[#This Row],[Monto Colegiatura 2018-2019]]*Tabla3[[#This Row],[% Beca UNAM 18-19]]</f>
        <v>#N/A</v>
      </c>
      <c r="CP118" s="225"/>
      <c r="CQ118" s="224">
        <f>3328*Tabla3[[#This Row],[% Beca Reinscripciones UNAM 18-19]]</f>
        <v>0</v>
      </c>
      <c r="CR118" s="226" t="e">
        <f>Tabla3[[#This Row],[Cantidad Beca Colegiatura 18-19]]+Tabla3[[#This Row],[Cantidad Beca Canasta 18-19]]+Tabla3[[#This Row],[Cantidad Beca Reinscripciones 19-20]]</f>
        <v>#N/A</v>
      </c>
      <c r="CS118" s="222"/>
      <c r="CT118" s="218" t="e">
        <f>Tabla3[[#This Row],[Monto Colegiatura 2018-2019]]*Tabla3[[#This Row],[% Beca Comunidad 18-19]]</f>
        <v>#N/A</v>
      </c>
      <c r="CU118" s="218" t="e">
        <f>Tabla3[[#This Row],[Cantidad Beca Comunidad Colegiatura 18-19]]*75%</f>
        <v>#N/A</v>
      </c>
      <c r="CV118" s="223"/>
      <c r="CW118" s="218" t="e">
        <f>Tabla3[[#This Row],[Reinscripción 2019-2020]]*Tabla3[[#This Row],[% Beca Reinscripciones Comunidad 19-20]]</f>
        <v>#N/A</v>
      </c>
      <c r="CX118" s="218" t="e">
        <f>Tabla3[[#This Row],[Cantidad Beca Reinscripciones Comunidad 19-20]]*75%</f>
        <v>#N/A</v>
      </c>
      <c r="CY118" s="227" t="e">
        <f>Tabla3[[#This Row],[75% Cantidad Beca Comunidad Colegiatura 18-19]]+Tabla3[[#This Row],[75% Cantidad Beca Reinscripciones 19-20]]</f>
        <v>#N/A</v>
      </c>
      <c r="CZ118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18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18" s="108">
        <f>1440*(Tabla3[[#This Row],[% AutorizadoBeca Colegiatura 18-19]]+Tabla3[[#This Row],[% Beca Prestacion 18-19]]+Tabla3[[#This Row],[% Beca UNAM 18-19]]+Tabla3[[#This Row],[% Beca Comunidad 18-19]])</f>
        <v>720</v>
      </c>
    </row>
    <row r="119" spans="2:106" ht="15" customHeight="1" x14ac:dyDescent="0.2">
      <c r="B119" s="107" t="s">
        <v>776</v>
      </c>
      <c r="C119" s="107" t="e">
        <f>VLOOKUP(Tabla3[[#This Row],[Nombre del Padre]],[1]!Tabla1[[PADRE]:[PADRE_CELULAR]],2,0)</f>
        <v>#REF!</v>
      </c>
      <c r="D119" s="107" t="e">
        <f>VLOOKUP(Tabla3[[#This Row],[Nombre del Padre]],[1]!Tabla1[[PADRE]:[PADRE_CELULAR]],3,0)</f>
        <v>#REF!</v>
      </c>
      <c r="E119" s="107" t="s">
        <v>777</v>
      </c>
      <c r="F119" s="107" t="e">
        <f>VLOOKUP(Tabla3[[#This Row],[Nombre de la Madre]],[1]!Tabla1[[MADRE]:[MADRE_TELEFONO]],2,0)</f>
        <v>#REF!</v>
      </c>
      <c r="G119" s="202" t="e">
        <f>VLOOKUP(Tabla3[[#This Row],[Nombre de la Madre]],[1]!Tabla1[[MADRE]:[MADRE_TELEFONO]],3,0)</f>
        <v>#REF!</v>
      </c>
      <c r="H119" s="230">
        <v>66</v>
      </c>
      <c r="I119" s="225">
        <v>1863</v>
      </c>
      <c r="J119" s="225" t="s">
        <v>778</v>
      </c>
      <c r="K119" s="225" t="s">
        <v>637</v>
      </c>
      <c r="L119" s="225" t="s">
        <v>779</v>
      </c>
      <c r="M119" s="205" t="s">
        <v>780</v>
      </c>
      <c r="N119" s="204" t="s">
        <v>330</v>
      </c>
      <c r="O119" s="218" t="e">
        <f>VLOOKUP(Tabla3[[#This Row],[Grado]],[2]Cuotas!$A:$E,2,0)</f>
        <v>#N/A</v>
      </c>
      <c r="P119" s="218" t="e">
        <f>VLOOKUP(Tabla3[[#This Row],[Grado]],[2]Cuotas!$A:$E,4,0)</f>
        <v>#N/A</v>
      </c>
      <c r="Q119" s="218" t="e">
        <f>VLOOKUP(Tabla3[[#This Row],[Grado]],[2]Cuotas!$A:$E,3,0)</f>
        <v>#N/A</v>
      </c>
      <c r="R119" s="247">
        <v>0.25</v>
      </c>
      <c r="S119" s="218" t="e">
        <f>Tabla3[[#This Row],[Monto Colegiatura]]*Tabla3[[#This Row],[% Beca Colegio 16-17]]</f>
        <v>#N/A</v>
      </c>
      <c r="T119" s="218"/>
      <c r="U119" s="218" t="e">
        <f>Tabla3[[#This Row],[Monto Colegiatura]]*Tabla3[[#This Row],[% Beca Prestación 16-17]]</f>
        <v>#N/A</v>
      </c>
      <c r="V119" s="219"/>
      <c r="W119" s="218" t="e">
        <f>Tabla3[[#This Row],[Monto Colegiatura]]*Tabla3[[#This Row],[% Beca Comunidad 16-17]]</f>
        <v>#N/A</v>
      </c>
      <c r="X119" s="218" t="e">
        <f>Tabla3[[#This Row],[Cantidad Beca Comunidad 16-17]]*25%</f>
        <v>#N/A</v>
      </c>
      <c r="Y119" s="218"/>
      <c r="Z119" s="218" t="e">
        <f>Tabla3[[#This Row],[Monto Colegiatura]]*Tabla3[[#This Row],[% Beca UNAM 16-17]]</f>
        <v>#N/A</v>
      </c>
      <c r="AA119" s="219"/>
      <c r="AB119" s="218" t="e">
        <f>Tabla3[[#This Row],[Monto Reinscripción]]*Tabla3[[#This Row],[% Beca Reinscripción 16-17]]</f>
        <v>#N/A</v>
      </c>
      <c r="AC119" s="218"/>
      <c r="AD119" s="218" t="e">
        <f>Tabla3[[#This Row],[Monto Canasta]]*Tabla3[[#This Row],[% Beca Canasta 16-17]]</f>
        <v>#N/A</v>
      </c>
      <c r="AE119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19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19" s="209" t="e">
        <f>VLOOKUP(Tabla3[[#This Row],[Nombre del Alumno]],[2]!Tabla1[[Alumno]:[Cuenta Ciclos]],2,0)</f>
        <v>#REF!</v>
      </c>
      <c r="AH119" s="210" t="s">
        <v>781</v>
      </c>
      <c r="AI119" s="211" t="s">
        <v>332</v>
      </c>
      <c r="AJ119" s="206" t="e">
        <f>VLOOKUP(Tabla3[[#This Row],[Grado 17-18]],[2]Cuotas!$H:$L,2,0)</f>
        <v>#N/A</v>
      </c>
      <c r="AK119" s="206" t="e">
        <f>VLOOKUP(Tabla3[[#This Row],[Grado 17-18]],[2]Cuotas!$H:$L,3,0)</f>
        <v>#N/A</v>
      </c>
      <c r="AL119" s="206" t="e">
        <f>VLOOKUP(Tabla3[[#This Row],[Grado 17-18]],[2]Cuotas!$H:$L,4,0)</f>
        <v>#N/A</v>
      </c>
      <c r="AM119" s="251">
        <v>0.3</v>
      </c>
      <c r="AN119" s="252">
        <v>0.25</v>
      </c>
      <c r="AO119" s="206" t="e">
        <f>Tabla3[[#This Row],[Monto Colegiatura ]]*Tabla3[[#This Row],[% AutorizadoBeca Colegiatura 17-18]]</f>
        <v>#N/A</v>
      </c>
      <c r="AP119" s="219"/>
      <c r="AQ119" s="206" t="e">
        <f>Tabla3[[#This Row],[Monto Colegiatura ]]*Tabla3[[#This Row],[% Beca Prestacion 17-18]]</f>
        <v>#N/A</v>
      </c>
      <c r="AR119" s="219"/>
      <c r="AS119" s="206" t="e">
        <f>Tabla3[[#This Row],[Canasta]]*Tabla3[[#This Row],[% Beca Canasta 17-18]]</f>
        <v>#N/A</v>
      </c>
      <c r="AT119" s="219"/>
      <c r="AU119" s="253">
        <v>0</v>
      </c>
      <c r="AV119" s="206" t="e">
        <f>Tabla3[[#This Row],[Cantidad Beca Comunidad Colegiatura 17-18]]*25%</f>
        <v>#N/A</v>
      </c>
      <c r="AW119" s="218"/>
      <c r="AX119" s="254"/>
      <c r="AY119" s="206" t="e">
        <f>Tabla3[[#This Row],[Monto Colegiatura ]]*Tabla3[[#This Row],[% Beca UNAM 17-18]]</f>
        <v>#N/A</v>
      </c>
      <c r="AZ119" s="218"/>
      <c r="BA119" s="224">
        <f>3200*Tabla3[[#This Row],[% Beca Reinscripciones UNAM 17-18]]</f>
        <v>0</v>
      </c>
      <c r="BB119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19" s="231"/>
      <c r="BD119" s="218" t="e">
        <f>Tabla3[[#This Row],[Monto Colegiatura ]]*Tabla3[[#This Row],[% Beca Comunidad 17-18]]</f>
        <v>#N/A</v>
      </c>
      <c r="BE119" s="218" t="e">
        <f>Tabla3[[#This Row],[Cantidad Beca Comunidad Colegiatura 17-18]]*75%</f>
        <v>#N/A</v>
      </c>
      <c r="BF119" s="219"/>
      <c r="BG119" s="218" t="e">
        <f>Tabla3[[#This Row],[Reinscripción]]*Tabla3[[#This Row],[% Beca Reinscripciones Comunidad 18-19]]</f>
        <v>#N/A</v>
      </c>
      <c r="BH119" s="218" t="e">
        <f>Tabla3[[#This Row],[Cantidad Beca Reinscripciones Comunidad 18-19]]*70%</f>
        <v>#N/A</v>
      </c>
      <c r="BI119" s="224" t="e">
        <f>Tabla3[[#This Row],[75% Cantidad Beca Comunidad Colegiatura 17-18]]+Tabla3[[#This Row],[70% Cantidad Beca Reinscripciones 18-19]]</f>
        <v>#N/A</v>
      </c>
      <c r="BJ119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19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19" s="255"/>
      <c r="BM119" s="225"/>
      <c r="BN119" s="248">
        <v>0.25</v>
      </c>
      <c r="BO119" s="107"/>
      <c r="BP119" s="107">
        <f>Tabla3[[#This Row],[% AutorizadoBeca Colegiatura 17-18]]+Tabla3[[#This Row],[% Beca Prestacion 17-18]]+Tabla3[[#This Row],[% Beca UNAM 17-18]]</f>
        <v>0.25</v>
      </c>
      <c r="BQ119" s="108">
        <f t="shared" si="3"/>
        <v>286.75</v>
      </c>
      <c r="BR119" s="107">
        <f>Tabla3[[#This Row],[% Beca Comunidad 17-18]]</f>
        <v>0</v>
      </c>
      <c r="BS119" s="108">
        <f t="shared" si="4"/>
        <v>0</v>
      </c>
      <c r="BT119" s="108">
        <f t="shared" si="5"/>
        <v>0</v>
      </c>
      <c r="BU119" s="108">
        <f>Tabla3[[#This Row],[Monto3]]*75%</f>
        <v>0</v>
      </c>
      <c r="BV119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19" s="107" t="e">
        <f>VLOOKUP(Tabla3[[#This Row],[Nombre del Alumno]],'[3]BECAS COLEGIATURAS'!$I:$N,6,0)</f>
        <v>#N/A</v>
      </c>
      <c r="BX119" s="107" t="e">
        <f>VLOOKUP(Tabla3[[#This Row],[Nombre del Alumno]],[1]!Tabla1[[NOMBRE DEL ALUMNO]:[MATRIZ]],6,0)</f>
        <v>#REF!</v>
      </c>
      <c r="BY119" s="107" t="e">
        <f>VLOOKUP(Tabla3[[#This Row],[Nombre del Alumno]],'[3]BECAS COLEGIATURAS'!$I:$L,4,0)</f>
        <v>#N/A</v>
      </c>
      <c r="BZ119" s="108" t="e">
        <f>VLOOKUP(Tabla3[[#This Row],[Grado 18-19]],[2]Cuotas!$Q:$U,2,0)</f>
        <v>#N/A</v>
      </c>
      <c r="CA119" s="108" t="e">
        <f>VLOOKUP(Tabla3[[#This Row],[Grado 18-19]],[2]Cuotas!$Q:$U,3,0)</f>
        <v>#N/A</v>
      </c>
      <c r="CB119" s="108" t="e">
        <f>VLOOKUP(Tabla3[[#This Row],[Grado 18-19]],[2]Cuotas!$Q:$U,4,0)</f>
        <v>#N/A</v>
      </c>
      <c r="CC119" s="107">
        <v>50</v>
      </c>
      <c r="CD119" s="222">
        <v>0.5</v>
      </c>
      <c r="CE119" s="218" t="e">
        <f>Tabla3[[#This Row],[Monto Colegiatura 2018-2019]]*Tabla3[[#This Row],[% AutorizadoBeca Colegiatura 18-19]]</f>
        <v>#N/A</v>
      </c>
      <c r="CF119" s="223"/>
      <c r="CG119" s="218" t="e">
        <f>Tabla3[[#This Row],[Monto Colegiatura 2018-2019]]*Tabla3[[#This Row],[% Beca Prestacion 18-19]]</f>
        <v>#N/A</v>
      </c>
      <c r="CH119" s="223"/>
      <c r="CI119" s="218" t="e">
        <f>Tabla3[[#This Row],[Canasta 2018-2019]]*Tabla3[[#This Row],[% Beca Canasta 18-19]]</f>
        <v>#N/A</v>
      </c>
      <c r="CJ119" s="223"/>
      <c r="CK119" s="218" t="e">
        <f>Tabla3[[#This Row],[Reinscripción 2019-2020]]*Tabla3[[#This Row],[% Beca Reinscripciones 19-20]]</f>
        <v>#N/A</v>
      </c>
      <c r="CL119" s="218" t="e">
        <f>Tabla3[[#This Row],[Cantidad Beca Comunidad Colegiatura 18-19]]*25%</f>
        <v>#N/A</v>
      </c>
      <c r="CM119" s="224" t="e">
        <f>Tabla3[[#This Row],[Cantidad Beca Reinscripciones Comunidad 19-20]]*25%</f>
        <v>#N/A</v>
      </c>
      <c r="CN119" s="222"/>
      <c r="CO119" s="218" t="e">
        <f>Tabla3[[#This Row],[Monto Colegiatura 2018-2019]]*Tabla3[[#This Row],[% Beca UNAM 18-19]]</f>
        <v>#N/A</v>
      </c>
      <c r="CP119" s="225"/>
      <c r="CQ119" s="224">
        <f>3328*Tabla3[[#This Row],[% Beca Reinscripciones UNAM 18-19]]</f>
        <v>0</v>
      </c>
      <c r="CR119" s="226" t="e">
        <f>Tabla3[[#This Row],[Cantidad Beca Colegiatura 18-19]]+Tabla3[[#This Row],[Cantidad Beca Canasta 18-19]]+Tabla3[[#This Row],[Cantidad Beca Reinscripciones 19-20]]</f>
        <v>#N/A</v>
      </c>
      <c r="CS119" s="222"/>
      <c r="CT119" s="218" t="e">
        <f>Tabla3[[#This Row],[Monto Colegiatura 2018-2019]]*Tabla3[[#This Row],[% Beca Comunidad 18-19]]</f>
        <v>#N/A</v>
      </c>
      <c r="CU119" s="218" t="e">
        <f>Tabla3[[#This Row],[Cantidad Beca Comunidad Colegiatura 18-19]]*75%</f>
        <v>#N/A</v>
      </c>
      <c r="CV119" s="223"/>
      <c r="CW119" s="218" t="e">
        <f>Tabla3[[#This Row],[Reinscripción 2019-2020]]*Tabla3[[#This Row],[% Beca Reinscripciones Comunidad 19-20]]</f>
        <v>#N/A</v>
      </c>
      <c r="CX119" s="218" t="e">
        <f>Tabla3[[#This Row],[Cantidad Beca Reinscripciones Comunidad 19-20]]*75%</f>
        <v>#N/A</v>
      </c>
      <c r="CY119" s="227" t="e">
        <f>Tabla3[[#This Row],[75% Cantidad Beca Comunidad Colegiatura 18-19]]+Tabla3[[#This Row],[75% Cantidad Beca Reinscripciones 19-20]]</f>
        <v>#N/A</v>
      </c>
      <c r="CZ119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19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19" s="108">
        <f>1440*(Tabla3[[#This Row],[% AutorizadoBeca Colegiatura 18-19]]+Tabla3[[#This Row],[% Beca Prestacion 18-19]]+Tabla3[[#This Row],[% Beca UNAM 18-19]]+Tabla3[[#This Row],[% Beca Comunidad 18-19]])</f>
        <v>720</v>
      </c>
    </row>
    <row r="120" spans="2:106" ht="15" customHeight="1" x14ac:dyDescent="0.2">
      <c r="B120" s="107" t="s">
        <v>776</v>
      </c>
      <c r="C120" s="107" t="e">
        <f>VLOOKUP(Tabla3[[#This Row],[Nombre del Padre]],[1]!Tabla1[[PADRE]:[PADRE_CELULAR]],2,0)</f>
        <v>#REF!</v>
      </c>
      <c r="D120" s="107" t="e">
        <f>VLOOKUP(Tabla3[[#This Row],[Nombre del Padre]],[1]!Tabla1[[PADRE]:[PADRE_CELULAR]],3,0)</f>
        <v>#REF!</v>
      </c>
      <c r="E120" s="107" t="s">
        <v>777</v>
      </c>
      <c r="F120" s="107" t="e">
        <f>VLOOKUP(Tabla3[[#This Row],[Nombre de la Madre]],[1]!Tabla1[[MADRE]:[MADRE_TELEFONO]],2,0)</f>
        <v>#REF!</v>
      </c>
      <c r="G120" s="202" t="e">
        <f>VLOOKUP(Tabla3[[#This Row],[Nombre de la Madre]],[1]!Tabla1[[MADRE]:[MADRE_TELEFONO]],3,0)</f>
        <v>#REF!</v>
      </c>
      <c r="H120" s="230"/>
      <c r="I120" s="225">
        <v>1863</v>
      </c>
      <c r="J120" s="225" t="s">
        <v>778</v>
      </c>
      <c r="K120" s="225" t="s">
        <v>637</v>
      </c>
      <c r="L120" s="225" t="s">
        <v>104</v>
      </c>
      <c r="M120" s="205" t="s">
        <v>782</v>
      </c>
      <c r="N120" s="204" t="s">
        <v>338</v>
      </c>
      <c r="O120" s="218" t="e">
        <f>VLOOKUP(Tabla3[[#This Row],[Grado]],[2]Cuotas!$A:$E,2,0)</f>
        <v>#N/A</v>
      </c>
      <c r="P120" s="218" t="e">
        <f>VLOOKUP(Tabla3[[#This Row],[Grado]],[2]Cuotas!$A:$E,4,0)</f>
        <v>#N/A</v>
      </c>
      <c r="Q120" s="218" t="e">
        <f>VLOOKUP(Tabla3[[#This Row],[Grado]],[2]Cuotas!$A:$E,3,0)</f>
        <v>#N/A</v>
      </c>
      <c r="R120" s="247">
        <v>0.25</v>
      </c>
      <c r="S120" s="218" t="e">
        <f>Tabla3[[#This Row],[Monto Colegiatura]]*Tabla3[[#This Row],[% Beca Colegio 16-17]]</f>
        <v>#N/A</v>
      </c>
      <c r="T120" s="218"/>
      <c r="U120" s="218" t="e">
        <f>Tabla3[[#This Row],[Monto Colegiatura]]*Tabla3[[#This Row],[% Beca Prestación 16-17]]</f>
        <v>#N/A</v>
      </c>
      <c r="V120" s="219"/>
      <c r="W120" s="218" t="e">
        <f>Tabla3[[#This Row],[Monto Colegiatura]]*Tabla3[[#This Row],[% Beca Comunidad 16-17]]</f>
        <v>#N/A</v>
      </c>
      <c r="X120" s="218" t="e">
        <f>Tabla3[[#This Row],[Cantidad Beca Comunidad 16-17]]*25%</f>
        <v>#N/A</v>
      </c>
      <c r="Y120" s="218"/>
      <c r="Z120" s="218" t="e">
        <f>Tabla3[[#This Row],[Monto Colegiatura]]*Tabla3[[#This Row],[% Beca UNAM 16-17]]</f>
        <v>#N/A</v>
      </c>
      <c r="AA120" s="219"/>
      <c r="AB120" s="218" t="e">
        <f>Tabla3[[#This Row],[Monto Reinscripción]]*Tabla3[[#This Row],[% Beca Reinscripción 16-17]]</f>
        <v>#N/A</v>
      </c>
      <c r="AC120" s="218"/>
      <c r="AD120" s="218" t="e">
        <f>Tabla3[[#This Row],[Monto Canasta]]*Tabla3[[#This Row],[% Beca Canasta 16-17]]</f>
        <v>#N/A</v>
      </c>
      <c r="AE120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20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20" s="209" t="e">
        <f>VLOOKUP(Tabla3[[#This Row],[Nombre del Alumno]],[2]!Tabla1[[Alumno]:[Cuenta Ciclos]],2,0)</f>
        <v>#REF!</v>
      </c>
      <c r="AH120" s="210" t="s">
        <v>783</v>
      </c>
      <c r="AI120" s="211" t="s">
        <v>276</v>
      </c>
      <c r="AJ120" s="206" t="e">
        <f>VLOOKUP(Tabla3[[#This Row],[Grado 17-18]],[2]Cuotas!$H:$L,2,0)</f>
        <v>#N/A</v>
      </c>
      <c r="AK120" s="206" t="e">
        <f>VLOOKUP(Tabla3[[#This Row],[Grado 17-18]],[2]Cuotas!$H:$L,3,0)</f>
        <v>#N/A</v>
      </c>
      <c r="AL120" s="206" t="e">
        <f>VLOOKUP(Tabla3[[#This Row],[Grado 17-18]],[2]Cuotas!$H:$L,4,0)</f>
        <v>#N/A</v>
      </c>
      <c r="AM120" s="251">
        <v>0.3</v>
      </c>
      <c r="AN120" s="252">
        <v>0.25</v>
      </c>
      <c r="AO120" s="206" t="e">
        <f>Tabla3[[#This Row],[Monto Colegiatura ]]*Tabla3[[#This Row],[% AutorizadoBeca Colegiatura 17-18]]</f>
        <v>#N/A</v>
      </c>
      <c r="AP120" s="219"/>
      <c r="AQ120" s="206" t="e">
        <f>Tabla3[[#This Row],[Monto Colegiatura ]]*Tabla3[[#This Row],[% Beca Prestacion 17-18]]</f>
        <v>#N/A</v>
      </c>
      <c r="AR120" s="219"/>
      <c r="AS120" s="206" t="e">
        <f>Tabla3[[#This Row],[Canasta]]*Tabla3[[#This Row],[% Beca Canasta 17-18]]</f>
        <v>#N/A</v>
      </c>
      <c r="AT120" s="219"/>
      <c r="AU120" s="253">
        <v>0</v>
      </c>
      <c r="AV120" s="206" t="e">
        <f>Tabla3[[#This Row],[Cantidad Beca Comunidad Colegiatura 17-18]]*25%</f>
        <v>#N/A</v>
      </c>
      <c r="AW120" s="218"/>
      <c r="AX120" s="254"/>
      <c r="AY120" s="206" t="e">
        <f>Tabla3[[#This Row],[Monto Colegiatura ]]*Tabla3[[#This Row],[% Beca UNAM 17-18]]</f>
        <v>#N/A</v>
      </c>
      <c r="AZ120" s="218"/>
      <c r="BA120" s="224">
        <f>3200*Tabla3[[#This Row],[% Beca Reinscripciones UNAM 17-18]]</f>
        <v>0</v>
      </c>
      <c r="BB120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20" s="231"/>
      <c r="BD120" s="218" t="e">
        <f>Tabla3[[#This Row],[Monto Colegiatura ]]*Tabla3[[#This Row],[% Beca Comunidad 17-18]]</f>
        <v>#N/A</v>
      </c>
      <c r="BE120" s="218" t="e">
        <f>Tabla3[[#This Row],[Cantidad Beca Comunidad Colegiatura 17-18]]*75%</f>
        <v>#N/A</v>
      </c>
      <c r="BF120" s="219"/>
      <c r="BG120" s="218" t="e">
        <f>Tabla3[[#This Row],[Reinscripción]]*Tabla3[[#This Row],[% Beca Reinscripciones Comunidad 18-19]]</f>
        <v>#N/A</v>
      </c>
      <c r="BH120" s="218" t="e">
        <f>Tabla3[[#This Row],[Cantidad Beca Reinscripciones Comunidad 18-19]]*70%</f>
        <v>#N/A</v>
      </c>
      <c r="BI120" s="224" t="e">
        <f>Tabla3[[#This Row],[75% Cantidad Beca Comunidad Colegiatura 17-18]]+Tabla3[[#This Row],[70% Cantidad Beca Reinscripciones 18-19]]</f>
        <v>#N/A</v>
      </c>
      <c r="BJ120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20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20" s="255"/>
      <c r="BM120" s="225"/>
      <c r="BN120" s="248">
        <v>0.25</v>
      </c>
      <c r="BO120" s="107"/>
      <c r="BP120" s="107">
        <f>Tabla3[[#This Row],[% AutorizadoBeca Colegiatura 17-18]]+Tabla3[[#This Row],[% Beca Prestacion 17-18]]+Tabla3[[#This Row],[% Beca UNAM 17-18]]</f>
        <v>0.25</v>
      </c>
      <c r="BQ120" s="108">
        <f t="shared" si="3"/>
        <v>286.75</v>
      </c>
      <c r="BR120" s="107">
        <f>Tabla3[[#This Row],[% Beca Comunidad 17-18]]</f>
        <v>0</v>
      </c>
      <c r="BS120" s="108">
        <f t="shared" si="4"/>
        <v>0</v>
      </c>
      <c r="BT120" s="108">
        <f t="shared" si="5"/>
        <v>0</v>
      </c>
      <c r="BU120" s="108">
        <f>Tabla3[[#This Row],[Monto3]]*75%</f>
        <v>0</v>
      </c>
      <c r="BV120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20" s="107" t="e">
        <f>VLOOKUP(Tabla3[[#This Row],[Nombre del Alumno]],'[3]BECAS COLEGIATURAS'!$I:$N,6,0)</f>
        <v>#N/A</v>
      </c>
      <c r="BX120" s="107" t="e">
        <f>VLOOKUP(Tabla3[[#This Row],[Nombre del Alumno]],[1]!Tabla1[[NOMBRE DEL ALUMNO]:[MATRIZ]],6,0)</f>
        <v>#REF!</v>
      </c>
      <c r="BY120" s="107" t="e">
        <f>VLOOKUP(Tabla3[[#This Row],[Nombre del Alumno]],'[3]BECAS COLEGIATURAS'!$I:$L,4,0)</f>
        <v>#N/A</v>
      </c>
      <c r="BZ120" s="108" t="e">
        <f>VLOOKUP(Tabla3[[#This Row],[Grado 18-19]],[2]Cuotas!$Q:$U,2,0)</f>
        <v>#N/A</v>
      </c>
      <c r="CA120" s="108" t="e">
        <f>VLOOKUP(Tabla3[[#This Row],[Grado 18-19]],[2]Cuotas!$Q:$U,3,0)</f>
        <v>#N/A</v>
      </c>
      <c r="CB120" s="108" t="e">
        <f>VLOOKUP(Tabla3[[#This Row],[Grado 18-19]],[2]Cuotas!$Q:$U,4,0)</f>
        <v>#N/A</v>
      </c>
      <c r="CC120" s="107">
        <v>50</v>
      </c>
      <c r="CD120" s="222">
        <v>0.5</v>
      </c>
      <c r="CE120" s="218" t="e">
        <f>Tabla3[[#This Row],[Monto Colegiatura 2018-2019]]*Tabla3[[#This Row],[% AutorizadoBeca Colegiatura 18-19]]</f>
        <v>#N/A</v>
      </c>
      <c r="CF120" s="223"/>
      <c r="CG120" s="218" t="e">
        <f>Tabla3[[#This Row],[Monto Colegiatura 2018-2019]]*Tabla3[[#This Row],[% Beca Prestacion 18-19]]</f>
        <v>#N/A</v>
      </c>
      <c r="CH120" s="223"/>
      <c r="CI120" s="218" t="e">
        <f>Tabla3[[#This Row],[Canasta 2018-2019]]*Tabla3[[#This Row],[% Beca Canasta 18-19]]</f>
        <v>#N/A</v>
      </c>
      <c r="CJ120" s="223"/>
      <c r="CK120" s="218" t="e">
        <f>Tabla3[[#This Row],[Reinscripción 2019-2020]]*Tabla3[[#This Row],[% Beca Reinscripciones 19-20]]</f>
        <v>#N/A</v>
      </c>
      <c r="CL120" s="218" t="e">
        <f>Tabla3[[#This Row],[Cantidad Beca Comunidad Colegiatura 18-19]]*25%</f>
        <v>#N/A</v>
      </c>
      <c r="CM120" s="224" t="e">
        <f>Tabla3[[#This Row],[Cantidad Beca Reinscripciones Comunidad 19-20]]*25%</f>
        <v>#N/A</v>
      </c>
      <c r="CN120" s="222"/>
      <c r="CO120" s="218" t="e">
        <f>Tabla3[[#This Row],[Monto Colegiatura 2018-2019]]*Tabla3[[#This Row],[% Beca UNAM 18-19]]</f>
        <v>#N/A</v>
      </c>
      <c r="CP120" s="225"/>
      <c r="CQ120" s="224">
        <f>3328*Tabla3[[#This Row],[% Beca Reinscripciones UNAM 18-19]]</f>
        <v>0</v>
      </c>
      <c r="CR120" s="226" t="e">
        <f>Tabla3[[#This Row],[Cantidad Beca Colegiatura 18-19]]+Tabla3[[#This Row],[Cantidad Beca Canasta 18-19]]+Tabla3[[#This Row],[Cantidad Beca Reinscripciones 19-20]]</f>
        <v>#N/A</v>
      </c>
      <c r="CS120" s="222"/>
      <c r="CT120" s="218" t="e">
        <f>Tabla3[[#This Row],[Monto Colegiatura 2018-2019]]*Tabla3[[#This Row],[% Beca Comunidad 18-19]]</f>
        <v>#N/A</v>
      </c>
      <c r="CU120" s="218" t="e">
        <f>Tabla3[[#This Row],[Cantidad Beca Comunidad Colegiatura 18-19]]*75%</f>
        <v>#N/A</v>
      </c>
      <c r="CV120" s="223"/>
      <c r="CW120" s="218" t="e">
        <f>Tabla3[[#This Row],[Reinscripción 2019-2020]]*Tabla3[[#This Row],[% Beca Reinscripciones Comunidad 19-20]]</f>
        <v>#N/A</v>
      </c>
      <c r="CX120" s="218" t="e">
        <f>Tabla3[[#This Row],[Cantidad Beca Reinscripciones Comunidad 19-20]]*75%</f>
        <v>#N/A</v>
      </c>
      <c r="CY120" s="227" t="e">
        <f>Tabla3[[#This Row],[75% Cantidad Beca Comunidad Colegiatura 18-19]]+Tabla3[[#This Row],[75% Cantidad Beca Reinscripciones 19-20]]</f>
        <v>#N/A</v>
      </c>
      <c r="CZ120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20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20" s="108">
        <f>1440*(Tabla3[[#This Row],[% AutorizadoBeca Colegiatura 18-19]]+Tabla3[[#This Row],[% Beca Prestacion 18-19]]+Tabla3[[#This Row],[% Beca UNAM 18-19]]+Tabla3[[#This Row],[% Beca Comunidad 18-19]])</f>
        <v>720</v>
      </c>
    </row>
    <row r="121" spans="2:106" ht="15" customHeight="1" x14ac:dyDescent="0.2">
      <c r="B121" s="107" t="s">
        <v>784</v>
      </c>
      <c r="C121" s="107" t="e">
        <f>VLOOKUP(Tabla3[[#This Row],[Nombre del Padre]],[1]!Tabla1[[PADRE]:[PADRE_CELULAR]],2,0)</f>
        <v>#REF!</v>
      </c>
      <c r="D121" s="107" t="e">
        <f>VLOOKUP(Tabla3[[#This Row],[Nombre del Padre]],[1]!Tabla1[[PADRE]:[PADRE_CELULAR]],3,0)</f>
        <v>#REF!</v>
      </c>
      <c r="E121" s="107" t="s">
        <v>785</v>
      </c>
      <c r="F121" s="107" t="e">
        <f>VLOOKUP(Tabla3[[#This Row],[Nombre de la Madre]],[1]!Tabla1[[MADRE]:[MADRE_TELEFONO]],2,0)</f>
        <v>#REF!</v>
      </c>
      <c r="G121" s="202" t="e">
        <f>VLOOKUP(Tabla3[[#This Row],[Nombre de la Madre]],[1]!Tabla1[[MADRE]:[MADRE_TELEFONO]],3,0)</f>
        <v>#REF!</v>
      </c>
      <c r="H121" s="228">
        <v>10</v>
      </c>
      <c r="I121" s="225">
        <v>1515</v>
      </c>
      <c r="J121" s="225" t="s">
        <v>786</v>
      </c>
      <c r="K121" s="225" t="s">
        <v>420</v>
      </c>
      <c r="L121" s="225" t="s">
        <v>787</v>
      </c>
      <c r="M121" s="205"/>
      <c r="N121" s="204"/>
      <c r="O121" s="218"/>
      <c r="P121" s="218"/>
      <c r="Q121" s="218"/>
      <c r="R121" s="247"/>
      <c r="S121" s="218"/>
      <c r="T121" s="218"/>
      <c r="U121" s="218"/>
      <c r="V121" s="219"/>
      <c r="W121" s="218"/>
      <c r="X121" s="218"/>
      <c r="Y121" s="218"/>
      <c r="Z121" s="218"/>
      <c r="AA121" s="219"/>
      <c r="AB121" s="218"/>
      <c r="AC121" s="218"/>
      <c r="AD121" s="218"/>
      <c r="AE121" s="218"/>
      <c r="AF121" s="206"/>
      <c r="AG121" s="209" t="s">
        <v>289</v>
      </c>
      <c r="AH121" s="210" t="s">
        <v>460</v>
      </c>
      <c r="AI121" s="204" t="s">
        <v>409</v>
      </c>
      <c r="AJ121" s="206" t="e">
        <f>VLOOKUP(Tabla3[[#This Row],[Grado 17-18]],[2]Cuotas!$H:$L,2,0)</f>
        <v>#N/A</v>
      </c>
      <c r="AK121" s="206" t="e">
        <f>VLOOKUP(Tabla3[[#This Row],[Grado 17-18]],[2]Cuotas!$H:$L,3,0)</f>
        <v>#N/A</v>
      </c>
      <c r="AL121" s="206" t="e">
        <f>VLOOKUP(Tabla3[[#This Row],[Grado 17-18]],[2]Cuotas!$H:$L,4,0)</f>
        <v>#N/A</v>
      </c>
      <c r="AM121" s="251"/>
      <c r="AN121" s="252"/>
      <c r="AO121" s="206" t="e">
        <f>Tabla3[[#This Row],[Monto Colegiatura ]]*Tabla3[[#This Row],[% AutorizadoBeca Colegiatura 17-18]]</f>
        <v>#N/A</v>
      </c>
      <c r="AP121" s="219"/>
      <c r="AQ121" s="206" t="e">
        <f>Tabla3[[#This Row],[Monto Colegiatura ]]*Tabla3[[#This Row],[% Beca Prestacion 17-18]]</f>
        <v>#N/A</v>
      </c>
      <c r="AR121" s="219"/>
      <c r="AS121" s="206" t="e">
        <f>Tabla3[[#This Row],[Canasta]]*Tabla3[[#This Row],[% Beca Canasta 17-18]]</f>
        <v>#N/A</v>
      </c>
      <c r="AT121" s="219"/>
      <c r="AU121" s="253"/>
      <c r="AV121" s="206" t="e">
        <f>Tabla3[[#This Row],[Cantidad Beca Comunidad Colegiatura 17-18]]*25%</f>
        <v>#N/A</v>
      </c>
      <c r="AW121" s="218"/>
      <c r="AX121" s="252">
        <v>0.8</v>
      </c>
      <c r="AY121" s="206" t="e">
        <f>Tabla3[[#This Row],[Monto Colegiatura ]]*Tabla3[[#This Row],[% Beca UNAM 17-18]]</f>
        <v>#N/A</v>
      </c>
      <c r="AZ121" s="219">
        <v>0.8</v>
      </c>
      <c r="BA121" s="224">
        <f>3200*Tabla3[[#This Row],[% Beca Reinscripciones UNAM 17-18]]</f>
        <v>2560</v>
      </c>
      <c r="BB121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21" s="217"/>
      <c r="BD121" s="218" t="e">
        <f>Tabla3[[#This Row],[Monto Colegiatura ]]*Tabla3[[#This Row],[% Beca Comunidad 17-18]]</f>
        <v>#N/A</v>
      </c>
      <c r="BE121" s="218" t="e">
        <f>Tabla3[[#This Row],[Cantidad Beca Comunidad Colegiatura 17-18]]*75%</f>
        <v>#N/A</v>
      </c>
      <c r="BF121" s="219"/>
      <c r="BG121" s="218" t="e">
        <f>Tabla3[[#This Row],[Reinscripción]]*Tabla3[[#This Row],[% Beca Reinscripciones Comunidad 18-19]]</f>
        <v>#N/A</v>
      </c>
      <c r="BH121" s="218" t="e">
        <f>Tabla3[[#This Row],[Cantidad Beca Reinscripciones Comunidad 18-19]]*70%</f>
        <v>#N/A</v>
      </c>
      <c r="BI121" s="224" t="e">
        <f>Tabla3[[#This Row],[75% Cantidad Beca Comunidad Colegiatura 17-18]]+Tabla3[[#This Row],[70% Cantidad Beca Reinscripciones 18-19]]</f>
        <v>#N/A</v>
      </c>
      <c r="BJ121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21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21" s="255"/>
      <c r="BM121" s="225"/>
      <c r="BN121" s="221"/>
      <c r="BO121" s="107"/>
      <c r="BP121" s="107">
        <f>Tabla3[[#This Row],[% AutorizadoBeca Colegiatura 17-18]]+Tabla3[[#This Row],[% Beca Prestacion 17-18]]+Tabla3[[#This Row],[% Beca UNAM 17-18]]</f>
        <v>0.8</v>
      </c>
      <c r="BQ121" s="108">
        <f t="shared" si="3"/>
        <v>917.6</v>
      </c>
      <c r="BR121" s="107">
        <f>Tabla3[[#This Row],[% Beca Comunidad 17-18]]</f>
        <v>0</v>
      </c>
      <c r="BS121" s="108">
        <f t="shared" si="4"/>
        <v>0</v>
      </c>
      <c r="BT121" s="108">
        <f t="shared" si="5"/>
        <v>0</v>
      </c>
      <c r="BU121" s="108">
        <f>Tabla3[[#This Row],[Monto3]]*75%</f>
        <v>0</v>
      </c>
      <c r="BV121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21" s="107" t="e">
        <f>VLOOKUP(Tabla3[[#This Row],[Nombre del Alumno]],'[3]BECAS COLEGIATURAS'!$I:$N,6,0)</f>
        <v>#N/A</v>
      </c>
      <c r="BX121" s="107" t="e">
        <f>VLOOKUP(Tabla3[[#This Row],[Nombre del Alumno]],[1]!Tabla1[[NOMBRE DEL ALUMNO]:[MATRIZ]],6,0)</f>
        <v>#REF!</v>
      </c>
      <c r="BY121" s="107" t="e">
        <f>VLOOKUP(Tabla3[[#This Row],[Nombre del Alumno]],'[3]BECAS COLEGIATURAS'!$I:$L,4,0)</f>
        <v>#N/A</v>
      </c>
      <c r="BZ121" s="108" t="e">
        <f>VLOOKUP(Tabla3[[#This Row],[Grado 18-19]],[2]Cuotas!$Q:$U,2,0)</f>
        <v>#N/A</v>
      </c>
      <c r="CA121" s="108" t="e">
        <f>VLOOKUP(Tabla3[[#This Row],[Grado 18-19]],[2]Cuotas!$Q:$U,3,0)</f>
        <v>#N/A</v>
      </c>
      <c r="CB121" s="108" t="e">
        <f>VLOOKUP(Tabla3[[#This Row],[Grado 18-19]],[2]Cuotas!$Q:$U,4,0)</f>
        <v>#N/A</v>
      </c>
      <c r="CC121" s="107">
        <v>0</v>
      </c>
      <c r="CD121" s="222"/>
      <c r="CE121" s="218" t="e">
        <f>Tabla3[[#This Row],[Monto Colegiatura 2018-2019]]*Tabla3[[#This Row],[% AutorizadoBeca Colegiatura 18-19]]</f>
        <v>#N/A</v>
      </c>
      <c r="CF121" s="223"/>
      <c r="CG121" s="218" t="e">
        <f>Tabla3[[#This Row],[Monto Colegiatura 2018-2019]]*Tabla3[[#This Row],[% Beca Prestacion 18-19]]</f>
        <v>#N/A</v>
      </c>
      <c r="CH121" s="223"/>
      <c r="CI121" s="218" t="e">
        <f>Tabla3[[#This Row],[Canasta 2018-2019]]*Tabla3[[#This Row],[% Beca Canasta 18-19]]</f>
        <v>#N/A</v>
      </c>
      <c r="CJ121" s="223"/>
      <c r="CK121" s="218" t="e">
        <f>Tabla3[[#This Row],[Reinscripción 2019-2020]]*Tabla3[[#This Row],[% Beca Reinscripciones 19-20]]</f>
        <v>#N/A</v>
      </c>
      <c r="CL121" s="218" t="e">
        <f>Tabla3[[#This Row],[Cantidad Beca Comunidad Colegiatura 18-19]]*25%</f>
        <v>#N/A</v>
      </c>
      <c r="CM121" s="224" t="e">
        <f>Tabla3[[#This Row],[Cantidad Beca Reinscripciones Comunidad 19-20]]*25%</f>
        <v>#N/A</v>
      </c>
      <c r="CN121" s="222">
        <v>0.8</v>
      </c>
      <c r="CO121" s="218" t="e">
        <f>Tabla3[[#This Row],[Monto Colegiatura 2018-2019]]*Tabla3[[#This Row],[% Beca UNAM 18-19]]</f>
        <v>#N/A</v>
      </c>
      <c r="CP121" s="223">
        <v>0.8</v>
      </c>
      <c r="CQ121" s="224">
        <f>3328*Tabla3[[#This Row],[% Beca Reinscripciones UNAM 18-19]]</f>
        <v>2662.4</v>
      </c>
      <c r="CR121" s="226" t="e">
        <f>Tabla3[[#This Row],[Cantidad Beca Colegiatura 18-19]]+Tabla3[[#This Row],[Cantidad Beca Canasta 18-19]]+Tabla3[[#This Row],[Cantidad Beca Reinscripciones 19-20]]</f>
        <v>#N/A</v>
      </c>
      <c r="CS121" s="222"/>
      <c r="CT121" s="218" t="e">
        <f>Tabla3[[#This Row],[Monto Colegiatura 2018-2019]]*Tabla3[[#This Row],[% Beca Comunidad 18-19]]</f>
        <v>#N/A</v>
      </c>
      <c r="CU121" s="218" t="e">
        <f>Tabla3[[#This Row],[Cantidad Beca Comunidad Colegiatura 18-19]]*75%</f>
        <v>#N/A</v>
      </c>
      <c r="CV121" s="223"/>
      <c r="CW121" s="218" t="e">
        <f>Tabla3[[#This Row],[Reinscripción 2019-2020]]*Tabla3[[#This Row],[% Beca Reinscripciones Comunidad 19-20]]</f>
        <v>#N/A</v>
      </c>
      <c r="CX121" s="218" t="e">
        <f>Tabla3[[#This Row],[Cantidad Beca Reinscripciones Comunidad 19-20]]*75%</f>
        <v>#N/A</v>
      </c>
      <c r="CY121" s="227" t="e">
        <f>Tabla3[[#This Row],[75% Cantidad Beca Comunidad Colegiatura 18-19]]+Tabla3[[#This Row],[75% Cantidad Beca Reinscripciones 19-20]]</f>
        <v>#N/A</v>
      </c>
      <c r="CZ121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21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21" s="108">
        <f>1440*(Tabla3[[#This Row],[% AutorizadoBeca Colegiatura 18-19]]+Tabla3[[#This Row],[% Beca Prestacion 18-19]]+Tabla3[[#This Row],[% Beca UNAM 18-19]]+Tabla3[[#This Row],[% Beca Comunidad 18-19]])</f>
        <v>1152</v>
      </c>
    </row>
    <row r="122" spans="2:106" ht="15" customHeight="1" x14ac:dyDescent="0.2">
      <c r="B122" s="107" t="s">
        <v>788</v>
      </c>
      <c r="C122" s="107" t="e">
        <f>VLOOKUP(Tabla3[[#This Row],[Nombre del Padre]],[1]!Tabla1[[PADRE]:[PADRE_CELULAR]],2,0)</f>
        <v>#REF!</v>
      </c>
      <c r="D122" s="107" t="e">
        <f>VLOOKUP(Tabla3[[#This Row],[Nombre del Padre]],[1]!Tabla1[[PADRE]:[PADRE_CELULAR]],3,0)</f>
        <v>#REF!</v>
      </c>
      <c r="E122" s="107" t="s">
        <v>789</v>
      </c>
      <c r="F122" s="107" t="e">
        <f>VLOOKUP(Tabla3[[#This Row],[Nombre de la Madre]],[1]!Tabla1[[MADRE]:[MADRE_TELEFONO]],2,0)</f>
        <v>#REF!</v>
      </c>
      <c r="G122" s="202" t="e">
        <f>VLOOKUP(Tabla3[[#This Row],[Nombre de la Madre]],[1]!Tabla1[[MADRE]:[MADRE_TELEFONO]],3,0)</f>
        <v>#REF!</v>
      </c>
      <c r="H122" s="228">
        <v>67</v>
      </c>
      <c r="I122" s="225">
        <v>1919</v>
      </c>
      <c r="J122" s="225" t="s">
        <v>790</v>
      </c>
      <c r="K122" s="225" t="s">
        <v>637</v>
      </c>
      <c r="L122" s="225" t="s">
        <v>791</v>
      </c>
      <c r="M122" s="205" t="s">
        <v>792</v>
      </c>
      <c r="N122" s="204" t="s">
        <v>282</v>
      </c>
      <c r="O122" s="218" t="e">
        <f>VLOOKUP(Tabla3[[#This Row],[Grado]],[2]Cuotas!$A:$E,2,0)</f>
        <v>#N/A</v>
      </c>
      <c r="P122" s="218" t="e">
        <f>VLOOKUP(Tabla3[[#This Row],[Grado]],[2]Cuotas!$A:$E,4,0)</f>
        <v>#N/A</v>
      </c>
      <c r="Q122" s="218" t="e">
        <f>VLOOKUP(Tabla3[[#This Row],[Grado]],[2]Cuotas!$A:$E,3,0)</f>
        <v>#N/A</v>
      </c>
      <c r="R122" s="247">
        <v>0.4</v>
      </c>
      <c r="S122" s="218" t="e">
        <f>Tabla3[[#This Row],[Monto Colegiatura]]*Tabla3[[#This Row],[% Beca Colegio 16-17]]</f>
        <v>#N/A</v>
      </c>
      <c r="T122" s="218"/>
      <c r="U122" s="218" t="e">
        <f>Tabla3[[#This Row],[Monto Colegiatura]]*Tabla3[[#This Row],[% Beca Prestación 16-17]]</f>
        <v>#N/A</v>
      </c>
      <c r="V122" s="219"/>
      <c r="W122" s="218" t="e">
        <f>Tabla3[[#This Row],[Monto Colegiatura]]*Tabla3[[#This Row],[% Beca Comunidad 16-17]]</f>
        <v>#N/A</v>
      </c>
      <c r="X122" s="218" t="e">
        <f>Tabla3[[#This Row],[Cantidad Beca Comunidad 16-17]]*25%</f>
        <v>#N/A</v>
      </c>
      <c r="Y122" s="218"/>
      <c r="Z122" s="218" t="e">
        <f>Tabla3[[#This Row],[Monto Colegiatura]]*Tabla3[[#This Row],[% Beca UNAM 16-17]]</f>
        <v>#N/A</v>
      </c>
      <c r="AA122" s="219"/>
      <c r="AB122" s="218" t="e">
        <f>Tabla3[[#This Row],[Monto Reinscripción]]*Tabla3[[#This Row],[% Beca Reinscripción 16-17]]</f>
        <v>#N/A</v>
      </c>
      <c r="AC122" s="218"/>
      <c r="AD122" s="218" t="e">
        <f>Tabla3[[#This Row],[Monto Canasta]]*Tabla3[[#This Row],[% Beca Canasta 16-17]]</f>
        <v>#N/A</v>
      </c>
      <c r="AE122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22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22" s="209" t="e">
        <f>VLOOKUP(Tabla3[[#This Row],[Nombre del Alumno]],[2]!Tabla1[[Alumno]:[Cuenta Ciclos]],2,0)</f>
        <v>#REF!</v>
      </c>
      <c r="AH122" s="210" t="s">
        <v>793</v>
      </c>
      <c r="AI122" s="211" t="s">
        <v>284</v>
      </c>
      <c r="AJ122" s="206" t="e">
        <f>VLOOKUP(Tabla3[[#This Row],[Grado 17-18]],[2]Cuotas!$H:$L,2,0)</f>
        <v>#N/A</v>
      </c>
      <c r="AK122" s="206" t="e">
        <f>VLOOKUP(Tabla3[[#This Row],[Grado 17-18]],[2]Cuotas!$H:$L,3,0)</f>
        <v>#N/A</v>
      </c>
      <c r="AL122" s="206" t="e">
        <f>VLOOKUP(Tabla3[[#This Row],[Grado 17-18]],[2]Cuotas!$H:$L,4,0)</f>
        <v>#N/A</v>
      </c>
      <c r="AM122" s="251">
        <v>0.8</v>
      </c>
      <c r="AN122" s="252">
        <v>0.35</v>
      </c>
      <c r="AO122" s="206" t="e">
        <f>Tabla3[[#This Row],[Monto Colegiatura ]]*Tabla3[[#This Row],[% AutorizadoBeca Colegiatura 17-18]]</f>
        <v>#N/A</v>
      </c>
      <c r="AP122" s="219"/>
      <c r="AQ122" s="206" t="e">
        <f>Tabla3[[#This Row],[Monto Colegiatura ]]*Tabla3[[#This Row],[% Beca Prestacion 17-18]]</f>
        <v>#N/A</v>
      </c>
      <c r="AR122" s="219"/>
      <c r="AS122" s="206" t="e">
        <f>Tabla3[[#This Row],[Canasta]]*Tabla3[[#This Row],[% Beca Canasta 17-18]]</f>
        <v>#N/A</v>
      </c>
      <c r="AT122" s="219"/>
      <c r="AU122" s="253">
        <v>0</v>
      </c>
      <c r="AV122" s="206" t="e">
        <f>Tabla3[[#This Row],[Cantidad Beca Comunidad Colegiatura 17-18]]*25%</f>
        <v>#N/A</v>
      </c>
      <c r="AW122" s="218"/>
      <c r="AX122" s="254"/>
      <c r="AY122" s="206" t="e">
        <f>Tabla3[[#This Row],[Monto Colegiatura ]]*Tabla3[[#This Row],[% Beca UNAM 17-18]]</f>
        <v>#N/A</v>
      </c>
      <c r="AZ122" s="218"/>
      <c r="BA122" s="224">
        <f>3200*Tabla3[[#This Row],[% Beca Reinscripciones UNAM 17-18]]</f>
        <v>0</v>
      </c>
      <c r="BB122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22" s="231"/>
      <c r="BD122" s="218" t="e">
        <f>Tabla3[[#This Row],[Monto Colegiatura ]]*Tabla3[[#This Row],[% Beca Comunidad 17-18]]</f>
        <v>#N/A</v>
      </c>
      <c r="BE122" s="218" t="e">
        <f>Tabla3[[#This Row],[Cantidad Beca Comunidad Colegiatura 17-18]]*75%</f>
        <v>#N/A</v>
      </c>
      <c r="BF122" s="219"/>
      <c r="BG122" s="218" t="e">
        <f>Tabla3[[#This Row],[Reinscripción]]*Tabla3[[#This Row],[% Beca Reinscripciones Comunidad 18-19]]</f>
        <v>#N/A</v>
      </c>
      <c r="BH122" s="218" t="e">
        <f>Tabla3[[#This Row],[Cantidad Beca Reinscripciones Comunidad 18-19]]*70%</f>
        <v>#N/A</v>
      </c>
      <c r="BI122" s="224" t="e">
        <f>Tabla3[[#This Row],[75% Cantidad Beca Comunidad Colegiatura 17-18]]+Tabla3[[#This Row],[70% Cantidad Beca Reinscripciones 18-19]]</f>
        <v>#N/A</v>
      </c>
      <c r="BJ122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22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22" s="255"/>
      <c r="BM122" s="225"/>
      <c r="BN122" s="248">
        <v>0.35</v>
      </c>
      <c r="BO122" s="107"/>
      <c r="BP122" s="107">
        <f>Tabla3[[#This Row],[% AutorizadoBeca Colegiatura 17-18]]+Tabla3[[#This Row],[% Beca Prestacion 17-18]]+Tabla3[[#This Row],[% Beca UNAM 17-18]]</f>
        <v>0.35</v>
      </c>
      <c r="BQ122" s="108">
        <f t="shared" si="3"/>
        <v>401.45</v>
      </c>
      <c r="BR122" s="107">
        <f>Tabla3[[#This Row],[% Beca Comunidad 17-18]]</f>
        <v>0</v>
      </c>
      <c r="BS122" s="108">
        <f t="shared" si="4"/>
        <v>0</v>
      </c>
      <c r="BT122" s="108">
        <f t="shared" si="5"/>
        <v>0</v>
      </c>
      <c r="BU122" s="108">
        <f>Tabla3[[#This Row],[Monto3]]*75%</f>
        <v>0</v>
      </c>
      <c r="BV122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22" s="107" t="e">
        <f>VLOOKUP(Tabla3[[#This Row],[Nombre del Alumno]],'[3]BECAS COLEGIATURAS'!$I:$N,6,0)</f>
        <v>#N/A</v>
      </c>
      <c r="BX122" s="107" t="e">
        <f>VLOOKUP(Tabla3[[#This Row],[Nombre del Alumno]],[1]!Tabla1[[NOMBRE DEL ALUMNO]:[MATRIZ]],6,0)</f>
        <v>#REF!</v>
      </c>
      <c r="BY122" s="107" t="e">
        <f>VLOOKUP(Tabla3[[#This Row],[Nombre del Alumno]],'[3]BECAS COLEGIATURAS'!$I:$L,4,0)</f>
        <v>#N/A</v>
      </c>
      <c r="BZ122" s="108" t="e">
        <f>VLOOKUP(Tabla3[[#This Row],[Grado 18-19]],[2]Cuotas!$Q:$U,2,0)</f>
        <v>#N/A</v>
      </c>
      <c r="CA122" s="108" t="e">
        <f>VLOOKUP(Tabla3[[#This Row],[Grado 18-19]],[2]Cuotas!$Q:$U,3,0)</f>
        <v>#N/A</v>
      </c>
      <c r="CB122" s="108" t="e">
        <f>VLOOKUP(Tabla3[[#This Row],[Grado 18-19]],[2]Cuotas!$Q:$U,4,0)</f>
        <v>#N/A</v>
      </c>
      <c r="CC122" s="107">
        <v>0</v>
      </c>
      <c r="CD122" s="222">
        <v>0.35</v>
      </c>
      <c r="CE122" s="218" t="e">
        <f>Tabla3[[#This Row],[Monto Colegiatura 2018-2019]]*Tabla3[[#This Row],[% AutorizadoBeca Colegiatura 18-19]]</f>
        <v>#N/A</v>
      </c>
      <c r="CF122" s="223"/>
      <c r="CG122" s="218" t="e">
        <f>Tabla3[[#This Row],[Monto Colegiatura 2018-2019]]*Tabla3[[#This Row],[% Beca Prestacion 18-19]]</f>
        <v>#N/A</v>
      </c>
      <c r="CH122" s="223"/>
      <c r="CI122" s="218" t="e">
        <f>Tabla3[[#This Row],[Canasta 2018-2019]]*Tabla3[[#This Row],[% Beca Canasta 18-19]]</f>
        <v>#N/A</v>
      </c>
      <c r="CJ122" s="223"/>
      <c r="CK122" s="218" t="e">
        <f>Tabla3[[#This Row],[Reinscripción 2019-2020]]*Tabla3[[#This Row],[% Beca Reinscripciones 19-20]]</f>
        <v>#N/A</v>
      </c>
      <c r="CL122" s="218" t="e">
        <f>Tabla3[[#This Row],[Cantidad Beca Comunidad Colegiatura 18-19]]*25%</f>
        <v>#N/A</v>
      </c>
      <c r="CM122" s="224" t="e">
        <f>Tabla3[[#This Row],[Cantidad Beca Reinscripciones Comunidad 19-20]]*25%</f>
        <v>#N/A</v>
      </c>
      <c r="CN122" s="222"/>
      <c r="CO122" s="218" t="e">
        <f>Tabla3[[#This Row],[Monto Colegiatura 2018-2019]]*Tabla3[[#This Row],[% Beca UNAM 18-19]]</f>
        <v>#N/A</v>
      </c>
      <c r="CP122" s="225"/>
      <c r="CQ122" s="224">
        <f>3328*Tabla3[[#This Row],[% Beca Reinscripciones UNAM 18-19]]</f>
        <v>0</v>
      </c>
      <c r="CR122" s="226" t="e">
        <f>Tabla3[[#This Row],[Cantidad Beca Colegiatura 18-19]]+Tabla3[[#This Row],[Cantidad Beca Canasta 18-19]]+Tabla3[[#This Row],[Cantidad Beca Reinscripciones 19-20]]</f>
        <v>#N/A</v>
      </c>
      <c r="CS122" s="222"/>
      <c r="CT122" s="218" t="e">
        <f>Tabla3[[#This Row],[Monto Colegiatura 2018-2019]]*Tabla3[[#This Row],[% Beca Comunidad 18-19]]</f>
        <v>#N/A</v>
      </c>
      <c r="CU122" s="218" t="e">
        <f>Tabla3[[#This Row],[Cantidad Beca Comunidad Colegiatura 18-19]]*75%</f>
        <v>#N/A</v>
      </c>
      <c r="CV122" s="223"/>
      <c r="CW122" s="218" t="e">
        <f>Tabla3[[#This Row],[Reinscripción 2019-2020]]*Tabla3[[#This Row],[% Beca Reinscripciones Comunidad 19-20]]</f>
        <v>#N/A</v>
      </c>
      <c r="CX122" s="218" t="e">
        <f>Tabla3[[#This Row],[Cantidad Beca Reinscripciones Comunidad 19-20]]*75%</f>
        <v>#N/A</v>
      </c>
      <c r="CY122" s="227" t="e">
        <f>Tabla3[[#This Row],[75% Cantidad Beca Comunidad Colegiatura 18-19]]+Tabla3[[#This Row],[75% Cantidad Beca Reinscripciones 19-20]]</f>
        <v>#N/A</v>
      </c>
      <c r="CZ122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22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22" s="108">
        <f>1440*(Tabla3[[#This Row],[% AutorizadoBeca Colegiatura 18-19]]+Tabla3[[#This Row],[% Beca Prestacion 18-19]]+Tabla3[[#This Row],[% Beca UNAM 18-19]]+Tabla3[[#This Row],[% Beca Comunidad 18-19]])</f>
        <v>503.99999999999994</v>
      </c>
    </row>
    <row r="123" spans="2:106" ht="15" customHeight="1" x14ac:dyDescent="0.2">
      <c r="B123" s="107" t="s">
        <v>788</v>
      </c>
      <c r="C123" s="107" t="e">
        <f>VLOOKUP(Tabla3[[#This Row],[Nombre del Padre]],[1]!Tabla1[[PADRE]:[PADRE_CELULAR]],2,0)</f>
        <v>#REF!</v>
      </c>
      <c r="D123" s="107" t="e">
        <f>VLOOKUP(Tabla3[[#This Row],[Nombre del Padre]],[1]!Tabla1[[PADRE]:[PADRE_CELULAR]],3,0)</f>
        <v>#REF!</v>
      </c>
      <c r="E123" s="107" t="s">
        <v>789</v>
      </c>
      <c r="F123" s="107" t="e">
        <f>VLOOKUP(Tabla3[[#This Row],[Nombre de la Madre]],[1]!Tabla1[[MADRE]:[MADRE_TELEFONO]],2,0)</f>
        <v>#REF!</v>
      </c>
      <c r="G123" s="202" t="e">
        <f>VLOOKUP(Tabla3[[#This Row],[Nombre de la Madre]],[1]!Tabla1[[MADRE]:[MADRE_TELEFONO]],3,0)</f>
        <v>#REF!</v>
      </c>
      <c r="H123" s="228"/>
      <c r="I123" s="225">
        <v>1919</v>
      </c>
      <c r="J123" s="225" t="s">
        <v>790</v>
      </c>
      <c r="K123" s="225" t="s">
        <v>637</v>
      </c>
      <c r="L123" s="225" t="s">
        <v>794</v>
      </c>
      <c r="M123" s="205" t="s">
        <v>795</v>
      </c>
      <c r="N123" s="204" t="s">
        <v>336</v>
      </c>
      <c r="O123" s="218" t="e">
        <f>VLOOKUP(Tabla3[[#This Row],[Grado]],[2]Cuotas!$A:$E,2,0)</f>
        <v>#N/A</v>
      </c>
      <c r="P123" s="218" t="e">
        <f>VLOOKUP(Tabla3[[#This Row],[Grado]],[2]Cuotas!$A:$E,4,0)</f>
        <v>#N/A</v>
      </c>
      <c r="Q123" s="218" t="e">
        <f>VLOOKUP(Tabla3[[#This Row],[Grado]],[2]Cuotas!$A:$E,3,0)</f>
        <v>#N/A</v>
      </c>
      <c r="R123" s="247">
        <v>0.4</v>
      </c>
      <c r="S123" s="218" t="e">
        <f>Tabla3[[#This Row],[Monto Colegiatura]]*Tabla3[[#This Row],[% Beca Colegio 16-17]]</f>
        <v>#N/A</v>
      </c>
      <c r="T123" s="218"/>
      <c r="U123" s="218" t="e">
        <f>Tabla3[[#This Row],[Monto Colegiatura]]*Tabla3[[#This Row],[% Beca Prestación 16-17]]</f>
        <v>#N/A</v>
      </c>
      <c r="V123" s="219"/>
      <c r="W123" s="218" t="e">
        <f>Tabla3[[#This Row],[Monto Colegiatura]]*Tabla3[[#This Row],[% Beca Comunidad 16-17]]</f>
        <v>#N/A</v>
      </c>
      <c r="X123" s="218" t="e">
        <f>Tabla3[[#This Row],[Cantidad Beca Comunidad 16-17]]*25%</f>
        <v>#N/A</v>
      </c>
      <c r="Y123" s="218"/>
      <c r="Z123" s="218" t="e">
        <f>Tabla3[[#This Row],[Monto Colegiatura]]*Tabla3[[#This Row],[% Beca UNAM 16-17]]</f>
        <v>#N/A</v>
      </c>
      <c r="AA123" s="219"/>
      <c r="AB123" s="218" t="e">
        <f>Tabla3[[#This Row],[Monto Reinscripción]]*Tabla3[[#This Row],[% Beca Reinscripción 16-17]]</f>
        <v>#N/A</v>
      </c>
      <c r="AC123" s="218"/>
      <c r="AD123" s="218" t="e">
        <f>Tabla3[[#This Row],[Monto Canasta]]*Tabla3[[#This Row],[% Beca Canasta 16-17]]</f>
        <v>#N/A</v>
      </c>
      <c r="AE123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23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23" s="209" t="e">
        <f>VLOOKUP(Tabla3[[#This Row],[Nombre del Alumno]],[2]!Tabla1[[Alumno]:[Cuenta Ciclos]],2,0)</f>
        <v>#REF!</v>
      </c>
      <c r="AH123" s="210" t="s">
        <v>796</v>
      </c>
      <c r="AI123" s="211" t="s">
        <v>338</v>
      </c>
      <c r="AJ123" s="206" t="e">
        <f>VLOOKUP(Tabla3[[#This Row],[Grado 17-18]],[2]Cuotas!$H:$L,2,0)</f>
        <v>#N/A</v>
      </c>
      <c r="AK123" s="206" t="e">
        <f>VLOOKUP(Tabla3[[#This Row],[Grado 17-18]],[2]Cuotas!$H:$L,3,0)</f>
        <v>#N/A</v>
      </c>
      <c r="AL123" s="206" t="e">
        <f>VLOOKUP(Tabla3[[#This Row],[Grado 17-18]],[2]Cuotas!$H:$L,4,0)</f>
        <v>#N/A</v>
      </c>
      <c r="AM123" s="251">
        <v>0.8</v>
      </c>
      <c r="AN123" s="252">
        <v>0.4</v>
      </c>
      <c r="AO123" s="206" t="e">
        <f>Tabla3[[#This Row],[Monto Colegiatura ]]*Tabla3[[#This Row],[% AutorizadoBeca Colegiatura 17-18]]</f>
        <v>#N/A</v>
      </c>
      <c r="AP123" s="219"/>
      <c r="AQ123" s="206" t="e">
        <f>Tabla3[[#This Row],[Monto Colegiatura ]]*Tabla3[[#This Row],[% Beca Prestacion 17-18]]</f>
        <v>#N/A</v>
      </c>
      <c r="AR123" s="219"/>
      <c r="AS123" s="206" t="e">
        <f>Tabla3[[#This Row],[Canasta]]*Tabla3[[#This Row],[% Beca Canasta 17-18]]</f>
        <v>#N/A</v>
      </c>
      <c r="AT123" s="219"/>
      <c r="AU123" s="253">
        <v>0</v>
      </c>
      <c r="AV123" s="206" t="e">
        <f>Tabla3[[#This Row],[Cantidad Beca Comunidad Colegiatura 17-18]]*25%</f>
        <v>#N/A</v>
      </c>
      <c r="AW123" s="218"/>
      <c r="AX123" s="254"/>
      <c r="AY123" s="206" t="e">
        <f>Tabla3[[#This Row],[Monto Colegiatura ]]*Tabla3[[#This Row],[% Beca UNAM 17-18]]</f>
        <v>#N/A</v>
      </c>
      <c r="AZ123" s="218"/>
      <c r="BA123" s="224">
        <f>3200*Tabla3[[#This Row],[% Beca Reinscripciones UNAM 17-18]]</f>
        <v>0</v>
      </c>
      <c r="BB123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23" s="231"/>
      <c r="BD123" s="218" t="e">
        <f>Tabla3[[#This Row],[Monto Colegiatura ]]*Tabla3[[#This Row],[% Beca Comunidad 17-18]]</f>
        <v>#N/A</v>
      </c>
      <c r="BE123" s="218" t="e">
        <f>Tabla3[[#This Row],[Cantidad Beca Comunidad Colegiatura 17-18]]*75%</f>
        <v>#N/A</v>
      </c>
      <c r="BF123" s="219"/>
      <c r="BG123" s="218" t="e">
        <f>Tabla3[[#This Row],[Reinscripción]]*Tabla3[[#This Row],[% Beca Reinscripciones Comunidad 18-19]]</f>
        <v>#N/A</v>
      </c>
      <c r="BH123" s="218" t="e">
        <f>Tabla3[[#This Row],[Cantidad Beca Reinscripciones Comunidad 18-19]]*70%</f>
        <v>#N/A</v>
      </c>
      <c r="BI123" s="224" t="e">
        <f>Tabla3[[#This Row],[75% Cantidad Beca Comunidad Colegiatura 17-18]]+Tabla3[[#This Row],[70% Cantidad Beca Reinscripciones 18-19]]</f>
        <v>#N/A</v>
      </c>
      <c r="BJ123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23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23" s="255"/>
      <c r="BM123" s="225"/>
      <c r="BN123" s="248">
        <v>0.4</v>
      </c>
      <c r="BO123" s="107"/>
      <c r="BP123" s="107">
        <f>Tabla3[[#This Row],[% AutorizadoBeca Colegiatura 17-18]]+Tabla3[[#This Row],[% Beca Prestacion 17-18]]+Tabla3[[#This Row],[% Beca UNAM 17-18]]</f>
        <v>0.4</v>
      </c>
      <c r="BQ123" s="108">
        <f t="shared" si="3"/>
        <v>458.8</v>
      </c>
      <c r="BR123" s="107">
        <f>Tabla3[[#This Row],[% Beca Comunidad 17-18]]</f>
        <v>0</v>
      </c>
      <c r="BS123" s="108">
        <f t="shared" si="4"/>
        <v>0</v>
      </c>
      <c r="BT123" s="108">
        <f t="shared" si="5"/>
        <v>0</v>
      </c>
      <c r="BU123" s="108">
        <f>Tabla3[[#This Row],[Monto3]]*75%</f>
        <v>0</v>
      </c>
      <c r="BV123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23" s="107" t="e">
        <f>VLOOKUP(Tabla3[[#This Row],[Nombre del Alumno]],'[3]BECAS COLEGIATURAS'!$I:$N,6,0)</f>
        <v>#N/A</v>
      </c>
      <c r="BX123" s="107" t="e">
        <f>VLOOKUP(Tabla3[[#This Row],[Nombre del Alumno]],[1]!Tabla1[[NOMBRE DEL ALUMNO]:[MATRIZ]],6,0)</f>
        <v>#REF!</v>
      </c>
      <c r="BY123" s="107" t="e">
        <f>VLOOKUP(Tabla3[[#This Row],[Nombre del Alumno]],'[3]BECAS COLEGIATURAS'!$I:$L,4,0)</f>
        <v>#N/A</v>
      </c>
      <c r="BZ123" s="108" t="e">
        <f>VLOOKUP(Tabla3[[#This Row],[Grado 18-19]],[2]Cuotas!$Q:$U,2,0)</f>
        <v>#N/A</v>
      </c>
      <c r="CA123" s="108" t="e">
        <f>VLOOKUP(Tabla3[[#This Row],[Grado 18-19]],[2]Cuotas!$Q:$U,3,0)</f>
        <v>#N/A</v>
      </c>
      <c r="CB123" s="108" t="e">
        <f>VLOOKUP(Tabla3[[#This Row],[Grado 18-19]],[2]Cuotas!$Q:$U,4,0)</f>
        <v>#N/A</v>
      </c>
      <c r="CC123" s="107">
        <v>0</v>
      </c>
      <c r="CD123" s="222">
        <v>0.4</v>
      </c>
      <c r="CE123" s="218" t="e">
        <f>Tabla3[[#This Row],[Monto Colegiatura 2018-2019]]*Tabla3[[#This Row],[% AutorizadoBeca Colegiatura 18-19]]</f>
        <v>#N/A</v>
      </c>
      <c r="CF123" s="223"/>
      <c r="CG123" s="218" t="e">
        <f>Tabla3[[#This Row],[Monto Colegiatura 2018-2019]]*Tabla3[[#This Row],[% Beca Prestacion 18-19]]</f>
        <v>#N/A</v>
      </c>
      <c r="CH123" s="223"/>
      <c r="CI123" s="218" t="e">
        <f>Tabla3[[#This Row],[Canasta 2018-2019]]*Tabla3[[#This Row],[% Beca Canasta 18-19]]</f>
        <v>#N/A</v>
      </c>
      <c r="CJ123" s="223"/>
      <c r="CK123" s="218" t="e">
        <f>Tabla3[[#This Row],[Reinscripción 2019-2020]]*Tabla3[[#This Row],[% Beca Reinscripciones 19-20]]</f>
        <v>#N/A</v>
      </c>
      <c r="CL123" s="218" t="e">
        <f>Tabla3[[#This Row],[Cantidad Beca Comunidad Colegiatura 18-19]]*25%</f>
        <v>#N/A</v>
      </c>
      <c r="CM123" s="224" t="e">
        <f>Tabla3[[#This Row],[Cantidad Beca Reinscripciones Comunidad 19-20]]*25%</f>
        <v>#N/A</v>
      </c>
      <c r="CN123" s="222"/>
      <c r="CO123" s="218" t="e">
        <f>Tabla3[[#This Row],[Monto Colegiatura 2018-2019]]*Tabla3[[#This Row],[% Beca UNAM 18-19]]</f>
        <v>#N/A</v>
      </c>
      <c r="CP123" s="225"/>
      <c r="CQ123" s="224">
        <f>3328*Tabla3[[#This Row],[% Beca Reinscripciones UNAM 18-19]]</f>
        <v>0</v>
      </c>
      <c r="CR123" s="226" t="e">
        <f>Tabla3[[#This Row],[Cantidad Beca Colegiatura 18-19]]+Tabla3[[#This Row],[Cantidad Beca Canasta 18-19]]+Tabla3[[#This Row],[Cantidad Beca Reinscripciones 19-20]]</f>
        <v>#N/A</v>
      </c>
      <c r="CS123" s="222"/>
      <c r="CT123" s="218" t="e">
        <f>Tabla3[[#This Row],[Monto Colegiatura 2018-2019]]*Tabla3[[#This Row],[% Beca Comunidad 18-19]]</f>
        <v>#N/A</v>
      </c>
      <c r="CU123" s="218" t="e">
        <f>Tabla3[[#This Row],[Cantidad Beca Comunidad Colegiatura 18-19]]*75%</f>
        <v>#N/A</v>
      </c>
      <c r="CV123" s="223"/>
      <c r="CW123" s="218" t="e">
        <f>Tabla3[[#This Row],[Reinscripción 2019-2020]]*Tabla3[[#This Row],[% Beca Reinscripciones Comunidad 19-20]]</f>
        <v>#N/A</v>
      </c>
      <c r="CX123" s="218" t="e">
        <f>Tabla3[[#This Row],[Cantidad Beca Reinscripciones Comunidad 19-20]]*75%</f>
        <v>#N/A</v>
      </c>
      <c r="CY123" s="227" t="e">
        <f>Tabla3[[#This Row],[75% Cantidad Beca Comunidad Colegiatura 18-19]]+Tabla3[[#This Row],[75% Cantidad Beca Reinscripciones 19-20]]</f>
        <v>#N/A</v>
      </c>
      <c r="CZ123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23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23" s="108">
        <f>1440*(Tabla3[[#This Row],[% AutorizadoBeca Colegiatura 18-19]]+Tabla3[[#This Row],[% Beca Prestacion 18-19]]+Tabla3[[#This Row],[% Beca UNAM 18-19]]+Tabla3[[#This Row],[% Beca Comunidad 18-19]])</f>
        <v>576</v>
      </c>
    </row>
    <row r="124" spans="2:106" ht="15" customHeight="1" x14ac:dyDescent="0.2">
      <c r="B124" s="107" t="s">
        <v>788</v>
      </c>
      <c r="C124" s="107" t="e">
        <f>VLOOKUP(Tabla3[[#This Row],[Nombre del Padre]],[1]!Tabla1[[PADRE]:[PADRE_CELULAR]],2,0)</f>
        <v>#REF!</v>
      </c>
      <c r="D124" s="107" t="e">
        <f>VLOOKUP(Tabla3[[#This Row],[Nombre del Padre]],[1]!Tabla1[[PADRE]:[PADRE_CELULAR]],3,0)</f>
        <v>#REF!</v>
      </c>
      <c r="E124" s="107" t="s">
        <v>789</v>
      </c>
      <c r="F124" s="107" t="e">
        <f>VLOOKUP(Tabla3[[#This Row],[Nombre de la Madre]],[1]!Tabla1[[MADRE]:[MADRE_TELEFONO]],2,0)</f>
        <v>#REF!</v>
      </c>
      <c r="G124" s="202" t="e">
        <f>VLOOKUP(Tabla3[[#This Row],[Nombre de la Madre]],[1]!Tabla1[[MADRE]:[MADRE_TELEFONO]],3,0)</f>
        <v>#REF!</v>
      </c>
      <c r="H124" s="230"/>
      <c r="I124" s="225">
        <v>1919</v>
      </c>
      <c r="J124" s="225" t="s">
        <v>790</v>
      </c>
      <c r="K124" s="225" t="s">
        <v>637</v>
      </c>
      <c r="L124" s="225" t="s">
        <v>797</v>
      </c>
      <c r="M124" s="205" t="s">
        <v>798</v>
      </c>
      <c r="N124" s="204" t="s">
        <v>299</v>
      </c>
      <c r="O124" s="218" t="e">
        <f>VLOOKUP(Tabla3[[#This Row],[Grado]],[2]Cuotas!$A:$E,2,0)</f>
        <v>#N/A</v>
      </c>
      <c r="P124" s="218" t="e">
        <f>VLOOKUP(Tabla3[[#This Row],[Grado]],[2]Cuotas!$A:$E,4,0)</f>
        <v>#N/A</v>
      </c>
      <c r="Q124" s="218" t="e">
        <f>VLOOKUP(Tabla3[[#This Row],[Grado]],[2]Cuotas!$A:$E,3,0)</f>
        <v>#N/A</v>
      </c>
      <c r="R124" s="247">
        <v>0.4</v>
      </c>
      <c r="S124" s="218" t="e">
        <f>Tabla3[[#This Row],[Monto Colegiatura]]*Tabla3[[#This Row],[% Beca Colegio 16-17]]</f>
        <v>#N/A</v>
      </c>
      <c r="T124" s="218"/>
      <c r="U124" s="218" t="e">
        <f>Tabla3[[#This Row],[Monto Colegiatura]]*Tabla3[[#This Row],[% Beca Prestación 16-17]]</f>
        <v>#N/A</v>
      </c>
      <c r="V124" s="219"/>
      <c r="W124" s="218" t="e">
        <f>Tabla3[[#This Row],[Monto Colegiatura]]*Tabla3[[#This Row],[% Beca Comunidad 16-17]]</f>
        <v>#N/A</v>
      </c>
      <c r="X124" s="218" t="e">
        <f>Tabla3[[#This Row],[Cantidad Beca Comunidad 16-17]]*25%</f>
        <v>#N/A</v>
      </c>
      <c r="Y124" s="218"/>
      <c r="Z124" s="218" t="e">
        <f>Tabla3[[#This Row],[Monto Colegiatura]]*Tabla3[[#This Row],[% Beca UNAM 16-17]]</f>
        <v>#N/A</v>
      </c>
      <c r="AA124" s="219"/>
      <c r="AB124" s="218" t="e">
        <f>Tabla3[[#This Row],[Monto Reinscripción]]*Tabla3[[#This Row],[% Beca Reinscripción 16-17]]</f>
        <v>#N/A</v>
      </c>
      <c r="AC124" s="218"/>
      <c r="AD124" s="218" t="e">
        <f>Tabla3[[#This Row],[Monto Canasta]]*Tabla3[[#This Row],[% Beca Canasta 16-17]]</f>
        <v>#N/A</v>
      </c>
      <c r="AE124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24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24" s="209" t="e">
        <f>VLOOKUP(Tabla3[[#This Row],[Nombre del Alumno]],[2]!Tabla1[[Alumno]:[Cuenta Ciclos]],2,0)</f>
        <v>#REF!</v>
      </c>
      <c r="AH124" s="210" t="s">
        <v>799</v>
      </c>
      <c r="AI124" s="211" t="s">
        <v>306</v>
      </c>
      <c r="AJ124" s="206" t="e">
        <f>VLOOKUP(Tabla3[[#This Row],[Grado 17-18]],[2]Cuotas!$H:$L,2,0)</f>
        <v>#N/A</v>
      </c>
      <c r="AK124" s="206">
        <v>2573.7919999999999</v>
      </c>
      <c r="AL124" s="206" t="e">
        <f>VLOOKUP(Tabla3[[#This Row],[Grado 17-18]],[2]Cuotas!$H:$L,4,0)</f>
        <v>#N/A</v>
      </c>
      <c r="AM124" s="251">
        <v>0.8</v>
      </c>
      <c r="AN124" s="252">
        <v>0.4</v>
      </c>
      <c r="AO124" s="206" t="e">
        <f>Tabla3[[#This Row],[Monto Colegiatura ]]*Tabla3[[#This Row],[% AutorizadoBeca Colegiatura 17-18]]</f>
        <v>#N/A</v>
      </c>
      <c r="AP124" s="219"/>
      <c r="AQ124" s="206" t="e">
        <f>Tabla3[[#This Row],[Monto Colegiatura ]]*Tabla3[[#This Row],[% Beca Prestacion 17-18]]</f>
        <v>#N/A</v>
      </c>
      <c r="AR124" s="219"/>
      <c r="AS124" s="206" t="e">
        <f>Tabla3[[#This Row],[Canasta]]*Tabla3[[#This Row],[% Beca Canasta 17-18]]</f>
        <v>#N/A</v>
      </c>
      <c r="AT124" s="219"/>
      <c r="AU124" s="253">
        <v>0</v>
      </c>
      <c r="AV124" s="206" t="e">
        <f>Tabla3[[#This Row],[Cantidad Beca Comunidad Colegiatura 17-18]]*25%</f>
        <v>#N/A</v>
      </c>
      <c r="AW124" s="218"/>
      <c r="AX124" s="254"/>
      <c r="AY124" s="206" t="e">
        <f>Tabla3[[#This Row],[Monto Colegiatura ]]*Tabla3[[#This Row],[% Beca UNAM 17-18]]</f>
        <v>#N/A</v>
      </c>
      <c r="AZ124" s="218"/>
      <c r="BA124" s="224">
        <f>3200*Tabla3[[#This Row],[% Beca Reinscripciones UNAM 17-18]]</f>
        <v>0</v>
      </c>
      <c r="BB124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24" s="231"/>
      <c r="BD124" s="218" t="e">
        <f>Tabla3[[#This Row],[Monto Colegiatura ]]*Tabla3[[#This Row],[% Beca Comunidad 17-18]]</f>
        <v>#N/A</v>
      </c>
      <c r="BE124" s="218" t="e">
        <f>Tabla3[[#This Row],[Cantidad Beca Comunidad Colegiatura 17-18]]*75%</f>
        <v>#N/A</v>
      </c>
      <c r="BF124" s="219"/>
      <c r="BG124" s="218">
        <f>Tabla3[[#This Row],[Reinscripción]]*Tabla3[[#This Row],[% Beca Reinscripciones Comunidad 18-19]]</f>
        <v>0</v>
      </c>
      <c r="BH124" s="218">
        <f>Tabla3[[#This Row],[Cantidad Beca Reinscripciones Comunidad 18-19]]*70%</f>
        <v>0</v>
      </c>
      <c r="BI124" s="224" t="e">
        <f>Tabla3[[#This Row],[75% Cantidad Beca Comunidad Colegiatura 17-18]]+Tabla3[[#This Row],[70% Cantidad Beca Reinscripciones 18-19]]</f>
        <v>#N/A</v>
      </c>
      <c r="BJ124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24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24" s="255"/>
      <c r="BM124" s="225"/>
      <c r="BN124" s="248">
        <v>0.4</v>
      </c>
      <c r="BO124" s="107"/>
      <c r="BP124" s="107">
        <f>Tabla3[[#This Row],[% AutorizadoBeca Colegiatura 17-18]]+Tabla3[[#This Row],[% Beca Prestacion 17-18]]+Tabla3[[#This Row],[% Beca UNAM 17-18]]</f>
        <v>0.4</v>
      </c>
      <c r="BQ124" s="108">
        <f t="shared" si="3"/>
        <v>458.8</v>
      </c>
      <c r="BR124" s="107">
        <f>Tabla3[[#This Row],[% Beca Comunidad 17-18]]</f>
        <v>0</v>
      </c>
      <c r="BS124" s="108">
        <f t="shared" si="4"/>
        <v>0</v>
      </c>
      <c r="BT124" s="108">
        <f t="shared" si="5"/>
        <v>0</v>
      </c>
      <c r="BU124" s="108">
        <f>Tabla3[[#This Row],[Monto3]]*75%</f>
        <v>0</v>
      </c>
      <c r="BV124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24" s="107" t="e">
        <f>VLOOKUP(Tabla3[[#This Row],[Nombre del Alumno]],'[3]BECAS COLEGIATURAS'!$I:$N,6,0)</f>
        <v>#N/A</v>
      </c>
      <c r="BX124" s="107" t="e">
        <f>VLOOKUP(Tabla3[[#This Row],[Nombre del Alumno]],[1]!Tabla1[[NOMBRE DEL ALUMNO]:[MATRIZ]],6,0)</f>
        <v>#REF!</v>
      </c>
      <c r="BY124" s="107" t="e">
        <f>VLOOKUP(Tabla3[[#This Row],[Nombre del Alumno]],'[3]BECAS COLEGIATURAS'!$I:$L,4,0)</f>
        <v>#N/A</v>
      </c>
      <c r="BZ124" s="108" t="e">
        <f>VLOOKUP(Tabla3[[#This Row],[Grado 18-19]],[2]Cuotas!$Q:$U,2,0)</f>
        <v>#N/A</v>
      </c>
      <c r="CA124" s="108" t="e">
        <f>VLOOKUP(Tabla3[[#This Row],[Grado 18-19]],[2]Cuotas!$Q:$U,3,0)</f>
        <v>#N/A</v>
      </c>
      <c r="CB124" s="108" t="e">
        <f>VLOOKUP(Tabla3[[#This Row],[Grado 18-19]],[2]Cuotas!$Q:$U,4,0)</f>
        <v>#N/A</v>
      </c>
      <c r="CC124" s="107">
        <v>0</v>
      </c>
      <c r="CD124" s="222">
        <v>0.4</v>
      </c>
      <c r="CE124" s="218" t="e">
        <f>Tabla3[[#This Row],[Monto Colegiatura 2018-2019]]*Tabla3[[#This Row],[% AutorizadoBeca Colegiatura 18-19]]</f>
        <v>#N/A</v>
      </c>
      <c r="CF124" s="223"/>
      <c r="CG124" s="218" t="e">
        <f>Tabla3[[#This Row],[Monto Colegiatura 2018-2019]]*Tabla3[[#This Row],[% Beca Prestacion 18-19]]</f>
        <v>#N/A</v>
      </c>
      <c r="CH124" s="223"/>
      <c r="CI124" s="218" t="e">
        <f>Tabla3[[#This Row],[Canasta 2018-2019]]*Tabla3[[#This Row],[% Beca Canasta 18-19]]</f>
        <v>#N/A</v>
      </c>
      <c r="CJ124" s="223"/>
      <c r="CK124" s="218" t="e">
        <f>Tabla3[[#This Row],[Reinscripción 2019-2020]]*Tabla3[[#This Row],[% Beca Reinscripciones 19-20]]</f>
        <v>#N/A</v>
      </c>
      <c r="CL124" s="218" t="e">
        <f>Tabla3[[#This Row],[Cantidad Beca Comunidad Colegiatura 18-19]]*25%</f>
        <v>#N/A</v>
      </c>
      <c r="CM124" s="224" t="e">
        <f>Tabla3[[#This Row],[Cantidad Beca Reinscripciones Comunidad 19-20]]*25%</f>
        <v>#N/A</v>
      </c>
      <c r="CN124" s="222"/>
      <c r="CO124" s="218" t="e">
        <f>Tabla3[[#This Row],[Monto Colegiatura 2018-2019]]*Tabla3[[#This Row],[% Beca UNAM 18-19]]</f>
        <v>#N/A</v>
      </c>
      <c r="CP124" s="225"/>
      <c r="CQ124" s="224">
        <f>3328*Tabla3[[#This Row],[% Beca Reinscripciones UNAM 18-19]]</f>
        <v>0</v>
      </c>
      <c r="CR124" s="226" t="e">
        <f>Tabla3[[#This Row],[Cantidad Beca Colegiatura 18-19]]+Tabla3[[#This Row],[Cantidad Beca Canasta 18-19]]+Tabla3[[#This Row],[Cantidad Beca Reinscripciones 19-20]]</f>
        <v>#N/A</v>
      </c>
      <c r="CS124" s="222"/>
      <c r="CT124" s="218" t="e">
        <f>Tabla3[[#This Row],[Monto Colegiatura 2018-2019]]*Tabla3[[#This Row],[% Beca Comunidad 18-19]]</f>
        <v>#N/A</v>
      </c>
      <c r="CU124" s="218" t="e">
        <f>Tabla3[[#This Row],[Cantidad Beca Comunidad Colegiatura 18-19]]*75%</f>
        <v>#N/A</v>
      </c>
      <c r="CV124" s="223"/>
      <c r="CW124" s="218" t="e">
        <f>Tabla3[[#This Row],[Reinscripción 2019-2020]]*Tabla3[[#This Row],[% Beca Reinscripciones Comunidad 19-20]]</f>
        <v>#N/A</v>
      </c>
      <c r="CX124" s="218" t="e">
        <f>Tabla3[[#This Row],[Cantidad Beca Reinscripciones Comunidad 19-20]]*75%</f>
        <v>#N/A</v>
      </c>
      <c r="CY124" s="227" t="e">
        <f>Tabla3[[#This Row],[75% Cantidad Beca Comunidad Colegiatura 18-19]]+Tabla3[[#This Row],[75% Cantidad Beca Reinscripciones 19-20]]</f>
        <v>#N/A</v>
      </c>
      <c r="CZ124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24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24" s="108">
        <f>1440*(Tabla3[[#This Row],[% AutorizadoBeca Colegiatura 18-19]]+Tabla3[[#This Row],[% Beca Prestacion 18-19]]+Tabla3[[#This Row],[% Beca UNAM 18-19]]+Tabla3[[#This Row],[% Beca Comunidad 18-19]])</f>
        <v>576</v>
      </c>
    </row>
    <row r="125" spans="2:106" ht="15" customHeight="1" x14ac:dyDescent="0.2">
      <c r="B125" s="107" t="s">
        <v>800</v>
      </c>
      <c r="C125" s="107" t="e">
        <f>VLOOKUP(Tabla3[[#This Row],[Nombre del Padre]],[1]!Tabla1[[PADRE]:[PADRE_CELULAR]],2,0)</f>
        <v>#REF!</v>
      </c>
      <c r="D125" s="107" t="e">
        <f>VLOOKUP(Tabla3[[#This Row],[Nombre del Padre]],[1]!Tabla1[[PADRE]:[PADRE_CELULAR]],3,0)</f>
        <v>#REF!</v>
      </c>
      <c r="E125" s="107" t="s">
        <v>801</v>
      </c>
      <c r="F125" s="107" t="e">
        <f>VLOOKUP(Tabla3[[#This Row],[Nombre de la Madre]],[1]!Tabla1[[MADRE]:[MADRE_TELEFONO]],2,0)</f>
        <v>#REF!</v>
      </c>
      <c r="G125" s="202" t="e">
        <f>VLOOKUP(Tabla3[[#This Row],[Nombre de la Madre]],[1]!Tabla1[[MADRE]:[MADRE_TELEFONO]],3,0)</f>
        <v>#REF!</v>
      </c>
      <c r="H125" s="228">
        <v>68</v>
      </c>
      <c r="I125" s="225">
        <v>1970</v>
      </c>
      <c r="J125" s="225" t="s">
        <v>802</v>
      </c>
      <c r="K125" s="225" t="s">
        <v>273</v>
      </c>
      <c r="L125" s="225" t="s">
        <v>803</v>
      </c>
      <c r="M125" s="205" t="s">
        <v>804</v>
      </c>
      <c r="N125" s="204" t="s">
        <v>332</v>
      </c>
      <c r="O125" s="218" t="e">
        <f>VLOOKUP(Tabla3[[#This Row],[Grado]],[2]Cuotas!$A:$E,2,0)</f>
        <v>#N/A</v>
      </c>
      <c r="P125" s="218" t="e">
        <f>VLOOKUP(Tabla3[[#This Row],[Grado]],[2]Cuotas!$A:$E,4,0)</f>
        <v>#N/A</v>
      </c>
      <c r="Q125" s="218" t="e">
        <f>VLOOKUP(Tabla3[[#This Row],[Grado]],[2]Cuotas!$A:$E,3,0)</f>
        <v>#N/A</v>
      </c>
      <c r="R125" s="247"/>
      <c r="S125" s="218" t="e">
        <f>Tabla3[[#This Row],[Monto Colegiatura]]*Tabla3[[#This Row],[% Beca Colegio 16-17]]</f>
        <v>#N/A</v>
      </c>
      <c r="T125" s="218"/>
      <c r="U125" s="218" t="e">
        <f>Tabla3[[#This Row],[Monto Colegiatura]]*Tabla3[[#This Row],[% Beca Prestación 16-17]]</f>
        <v>#N/A</v>
      </c>
      <c r="V125" s="219">
        <v>0.35</v>
      </c>
      <c r="W125" s="218" t="e">
        <f>Tabla3[[#This Row],[Monto Colegiatura]]*Tabla3[[#This Row],[% Beca Comunidad 16-17]]</f>
        <v>#N/A</v>
      </c>
      <c r="X125" s="218" t="e">
        <f>Tabla3[[#This Row],[Cantidad Beca Comunidad 16-17]]*25%</f>
        <v>#N/A</v>
      </c>
      <c r="Y125" s="218"/>
      <c r="Z125" s="218" t="e">
        <f>Tabla3[[#This Row],[Monto Colegiatura]]*Tabla3[[#This Row],[% Beca UNAM 16-17]]</f>
        <v>#N/A</v>
      </c>
      <c r="AA125" s="219"/>
      <c r="AB125" s="218" t="e">
        <f>Tabla3[[#This Row],[Monto Reinscripción]]*Tabla3[[#This Row],[% Beca Reinscripción 16-17]]</f>
        <v>#N/A</v>
      </c>
      <c r="AC125" s="218"/>
      <c r="AD125" s="218" t="e">
        <f>Tabla3[[#This Row],[Monto Canasta]]*Tabla3[[#This Row],[% Beca Canasta 16-17]]</f>
        <v>#N/A</v>
      </c>
      <c r="AE125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25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25" s="209" t="e">
        <f>VLOOKUP(Tabla3[[#This Row],[Nombre del Alumno]],[2]!Tabla1[[Alumno]:[Cuenta Ciclos]],2,0)</f>
        <v>#REF!</v>
      </c>
      <c r="AH125" s="210" t="s">
        <v>805</v>
      </c>
      <c r="AI125" s="211" t="s">
        <v>336</v>
      </c>
      <c r="AJ125" s="206" t="e">
        <f>VLOOKUP(Tabla3[[#This Row],[Grado 17-18]],[2]Cuotas!$H:$L,2,0)</f>
        <v>#N/A</v>
      </c>
      <c r="AK125" s="206">
        <v>2573.7919999999999</v>
      </c>
      <c r="AL125" s="206" t="e">
        <f>VLOOKUP(Tabla3[[#This Row],[Grado 17-18]],[2]Cuotas!$H:$L,4,0)</f>
        <v>#N/A</v>
      </c>
      <c r="AM125" s="251">
        <v>0.6</v>
      </c>
      <c r="AN125" s="252"/>
      <c r="AO125" s="206" t="e">
        <f>Tabla3[[#This Row],[Monto Colegiatura ]]*Tabla3[[#This Row],[% AutorizadoBeca Colegiatura 17-18]]</f>
        <v>#N/A</v>
      </c>
      <c r="AP125" s="219"/>
      <c r="AQ125" s="206" t="e">
        <f>Tabla3[[#This Row],[Monto Colegiatura ]]*Tabla3[[#This Row],[% Beca Prestacion 17-18]]</f>
        <v>#N/A</v>
      </c>
      <c r="AR125" s="219"/>
      <c r="AS125" s="206" t="e">
        <f>Tabla3[[#This Row],[Canasta]]*Tabla3[[#This Row],[% Beca Canasta 17-18]]</f>
        <v>#N/A</v>
      </c>
      <c r="AT125" s="219"/>
      <c r="AU125" s="253">
        <v>0</v>
      </c>
      <c r="AV125" s="206" t="e">
        <f>Tabla3[[#This Row],[Cantidad Beca Comunidad Colegiatura 17-18]]*25%</f>
        <v>#N/A</v>
      </c>
      <c r="AW125" s="218"/>
      <c r="AX125" s="254"/>
      <c r="AY125" s="206" t="e">
        <f>Tabla3[[#This Row],[Monto Colegiatura ]]*Tabla3[[#This Row],[% Beca UNAM 17-18]]</f>
        <v>#N/A</v>
      </c>
      <c r="AZ125" s="218"/>
      <c r="BA125" s="224">
        <f>3200*Tabla3[[#This Row],[% Beca Reinscripciones UNAM 17-18]]</f>
        <v>0</v>
      </c>
      <c r="BB125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25" s="217">
        <v>0.35</v>
      </c>
      <c r="BD125" s="218" t="e">
        <f>Tabla3[[#This Row],[Monto Colegiatura ]]*Tabla3[[#This Row],[% Beca Comunidad 17-18]]</f>
        <v>#N/A</v>
      </c>
      <c r="BE125" s="218" t="e">
        <f>Tabla3[[#This Row],[Cantidad Beca Comunidad Colegiatura 17-18]]*75%</f>
        <v>#N/A</v>
      </c>
      <c r="BF125" s="219"/>
      <c r="BG125" s="218">
        <f>Tabla3[[#This Row],[Reinscripción]]*Tabla3[[#This Row],[% Beca Reinscripciones Comunidad 18-19]]</f>
        <v>0</v>
      </c>
      <c r="BH125" s="218">
        <f>Tabla3[[#This Row],[Cantidad Beca Reinscripciones Comunidad 18-19]]*70%</f>
        <v>0</v>
      </c>
      <c r="BI125" s="224" t="e">
        <f>Tabla3[[#This Row],[75% Cantidad Beca Comunidad Colegiatura 17-18]]+Tabla3[[#This Row],[70% Cantidad Beca Reinscripciones 18-19]]</f>
        <v>#N/A</v>
      </c>
      <c r="BJ125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25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25" s="218"/>
      <c r="BM125" s="225" t="s">
        <v>806</v>
      </c>
      <c r="BN125" s="221" t="s">
        <v>807</v>
      </c>
      <c r="BO125" s="288" t="s">
        <v>808</v>
      </c>
      <c r="BP125" s="107">
        <f>Tabla3[[#This Row],[% AutorizadoBeca Colegiatura 17-18]]+Tabla3[[#This Row],[% Beca Prestacion 17-18]]+Tabla3[[#This Row],[% Beca UNAM 17-18]]</f>
        <v>0</v>
      </c>
      <c r="BQ125" s="108">
        <f t="shared" si="3"/>
        <v>0</v>
      </c>
      <c r="BR125" s="107">
        <f>Tabla3[[#This Row],[% Beca Comunidad 17-18]]</f>
        <v>0.35</v>
      </c>
      <c r="BS125" s="108">
        <f t="shared" si="4"/>
        <v>401.45</v>
      </c>
      <c r="BT125" s="108">
        <f t="shared" si="5"/>
        <v>100.3625</v>
      </c>
      <c r="BU125" s="108">
        <f>Tabla3[[#This Row],[Monto3]]*75%</f>
        <v>301.08749999999998</v>
      </c>
      <c r="BV125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25" s="107" t="e">
        <f>VLOOKUP(Tabla3[[#This Row],[Nombre del Alumno]],'[3]BECAS COLEGIATURAS'!$I:$N,6,0)</f>
        <v>#N/A</v>
      </c>
      <c r="BX125" s="107" t="e">
        <f>VLOOKUP(Tabla3[[#This Row],[Nombre del Alumno]],[1]!Tabla1[[NOMBRE DEL ALUMNO]:[MATRIZ]],6,0)</f>
        <v>#REF!</v>
      </c>
      <c r="BY125" s="107" t="e">
        <f>VLOOKUP(Tabla3[[#This Row],[Nombre del Alumno]],'[3]BECAS COLEGIATURAS'!$I:$L,4,0)</f>
        <v>#N/A</v>
      </c>
      <c r="BZ125" s="108" t="e">
        <f>VLOOKUP(Tabla3[[#This Row],[Grado 18-19]],[2]Cuotas!$Q:$U,2,0)</f>
        <v>#N/A</v>
      </c>
      <c r="CA125" s="108" t="e">
        <f>VLOOKUP(Tabla3[[#This Row],[Grado 18-19]],[2]Cuotas!$Q:$U,3,0)</f>
        <v>#N/A</v>
      </c>
      <c r="CB125" s="108" t="e">
        <f>VLOOKUP(Tabla3[[#This Row],[Grado 18-19]],[2]Cuotas!$Q:$U,4,0)</f>
        <v>#N/A</v>
      </c>
      <c r="CC125" s="107">
        <v>60</v>
      </c>
      <c r="CD125" s="222">
        <v>0.25</v>
      </c>
      <c r="CE125" s="218" t="e">
        <f>Tabla3[[#This Row],[Monto Colegiatura 2018-2019]]*Tabla3[[#This Row],[% AutorizadoBeca Colegiatura 18-19]]</f>
        <v>#N/A</v>
      </c>
      <c r="CF125" s="223"/>
      <c r="CG125" s="218" t="e">
        <f>Tabla3[[#This Row],[Monto Colegiatura 2018-2019]]*Tabla3[[#This Row],[% Beca Prestacion 18-19]]</f>
        <v>#N/A</v>
      </c>
      <c r="CH125" s="223"/>
      <c r="CI125" s="218" t="e">
        <f>Tabla3[[#This Row],[Canasta 2018-2019]]*Tabla3[[#This Row],[% Beca Canasta 18-19]]</f>
        <v>#N/A</v>
      </c>
      <c r="CJ125" s="223"/>
      <c r="CK125" s="218" t="e">
        <f>Tabla3[[#This Row],[Reinscripción 2019-2020]]*Tabla3[[#This Row],[% Beca Reinscripciones 19-20]]</f>
        <v>#N/A</v>
      </c>
      <c r="CL125" s="218" t="e">
        <f>Tabla3[[#This Row],[Cantidad Beca Comunidad Colegiatura 18-19]]*25%</f>
        <v>#N/A</v>
      </c>
      <c r="CM125" s="224" t="e">
        <f>Tabla3[[#This Row],[Cantidad Beca Reinscripciones Comunidad 19-20]]*25%</f>
        <v>#N/A</v>
      </c>
      <c r="CN125" s="222"/>
      <c r="CO125" s="218" t="e">
        <f>Tabla3[[#This Row],[Monto Colegiatura 2018-2019]]*Tabla3[[#This Row],[% Beca UNAM 18-19]]</f>
        <v>#N/A</v>
      </c>
      <c r="CP125" s="225"/>
      <c r="CQ125" s="224">
        <f>3328*Tabla3[[#This Row],[% Beca Reinscripciones UNAM 18-19]]</f>
        <v>0</v>
      </c>
      <c r="CR125" s="226" t="e">
        <f>Tabla3[[#This Row],[Cantidad Beca Colegiatura 18-19]]+Tabla3[[#This Row],[Cantidad Beca Canasta 18-19]]+Tabla3[[#This Row],[Cantidad Beca Reinscripciones 19-20]]</f>
        <v>#N/A</v>
      </c>
      <c r="CS125" s="222">
        <v>0.5</v>
      </c>
      <c r="CT125" s="218" t="e">
        <f>Tabla3[[#This Row],[Monto Colegiatura 2018-2019]]*Tabla3[[#This Row],[% Beca Comunidad 18-19]]</f>
        <v>#N/A</v>
      </c>
      <c r="CU125" s="218" t="e">
        <f>Tabla3[[#This Row],[Cantidad Beca Comunidad Colegiatura 18-19]]*75%</f>
        <v>#N/A</v>
      </c>
      <c r="CV125" s="223"/>
      <c r="CW125" s="218" t="e">
        <f>Tabla3[[#This Row],[Reinscripción 2019-2020]]*Tabla3[[#This Row],[% Beca Reinscripciones Comunidad 19-20]]</f>
        <v>#N/A</v>
      </c>
      <c r="CX125" s="218" t="e">
        <f>Tabla3[[#This Row],[Cantidad Beca Reinscripciones Comunidad 19-20]]*75%</f>
        <v>#N/A</v>
      </c>
      <c r="CY125" s="227" t="e">
        <f>Tabla3[[#This Row],[75% Cantidad Beca Comunidad Colegiatura 18-19]]+Tabla3[[#This Row],[75% Cantidad Beca Reinscripciones 19-20]]</f>
        <v>#N/A</v>
      </c>
      <c r="CZ125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25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25" s="108">
        <f>1440*(Tabla3[[#This Row],[% AutorizadoBeca Colegiatura 18-19]]+Tabla3[[#This Row],[% Beca Prestacion 18-19]]+Tabla3[[#This Row],[% Beca UNAM 18-19]]+Tabla3[[#This Row],[% Beca Comunidad 18-19]])</f>
        <v>1080</v>
      </c>
    </row>
    <row r="126" spans="2:106" ht="15" customHeight="1" x14ac:dyDescent="0.2">
      <c r="B126" s="107" t="s">
        <v>800</v>
      </c>
      <c r="C126" s="107" t="e">
        <f>VLOOKUP(Tabla3[[#This Row],[Nombre del Padre]],[1]!Tabla1[[PADRE]:[PADRE_CELULAR]],2,0)</f>
        <v>#REF!</v>
      </c>
      <c r="D126" s="107" t="e">
        <f>VLOOKUP(Tabla3[[#This Row],[Nombre del Padre]],[1]!Tabla1[[PADRE]:[PADRE_CELULAR]],3,0)</f>
        <v>#REF!</v>
      </c>
      <c r="E126" s="107" t="s">
        <v>801</v>
      </c>
      <c r="F126" s="107" t="e">
        <f>VLOOKUP(Tabla3[[#This Row],[Nombre de la Madre]],[1]!Tabla1[[MADRE]:[MADRE_TELEFONO]],2,0)</f>
        <v>#REF!</v>
      </c>
      <c r="G126" s="202" t="e">
        <f>VLOOKUP(Tabla3[[#This Row],[Nombre de la Madre]],[1]!Tabla1[[MADRE]:[MADRE_TELEFONO]],3,0)</f>
        <v>#REF!</v>
      </c>
      <c r="H126" s="228"/>
      <c r="I126" s="225">
        <v>1970</v>
      </c>
      <c r="J126" s="225" t="s">
        <v>802</v>
      </c>
      <c r="K126" s="225" t="s">
        <v>273</v>
      </c>
      <c r="L126" s="225" t="s">
        <v>809</v>
      </c>
      <c r="M126" s="205" t="s">
        <v>810</v>
      </c>
      <c r="N126" s="204" t="s">
        <v>299</v>
      </c>
      <c r="O126" s="218" t="e">
        <f>VLOOKUP(Tabla3[[#This Row],[Grado]],[2]Cuotas!$A:$E,2,0)</f>
        <v>#N/A</v>
      </c>
      <c r="P126" s="218" t="e">
        <f>VLOOKUP(Tabla3[[#This Row],[Grado]],[2]Cuotas!$A:$E,4,0)</f>
        <v>#N/A</v>
      </c>
      <c r="Q126" s="218" t="e">
        <f>VLOOKUP(Tabla3[[#This Row],[Grado]],[2]Cuotas!$A:$E,3,0)</f>
        <v>#N/A</v>
      </c>
      <c r="R126" s="247"/>
      <c r="S126" s="218" t="e">
        <f>Tabla3[[#This Row],[Monto Colegiatura]]*Tabla3[[#This Row],[% Beca Colegio 16-17]]</f>
        <v>#N/A</v>
      </c>
      <c r="T126" s="218"/>
      <c r="U126" s="218" t="e">
        <f>Tabla3[[#This Row],[Monto Colegiatura]]*Tabla3[[#This Row],[% Beca Prestación 16-17]]</f>
        <v>#N/A</v>
      </c>
      <c r="V126" s="219">
        <v>0.35</v>
      </c>
      <c r="W126" s="218" t="e">
        <f>Tabla3[[#This Row],[Monto Colegiatura]]*Tabla3[[#This Row],[% Beca Comunidad 16-17]]</f>
        <v>#N/A</v>
      </c>
      <c r="X126" s="218" t="e">
        <f>Tabla3[[#This Row],[Cantidad Beca Comunidad 16-17]]*25%</f>
        <v>#N/A</v>
      </c>
      <c r="Y126" s="218"/>
      <c r="Z126" s="218" t="e">
        <f>Tabla3[[#This Row],[Monto Colegiatura]]*Tabla3[[#This Row],[% Beca UNAM 16-17]]</f>
        <v>#N/A</v>
      </c>
      <c r="AA126" s="219"/>
      <c r="AB126" s="218" t="e">
        <f>Tabla3[[#This Row],[Monto Reinscripción]]*Tabla3[[#This Row],[% Beca Reinscripción 16-17]]</f>
        <v>#N/A</v>
      </c>
      <c r="AC126" s="218"/>
      <c r="AD126" s="218" t="e">
        <f>Tabla3[[#This Row],[Monto Canasta]]*Tabla3[[#This Row],[% Beca Canasta 16-17]]</f>
        <v>#N/A</v>
      </c>
      <c r="AE126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26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26" s="209" t="e">
        <f>VLOOKUP(Tabla3[[#This Row],[Nombre del Alumno]],[2]!Tabla1[[Alumno]:[Cuenta Ciclos]],2,0)</f>
        <v>#REF!</v>
      </c>
      <c r="AH126" s="210" t="s">
        <v>811</v>
      </c>
      <c r="AI126" s="211" t="s">
        <v>306</v>
      </c>
      <c r="AJ126" s="206" t="e">
        <f>VLOOKUP(Tabla3[[#This Row],[Grado 17-18]],[2]Cuotas!$H:$L,2,0)</f>
        <v>#N/A</v>
      </c>
      <c r="AK126" s="206">
        <v>2573.7919999999999</v>
      </c>
      <c r="AL126" s="206" t="e">
        <f>VLOOKUP(Tabla3[[#This Row],[Grado 17-18]],[2]Cuotas!$H:$L,4,0)</f>
        <v>#N/A</v>
      </c>
      <c r="AM126" s="251">
        <v>0.6</v>
      </c>
      <c r="AN126" s="252"/>
      <c r="AO126" s="206" t="e">
        <f>Tabla3[[#This Row],[Monto Colegiatura ]]*Tabla3[[#This Row],[% AutorizadoBeca Colegiatura 17-18]]</f>
        <v>#N/A</v>
      </c>
      <c r="AP126" s="219"/>
      <c r="AQ126" s="206" t="e">
        <f>Tabla3[[#This Row],[Monto Colegiatura ]]*Tabla3[[#This Row],[% Beca Prestacion 17-18]]</f>
        <v>#N/A</v>
      </c>
      <c r="AR126" s="219"/>
      <c r="AS126" s="206" t="e">
        <f>Tabla3[[#This Row],[Canasta]]*Tabla3[[#This Row],[% Beca Canasta 17-18]]</f>
        <v>#N/A</v>
      </c>
      <c r="AT126" s="219"/>
      <c r="AU126" s="253">
        <v>0</v>
      </c>
      <c r="AV126" s="206" t="e">
        <f>Tabla3[[#This Row],[Cantidad Beca Comunidad Colegiatura 17-18]]*25%</f>
        <v>#N/A</v>
      </c>
      <c r="AW126" s="218"/>
      <c r="AX126" s="254"/>
      <c r="AY126" s="206" t="e">
        <f>Tabla3[[#This Row],[Monto Colegiatura ]]*Tabla3[[#This Row],[% Beca UNAM 17-18]]</f>
        <v>#N/A</v>
      </c>
      <c r="AZ126" s="218"/>
      <c r="BA126" s="224">
        <f>3200*Tabla3[[#This Row],[% Beca Reinscripciones UNAM 17-18]]</f>
        <v>0</v>
      </c>
      <c r="BB126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26" s="217">
        <v>0.35</v>
      </c>
      <c r="BD126" s="218" t="e">
        <f>Tabla3[[#This Row],[Monto Colegiatura ]]*Tabla3[[#This Row],[% Beca Comunidad 17-18]]</f>
        <v>#N/A</v>
      </c>
      <c r="BE126" s="218" t="e">
        <f>Tabla3[[#This Row],[Cantidad Beca Comunidad Colegiatura 17-18]]*75%</f>
        <v>#N/A</v>
      </c>
      <c r="BF126" s="219"/>
      <c r="BG126" s="218">
        <f>Tabla3[[#This Row],[Reinscripción]]*Tabla3[[#This Row],[% Beca Reinscripciones Comunidad 18-19]]</f>
        <v>0</v>
      </c>
      <c r="BH126" s="218">
        <f>Tabla3[[#This Row],[Cantidad Beca Reinscripciones Comunidad 18-19]]*70%</f>
        <v>0</v>
      </c>
      <c r="BI126" s="224" t="e">
        <f>Tabla3[[#This Row],[75% Cantidad Beca Comunidad Colegiatura 17-18]]+Tabla3[[#This Row],[70% Cantidad Beca Reinscripciones 18-19]]</f>
        <v>#N/A</v>
      </c>
      <c r="BJ126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26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26" s="218"/>
      <c r="BM126" s="225" t="s">
        <v>806</v>
      </c>
      <c r="BN126" s="221"/>
      <c r="BO126" s="107"/>
      <c r="BP126" s="107">
        <f>Tabla3[[#This Row],[% AutorizadoBeca Colegiatura 17-18]]+Tabla3[[#This Row],[% Beca Prestacion 17-18]]+Tabla3[[#This Row],[% Beca UNAM 17-18]]</f>
        <v>0</v>
      </c>
      <c r="BQ126" s="108">
        <f t="shared" si="3"/>
        <v>0</v>
      </c>
      <c r="BR126" s="107">
        <f>Tabla3[[#This Row],[% Beca Comunidad 17-18]]</f>
        <v>0.35</v>
      </c>
      <c r="BS126" s="108">
        <f t="shared" si="4"/>
        <v>401.45</v>
      </c>
      <c r="BT126" s="108">
        <f t="shared" si="5"/>
        <v>100.3625</v>
      </c>
      <c r="BU126" s="108">
        <f>Tabla3[[#This Row],[Monto3]]*75%</f>
        <v>301.08749999999998</v>
      </c>
      <c r="BV126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26" s="107" t="e">
        <f>VLOOKUP(Tabla3[[#This Row],[Nombre del Alumno]],'[3]BECAS COLEGIATURAS'!$I:$N,6,0)</f>
        <v>#N/A</v>
      </c>
      <c r="BX126" s="107" t="e">
        <f>VLOOKUP(Tabla3[[#This Row],[Nombre del Alumno]],[1]!Tabla1[[NOMBRE DEL ALUMNO]:[MATRIZ]],6,0)</f>
        <v>#REF!</v>
      </c>
      <c r="BY126" s="107" t="e">
        <f>VLOOKUP(Tabla3[[#This Row],[Nombre del Alumno]],'[3]BECAS COLEGIATURAS'!$I:$L,4,0)</f>
        <v>#N/A</v>
      </c>
      <c r="BZ126" s="108" t="e">
        <f>VLOOKUP(Tabla3[[#This Row],[Grado 18-19]],[2]Cuotas!$Q:$U,2,0)</f>
        <v>#N/A</v>
      </c>
      <c r="CA126" s="108" t="e">
        <f>VLOOKUP(Tabla3[[#This Row],[Grado 18-19]],[2]Cuotas!$Q:$U,3,0)</f>
        <v>#N/A</v>
      </c>
      <c r="CB126" s="108" t="e">
        <f>VLOOKUP(Tabla3[[#This Row],[Grado 18-19]],[2]Cuotas!$Q:$U,4,0)</f>
        <v>#N/A</v>
      </c>
      <c r="CC126" s="107">
        <v>60</v>
      </c>
      <c r="CD126" s="222">
        <v>0.25</v>
      </c>
      <c r="CE126" s="218" t="e">
        <f>Tabla3[[#This Row],[Monto Colegiatura 2018-2019]]*Tabla3[[#This Row],[% AutorizadoBeca Colegiatura 18-19]]</f>
        <v>#N/A</v>
      </c>
      <c r="CF126" s="223"/>
      <c r="CG126" s="218" t="e">
        <f>Tabla3[[#This Row],[Monto Colegiatura 2018-2019]]*Tabla3[[#This Row],[% Beca Prestacion 18-19]]</f>
        <v>#N/A</v>
      </c>
      <c r="CH126" s="223"/>
      <c r="CI126" s="218" t="e">
        <f>Tabla3[[#This Row],[Canasta 2018-2019]]*Tabla3[[#This Row],[% Beca Canasta 18-19]]</f>
        <v>#N/A</v>
      </c>
      <c r="CJ126" s="223"/>
      <c r="CK126" s="218" t="e">
        <f>Tabla3[[#This Row],[Reinscripción 2019-2020]]*Tabla3[[#This Row],[% Beca Reinscripciones 19-20]]</f>
        <v>#N/A</v>
      </c>
      <c r="CL126" s="218" t="e">
        <f>Tabla3[[#This Row],[Cantidad Beca Comunidad Colegiatura 18-19]]*25%</f>
        <v>#N/A</v>
      </c>
      <c r="CM126" s="224" t="e">
        <f>Tabla3[[#This Row],[Cantidad Beca Reinscripciones Comunidad 19-20]]*25%</f>
        <v>#N/A</v>
      </c>
      <c r="CN126" s="222"/>
      <c r="CO126" s="218" t="e">
        <f>Tabla3[[#This Row],[Monto Colegiatura 2018-2019]]*Tabla3[[#This Row],[% Beca UNAM 18-19]]</f>
        <v>#N/A</v>
      </c>
      <c r="CP126" s="225"/>
      <c r="CQ126" s="224">
        <f>3328*Tabla3[[#This Row],[% Beca Reinscripciones UNAM 18-19]]</f>
        <v>0</v>
      </c>
      <c r="CR126" s="226" t="e">
        <f>Tabla3[[#This Row],[Cantidad Beca Colegiatura 18-19]]+Tabla3[[#This Row],[Cantidad Beca Canasta 18-19]]+Tabla3[[#This Row],[Cantidad Beca Reinscripciones 19-20]]</f>
        <v>#N/A</v>
      </c>
      <c r="CS126" s="222">
        <v>0.5</v>
      </c>
      <c r="CT126" s="218" t="e">
        <f>Tabla3[[#This Row],[Monto Colegiatura 2018-2019]]*Tabla3[[#This Row],[% Beca Comunidad 18-19]]</f>
        <v>#N/A</v>
      </c>
      <c r="CU126" s="218" t="e">
        <f>Tabla3[[#This Row],[Cantidad Beca Comunidad Colegiatura 18-19]]*75%</f>
        <v>#N/A</v>
      </c>
      <c r="CV126" s="223"/>
      <c r="CW126" s="218" t="e">
        <f>Tabla3[[#This Row],[Reinscripción 2019-2020]]*Tabla3[[#This Row],[% Beca Reinscripciones Comunidad 19-20]]</f>
        <v>#N/A</v>
      </c>
      <c r="CX126" s="218" t="e">
        <f>Tabla3[[#This Row],[Cantidad Beca Reinscripciones Comunidad 19-20]]*75%</f>
        <v>#N/A</v>
      </c>
      <c r="CY126" s="227" t="e">
        <f>Tabla3[[#This Row],[75% Cantidad Beca Comunidad Colegiatura 18-19]]+Tabla3[[#This Row],[75% Cantidad Beca Reinscripciones 19-20]]</f>
        <v>#N/A</v>
      </c>
      <c r="CZ126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26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26" s="108">
        <f>1440*(Tabla3[[#This Row],[% AutorizadoBeca Colegiatura 18-19]]+Tabla3[[#This Row],[% Beca Prestacion 18-19]]+Tabla3[[#This Row],[% Beca UNAM 18-19]]+Tabla3[[#This Row],[% Beca Comunidad 18-19]])</f>
        <v>1080</v>
      </c>
    </row>
    <row r="127" spans="2:106" ht="15" customHeight="1" x14ac:dyDescent="0.2">
      <c r="B127" s="107" t="s">
        <v>800</v>
      </c>
      <c r="C127" s="107" t="e">
        <f>VLOOKUP(Tabla3[[#This Row],[Nombre del Padre]],[1]!Tabla1[[PADRE]:[PADRE_CELULAR]],2,0)</f>
        <v>#REF!</v>
      </c>
      <c r="D127" s="107" t="e">
        <f>VLOOKUP(Tabla3[[#This Row],[Nombre del Padre]],[1]!Tabla1[[PADRE]:[PADRE_CELULAR]],3,0)</f>
        <v>#REF!</v>
      </c>
      <c r="E127" s="107" t="s">
        <v>801</v>
      </c>
      <c r="F127" s="107" t="e">
        <f>VLOOKUP(Tabla3[[#This Row],[Nombre de la Madre]],[1]!Tabla1[[MADRE]:[MADRE_TELEFONO]],2,0)</f>
        <v>#REF!</v>
      </c>
      <c r="G127" s="202" t="e">
        <f>VLOOKUP(Tabla3[[#This Row],[Nombre de la Madre]],[1]!Tabla1[[MADRE]:[MADRE_TELEFONO]],3,0)</f>
        <v>#REF!</v>
      </c>
      <c r="H127" s="228"/>
      <c r="I127" s="225">
        <v>1970</v>
      </c>
      <c r="J127" s="225" t="s">
        <v>802</v>
      </c>
      <c r="K127" s="225" t="s">
        <v>273</v>
      </c>
      <c r="L127" s="225" t="s">
        <v>812</v>
      </c>
      <c r="M127" s="205" t="s">
        <v>813</v>
      </c>
      <c r="N127" s="204" t="s">
        <v>330</v>
      </c>
      <c r="O127" s="218" t="e">
        <f>VLOOKUP(Tabla3[[#This Row],[Grado]],[2]Cuotas!$A:$E,2,0)</f>
        <v>#N/A</v>
      </c>
      <c r="P127" s="218" t="e">
        <f>VLOOKUP(Tabla3[[#This Row],[Grado]],[2]Cuotas!$A:$E,4,0)</f>
        <v>#N/A</v>
      </c>
      <c r="Q127" s="218" t="e">
        <f>VLOOKUP(Tabla3[[#This Row],[Grado]],[2]Cuotas!$A:$E,3,0)</f>
        <v>#N/A</v>
      </c>
      <c r="R127" s="247"/>
      <c r="S127" s="218" t="e">
        <f>Tabla3[[#This Row],[Monto Colegiatura]]*Tabla3[[#This Row],[% Beca Colegio 16-17]]</f>
        <v>#N/A</v>
      </c>
      <c r="T127" s="218"/>
      <c r="U127" s="218" t="e">
        <f>Tabla3[[#This Row],[Monto Colegiatura]]*Tabla3[[#This Row],[% Beca Prestación 16-17]]</f>
        <v>#N/A</v>
      </c>
      <c r="V127" s="219">
        <v>0.35</v>
      </c>
      <c r="W127" s="218" t="e">
        <f>Tabla3[[#This Row],[Monto Colegiatura]]*Tabla3[[#This Row],[% Beca Comunidad 16-17]]</f>
        <v>#N/A</v>
      </c>
      <c r="X127" s="218" t="e">
        <f>Tabla3[[#This Row],[Cantidad Beca Comunidad 16-17]]*25%</f>
        <v>#N/A</v>
      </c>
      <c r="Y127" s="218"/>
      <c r="Z127" s="218" t="e">
        <f>Tabla3[[#This Row],[Monto Colegiatura]]*Tabla3[[#This Row],[% Beca UNAM 16-17]]</f>
        <v>#N/A</v>
      </c>
      <c r="AA127" s="219"/>
      <c r="AB127" s="218" t="e">
        <f>Tabla3[[#This Row],[Monto Reinscripción]]*Tabla3[[#This Row],[% Beca Reinscripción 16-17]]</f>
        <v>#N/A</v>
      </c>
      <c r="AC127" s="218"/>
      <c r="AD127" s="218" t="e">
        <f>Tabla3[[#This Row],[Monto Canasta]]*Tabla3[[#This Row],[% Beca Canasta 16-17]]</f>
        <v>#N/A</v>
      </c>
      <c r="AE127" s="218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27" s="20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27" s="209" t="e">
        <f>VLOOKUP(Tabla3[[#This Row],[Nombre del Alumno]],[2]!Tabla1[[Alumno]:[Cuenta Ciclos]],2,0)</f>
        <v>#REF!</v>
      </c>
      <c r="AH127" s="210" t="s">
        <v>804</v>
      </c>
      <c r="AI127" s="211" t="s">
        <v>332</v>
      </c>
      <c r="AJ127" s="206" t="e">
        <f>VLOOKUP(Tabla3[[#This Row],[Grado 17-18]],[2]Cuotas!$H:$L,2,0)</f>
        <v>#N/A</v>
      </c>
      <c r="AK127" s="206">
        <v>2573.7919999999999</v>
      </c>
      <c r="AL127" s="206" t="e">
        <f>VLOOKUP(Tabla3[[#This Row],[Grado 17-18]],[2]Cuotas!$H:$L,4,0)</f>
        <v>#N/A</v>
      </c>
      <c r="AM127" s="251">
        <v>0.6</v>
      </c>
      <c r="AN127" s="252"/>
      <c r="AO127" s="206" t="e">
        <f>Tabla3[[#This Row],[Monto Colegiatura ]]*Tabla3[[#This Row],[% AutorizadoBeca Colegiatura 17-18]]</f>
        <v>#N/A</v>
      </c>
      <c r="AP127" s="219"/>
      <c r="AQ127" s="206" t="e">
        <f>Tabla3[[#This Row],[Monto Colegiatura ]]*Tabla3[[#This Row],[% Beca Prestacion 17-18]]</f>
        <v>#N/A</v>
      </c>
      <c r="AR127" s="219"/>
      <c r="AS127" s="206" t="e">
        <f>Tabla3[[#This Row],[Canasta]]*Tabla3[[#This Row],[% Beca Canasta 17-18]]</f>
        <v>#N/A</v>
      </c>
      <c r="AT127" s="219"/>
      <c r="AU127" s="253">
        <v>0</v>
      </c>
      <c r="AV127" s="206" t="e">
        <f>Tabla3[[#This Row],[Cantidad Beca Comunidad Colegiatura 17-18]]*25%</f>
        <v>#N/A</v>
      </c>
      <c r="AW127" s="218"/>
      <c r="AX127" s="254"/>
      <c r="AY127" s="206" t="e">
        <f>Tabla3[[#This Row],[Monto Colegiatura ]]*Tabla3[[#This Row],[% Beca UNAM 17-18]]</f>
        <v>#N/A</v>
      </c>
      <c r="AZ127" s="218"/>
      <c r="BA127" s="224">
        <f>3200*Tabla3[[#This Row],[% Beca Reinscripciones UNAM 17-18]]</f>
        <v>0</v>
      </c>
      <c r="BB127" s="218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27" s="217">
        <v>0.35</v>
      </c>
      <c r="BD127" s="218" t="e">
        <f>Tabla3[[#This Row],[Monto Colegiatura ]]*Tabla3[[#This Row],[% Beca Comunidad 17-18]]</f>
        <v>#N/A</v>
      </c>
      <c r="BE127" s="218" t="e">
        <f>Tabla3[[#This Row],[Cantidad Beca Comunidad Colegiatura 17-18]]*75%</f>
        <v>#N/A</v>
      </c>
      <c r="BF127" s="219"/>
      <c r="BG127" s="218">
        <f>Tabla3[[#This Row],[Reinscripción]]*Tabla3[[#This Row],[% Beca Reinscripciones Comunidad 18-19]]</f>
        <v>0</v>
      </c>
      <c r="BH127" s="218">
        <f>Tabla3[[#This Row],[Cantidad Beca Reinscripciones Comunidad 18-19]]*70%</f>
        <v>0</v>
      </c>
      <c r="BI127" s="224" t="e">
        <f>Tabla3[[#This Row],[75% Cantidad Beca Comunidad Colegiatura 17-18]]+Tabla3[[#This Row],[70% Cantidad Beca Reinscripciones 18-19]]</f>
        <v>#N/A</v>
      </c>
      <c r="BJ127" s="214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27" s="20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27" s="218"/>
      <c r="BM127" s="225" t="s">
        <v>806</v>
      </c>
      <c r="BN127" s="221"/>
      <c r="BO127" s="107"/>
      <c r="BP127" s="107">
        <f>Tabla3[[#This Row],[% AutorizadoBeca Colegiatura 17-18]]+Tabla3[[#This Row],[% Beca Prestacion 17-18]]+Tabla3[[#This Row],[% Beca UNAM 17-18]]</f>
        <v>0</v>
      </c>
      <c r="BQ127" s="108">
        <f t="shared" si="3"/>
        <v>0</v>
      </c>
      <c r="BR127" s="107">
        <f>Tabla3[[#This Row],[% Beca Comunidad 17-18]]</f>
        <v>0.35</v>
      </c>
      <c r="BS127" s="108">
        <f t="shared" si="4"/>
        <v>401.45</v>
      </c>
      <c r="BT127" s="108">
        <f t="shared" si="5"/>
        <v>100.3625</v>
      </c>
      <c r="BU127" s="108">
        <f>Tabla3[[#This Row],[Monto3]]*75%</f>
        <v>301.08749999999998</v>
      </c>
      <c r="BV127" s="1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27" s="107" t="e">
        <f>VLOOKUP(Tabla3[[#This Row],[Nombre del Alumno]],'[3]BECAS COLEGIATURAS'!$I:$N,6,0)</f>
        <v>#N/A</v>
      </c>
      <c r="BX127" s="107" t="e">
        <f>VLOOKUP(Tabla3[[#This Row],[Nombre del Alumno]],[1]!Tabla1[[NOMBRE DEL ALUMNO]:[MATRIZ]],6,0)</f>
        <v>#REF!</v>
      </c>
      <c r="BY127" s="107" t="e">
        <f>VLOOKUP(Tabla3[[#This Row],[Nombre del Alumno]],'[3]BECAS COLEGIATURAS'!$I:$L,4,0)</f>
        <v>#N/A</v>
      </c>
      <c r="BZ127" s="108" t="e">
        <f>VLOOKUP(Tabla3[[#This Row],[Grado 18-19]],[2]Cuotas!$Q:$U,2,0)</f>
        <v>#N/A</v>
      </c>
      <c r="CA127" s="108" t="e">
        <f>VLOOKUP(Tabla3[[#This Row],[Grado 18-19]],[2]Cuotas!$Q:$U,3,0)</f>
        <v>#N/A</v>
      </c>
      <c r="CB127" s="108" t="e">
        <f>VLOOKUP(Tabla3[[#This Row],[Grado 18-19]],[2]Cuotas!$Q:$U,4,0)</f>
        <v>#N/A</v>
      </c>
      <c r="CC127" s="107">
        <v>60</v>
      </c>
      <c r="CD127" s="222">
        <v>0.25</v>
      </c>
      <c r="CE127" s="218" t="e">
        <f>Tabla3[[#This Row],[Monto Colegiatura 2018-2019]]*Tabla3[[#This Row],[% AutorizadoBeca Colegiatura 18-19]]</f>
        <v>#N/A</v>
      </c>
      <c r="CF127" s="223"/>
      <c r="CG127" s="218" t="e">
        <f>Tabla3[[#This Row],[Monto Colegiatura 2018-2019]]*Tabla3[[#This Row],[% Beca Prestacion 18-19]]</f>
        <v>#N/A</v>
      </c>
      <c r="CH127" s="223"/>
      <c r="CI127" s="218" t="e">
        <f>Tabla3[[#This Row],[Canasta 2018-2019]]*Tabla3[[#This Row],[% Beca Canasta 18-19]]</f>
        <v>#N/A</v>
      </c>
      <c r="CJ127" s="223"/>
      <c r="CK127" s="218" t="e">
        <f>Tabla3[[#This Row],[Reinscripción 2019-2020]]*Tabla3[[#This Row],[% Beca Reinscripciones 19-20]]</f>
        <v>#N/A</v>
      </c>
      <c r="CL127" s="218" t="e">
        <f>Tabla3[[#This Row],[Cantidad Beca Comunidad Colegiatura 18-19]]*25%</f>
        <v>#N/A</v>
      </c>
      <c r="CM127" s="224" t="e">
        <f>Tabla3[[#This Row],[Cantidad Beca Reinscripciones Comunidad 19-20]]*25%</f>
        <v>#N/A</v>
      </c>
      <c r="CN127" s="222"/>
      <c r="CO127" s="218" t="e">
        <f>Tabla3[[#This Row],[Monto Colegiatura 2018-2019]]*Tabla3[[#This Row],[% Beca UNAM 18-19]]</f>
        <v>#N/A</v>
      </c>
      <c r="CP127" s="225"/>
      <c r="CQ127" s="224">
        <f>3328*Tabla3[[#This Row],[% Beca Reinscripciones UNAM 18-19]]</f>
        <v>0</v>
      </c>
      <c r="CR127" s="226" t="e">
        <f>Tabla3[[#This Row],[Cantidad Beca Colegiatura 18-19]]+Tabla3[[#This Row],[Cantidad Beca Canasta 18-19]]+Tabla3[[#This Row],[Cantidad Beca Reinscripciones 19-20]]</f>
        <v>#N/A</v>
      </c>
      <c r="CS127" s="222">
        <v>0.5</v>
      </c>
      <c r="CT127" s="218" t="e">
        <f>Tabla3[[#This Row],[Monto Colegiatura 2018-2019]]*Tabla3[[#This Row],[% Beca Comunidad 18-19]]</f>
        <v>#N/A</v>
      </c>
      <c r="CU127" s="218" t="e">
        <f>Tabla3[[#This Row],[Cantidad Beca Comunidad Colegiatura 18-19]]*75%</f>
        <v>#N/A</v>
      </c>
      <c r="CV127" s="223"/>
      <c r="CW127" s="218" t="e">
        <f>Tabla3[[#This Row],[Reinscripción 2019-2020]]*Tabla3[[#This Row],[% Beca Reinscripciones Comunidad 19-20]]</f>
        <v>#N/A</v>
      </c>
      <c r="CX127" s="218" t="e">
        <f>Tabla3[[#This Row],[Cantidad Beca Reinscripciones Comunidad 19-20]]*75%</f>
        <v>#N/A</v>
      </c>
      <c r="CY127" s="227" t="e">
        <f>Tabla3[[#This Row],[75% Cantidad Beca Comunidad Colegiatura 18-19]]+Tabla3[[#This Row],[75% Cantidad Beca Reinscripciones 19-20]]</f>
        <v>#N/A</v>
      </c>
      <c r="CZ127" s="1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27" s="1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27" s="108">
        <f>1440*(Tabla3[[#This Row],[% AutorizadoBeca Colegiatura 18-19]]+Tabla3[[#This Row],[% Beca Prestacion 18-19]]+Tabla3[[#This Row],[% Beca UNAM 18-19]]+Tabla3[[#This Row],[% Beca Comunidad 18-19]])</f>
        <v>1080</v>
      </c>
    </row>
    <row r="128" spans="2:106" s="314" customFormat="1" ht="22.5" hidden="1" x14ac:dyDescent="0.2">
      <c r="B128" s="289" t="s">
        <v>814</v>
      </c>
      <c r="C128" s="289" t="e">
        <f>VLOOKUP(Tabla3[[#This Row],[Nombre del Padre]],[1]!Tabla1[[PADRE]:[PADRE_CELULAR]],2,0)</f>
        <v>#REF!</v>
      </c>
      <c r="D128" s="289" t="e">
        <f>VLOOKUP(Tabla3[[#This Row],[Nombre del Padre]],[1]!Tabla1[[PADRE]:[PADRE_CELULAR]],3,0)</f>
        <v>#REF!</v>
      </c>
      <c r="E128" s="289" t="s">
        <v>815</v>
      </c>
      <c r="F128" s="289" t="e">
        <f>VLOOKUP(Tabla3[[#This Row],[Nombre de la Madre]],[1]!Tabla1[[MADRE]:[MADRE_TELEFONO]],2,0)</f>
        <v>#REF!</v>
      </c>
      <c r="G128" s="202" t="s">
        <v>816</v>
      </c>
      <c r="H128" s="290">
        <v>66</v>
      </c>
      <c r="I128" s="291">
        <v>2051</v>
      </c>
      <c r="J128" s="291" t="s">
        <v>817</v>
      </c>
      <c r="K128" s="291" t="s">
        <v>273</v>
      </c>
      <c r="L128" s="291" t="s">
        <v>101</v>
      </c>
      <c r="M128" s="292" t="s">
        <v>818</v>
      </c>
      <c r="N128" s="292" t="s">
        <v>338</v>
      </c>
      <c r="O128" s="293" t="e">
        <f>VLOOKUP(Tabla3[[#This Row],[Grado]],[2]Cuotas!$A:$E,2,0)</f>
        <v>#N/A</v>
      </c>
      <c r="P128" s="293" t="e">
        <f>VLOOKUP(Tabla3[[#This Row],[Grado]],[2]Cuotas!$A:$E,4,0)</f>
        <v>#N/A</v>
      </c>
      <c r="Q128" s="293" t="e">
        <f>VLOOKUP(Tabla3[[#This Row],[Grado]],[2]Cuotas!$A:$E,3,0)</f>
        <v>#N/A</v>
      </c>
      <c r="R128" s="294">
        <v>0.2</v>
      </c>
      <c r="S128" s="293" t="e">
        <f>Tabla3[[#This Row],[Monto Colegiatura]]*Tabla3[[#This Row],[% Beca Colegio 16-17]]</f>
        <v>#N/A</v>
      </c>
      <c r="T128" s="293"/>
      <c r="U128" s="293" t="e">
        <f>Tabla3[[#This Row],[Monto Colegiatura]]*Tabla3[[#This Row],[% Beca Prestación 16-17]]</f>
        <v>#N/A</v>
      </c>
      <c r="V128" s="295"/>
      <c r="W128" s="293" t="e">
        <f>Tabla3[[#This Row],[Monto Colegiatura]]*Tabla3[[#This Row],[% Beca Comunidad 16-17]]</f>
        <v>#N/A</v>
      </c>
      <c r="X128" s="293" t="e">
        <f>Tabla3[[#This Row],[Cantidad Beca Comunidad 16-17]]*25%</f>
        <v>#N/A</v>
      </c>
      <c r="Y128" s="293"/>
      <c r="Z128" s="293" t="e">
        <f>Tabla3[[#This Row],[Monto Colegiatura]]*Tabla3[[#This Row],[% Beca UNAM 16-17]]</f>
        <v>#N/A</v>
      </c>
      <c r="AA128" s="295"/>
      <c r="AB128" s="293" t="e">
        <f>Tabla3[[#This Row],[Monto Reinscripción]]*Tabla3[[#This Row],[% Beca Reinscripción 16-17]]</f>
        <v>#N/A</v>
      </c>
      <c r="AC128" s="293"/>
      <c r="AD128" s="293" t="e">
        <f>Tabla3[[#This Row],[Monto Canasta]]*Tabla3[[#This Row],[% Beca Canasta 16-17]]</f>
        <v>#N/A</v>
      </c>
      <c r="AE128" s="293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28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28" s="297" t="e">
        <f>VLOOKUP(Tabla3[[#This Row],[Nombre del Alumno]],[2]!Tabla1[[Alumno]:[Cuenta Ciclos]],2,0)</f>
        <v>#REF!</v>
      </c>
      <c r="AH128" s="298" t="s">
        <v>819</v>
      </c>
      <c r="AI128" s="298" t="s">
        <v>276</v>
      </c>
      <c r="AJ128" s="296" t="e">
        <f>VLOOKUP(Tabla3[[#This Row],[Grado 17-18]],[2]Cuotas!$H:$L,2,0)</f>
        <v>#N/A</v>
      </c>
      <c r="AK128" s="296" t="e">
        <f>VLOOKUP(Tabla3[[#This Row],[Grado 17-18]],[2]Cuotas!$H:$L,3,0)</f>
        <v>#N/A</v>
      </c>
      <c r="AL128" s="296" t="e">
        <f>VLOOKUP(Tabla3[[#This Row],[Grado 17-18]],[2]Cuotas!$H:$L,4,0)</f>
        <v>#N/A</v>
      </c>
      <c r="AM128" s="299">
        <v>0.4</v>
      </c>
      <c r="AN128" s="300">
        <v>0.2</v>
      </c>
      <c r="AO128" s="296" t="e">
        <f>Tabla3[[#This Row],[Monto Colegiatura ]]*Tabla3[[#This Row],[% AutorizadoBeca Colegiatura 17-18]]</f>
        <v>#N/A</v>
      </c>
      <c r="AP128" s="295"/>
      <c r="AQ128" s="296" t="e">
        <f>Tabla3[[#This Row],[Monto Colegiatura ]]*Tabla3[[#This Row],[% Beca Prestacion 17-18]]</f>
        <v>#N/A</v>
      </c>
      <c r="AR128" s="295"/>
      <c r="AS128" s="296" t="e">
        <f>Tabla3[[#This Row],[Canasta]]*Tabla3[[#This Row],[% Beca Canasta 17-18]]</f>
        <v>#N/A</v>
      </c>
      <c r="AT128" s="295"/>
      <c r="AU128" s="301">
        <v>0</v>
      </c>
      <c r="AV128" s="296" t="e">
        <f>Tabla3[[#This Row],[Cantidad Beca Comunidad Colegiatura 17-18]]*25%</f>
        <v>#N/A</v>
      </c>
      <c r="AW128" s="293"/>
      <c r="AX128" s="302"/>
      <c r="AY128" s="296" t="e">
        <f>Tabla3[[#This Row],[Monto Colegiatura ]]*Tabla3[[#This Row],[% Beca UNAM 17-18]]</f>
        <v>#N/A</v>
      </c>
      <c r="AZ128" s="293"/>
      <c r="BA128" s="303">
        <f>3200*Tabla3[[#This Row],[% Beca Reinscripciones UNAM 17-18]]</f>
        <v>0</v>
      </c>
      <c r="BB128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28" s="304"/>
      <c r="BD128" s="293" t="e">
        <f>Tabla3[[#This Row],[Monto Colegiatura ]]*Tabla3[[#This Row],[% Beca Comunidad 17-18]]</f>
        <v>#N/A</v>
      </c>
      <c r="BE128" s="293" t="e">
        <f>Tabla3[[#This Row],[Cantidad Beca Comunidad Colegiatura 17-18]]*75%</f>
        <v>#N/A</v>
      </c>
      <c r="BF128" s="295"/>
      <c r="BG128" s="293" t="e">
        <f>Tabla3[[#This Row],[Reinscripción]]*Tabla3[[#This Row],[% Beca Reinscripciones Comunidad 18-19]]</f>
        <v>#N/A</v>
      </c>
      <c r="BH128" s="293" t="e">
        <f>Tabla3[[#This Row],[Cantidad Beca Reinscripciones Comunidad 18-19]]*70%</f>
        <v>#N/A</v>
      </c>
      <c r="BI128" s="303" t="e">
        <f>Tabla3[[#This Row],[75% Cantidad Beca Comunidad Colegiatura 17-18]]+Tabla3[[#This Row],[70% Cantidad Beca Reinscripciones 18-19]]</f>
        <v>#N/A</v>
      </c>
      <c r="BJ128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28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28" s="293"/>
      <c r="BM128" s="291"/>
      <c r="BN128" s="306"/>
      <c r="BO128" s="307"/>
      <c r="BP128" s="307">
        <f>Tabla3[[#This Row],[% AutorizadoBeca Colegiatura 17-18]]+Tabla3[[#This Row],[% Beca Prestacion 17-18]]+Tabla3[[#This Row],[% Beca UNAM 17-18]]</f>
        <v>0.2</v>
      </c>
      <c r="BQ128" s="308">
        <f t="shared" si="3"/>
        <v>229.4</v>
      </c>
      <c r="BR128" s="307">
        <f>Tabla3[[#This Row],[% Beca Comunidad 17-18]]</f>
        <v>0</v>
      </c>
      <c r="BS128" s="308">
        <f t="shared" si="4"/>
        <v>0</v>
      </c>
      <c r="BT128" s="308">
        <f t="shared" si="5"/>
        <v>0</v>
      </c>
      <c r="BU128" s="308">
        <f>Tabla3[[#This Row],[Monto3]]*75%</f>
        <v>0</v>
      </c>
      <c r="BV128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28" s="307" t="s">
        <v>716</v>
      </c>
      <c r="BX128" s="307" t="e">
        <f>VLOOKUP(Tabla3[[#This Row],[Nombre del Alumno]],[1]!Tabla1[[NOMBRE DEL ALUMNO]:[MATRIZ]],6,0)</f>
        <v>#REF!</v>
      </c>
      <c r="BY128" s="307"/>
      <c r="BZ128" s="308"/>
      <c r="CA128" s="308"/>
      <c r="CB128" s="308"/>
      <c r="CC128" s="289"/>
      <c r="CD128" s="309"/>
      <c r="CE128" s="293">
        <f>Tabla3[[#This Row],[Monto Colegiatura 2018-2019]]*Tabla3[[#This Row],[% AutorizadoBeca Colegiatura 18-19]]</f>
        <v>0</v>
      </c>
      <c r="CF128" s="291"/>
      <c r="CG128" s="293">
        <f>Tabla3[[#This Row],[Monto Colegiatura 2018-2019]]*Tabla3[[#This Row],[% Beca Prestacion 18-19]]</f>
        <v>0</v>
      </c>
      <c r="CH128" s="310" t="e">
        <f>VLOOKUP(Tabla3[[#This Row],[Nombre del Alumno]],'[3]BECAS REINSCRIPCIONES'!$B$37:$D$40,3,0)</f>
        <v>#N/A</v>
      </c>
      <c r="CI128" s="293" t="e">
        <f>Tabla3[[#This Row],[Canasta 2018-2019]]*Tabla3[[#This Row],[% Beca Canasta 18-19]]</f>
        <v>#N/A</v>
      </c>
      <c r="CJ128" s="310" t="e">
        <f>VLOOKUP(Tabla3[[#This Row],[Nombre del Alumno]],'[3]BECAS REINSCRIPCIONES'!$B$8:$D$21,3,0)</f>
        <v>#N/A</v>
      </c>
      <c r="CK128" s="293" t="e">
        <f>Tabla3[[#This Row],[Reinscripción 2019-2020]]*Tabla3[[#This Row],[% Beca Reinscripciones 19-20]]</f>
        <v>#N/A</v>
      </c>
      <c r="CL128" s="293">
        <f>Tabla3[[#This Row],[Cantidad Beca Comunidad Colegiatura 18-19]]*25%</f>
        <v>0</v>
      </c>
      <c r="CM128" s="303">
        <f>Tabla3[[#This Row],[Cantidad Beca Reinscripciones Comunidad 19-20]]*25%</f>
        <v>0</v>
      </c>
      <c r="CN128" s="309"/>
      <c r="CO128" s="291">
        <f>Tabla3[[#This Row],[Monto Colegiatura 2018-2019]]*Tabla3[[#This Row],[% Beca UNAM 18-19]]</f>
        <v>0</v>
      </c>
      <c r="CP128" s="291"/>
      <c r="CQ128" s="303">
        <f>3328*Tabla3[[#This Row],[% Beca Reinscripciones UNAM 18-19]]</f>
        <v>0</v>
      </c>
      <c r="CR128" s="311" t="e">
        <f>Tabla3[[#This Row],[Cantidad Beca Colegiatura 18-19]]+Tabla3[[#This Row],[Cantidad Beca Canasta 18-19]]+Tabla3[[#This Row],[Cantidad Beca Reinscripciones 19-20]]</f>
        <v>#N/A</v>
      </c>
      <c r="CS128" s="309"/>
      <c r="CT128" s="291">
        <f>Tabla3[[#This Row],[Monto Colegiatura 2018-2019]]*Tabla3[[#This Row],[% Beca Comunidad 18-19]]</f>
        <v>0</v>
      </c>
      <c r="CU128" s="293">
        <f>Tabla3[[#This Row],[Cantidad Beca Comunidad Colegiatura 18-19]]*75%</f>
        <v>0</v>
      </c>
      <c r="CV128" s="291"/>
      <c r="CW128" s="291">
        <f>Tabla3[[#This Row],[Reinscripción 2019-2020]]*Tabla3[[#This Row],[% Beca Reinscripciones Comunidad 19-20]]</f>
        <v>0</v>
      </c>
      <c r="CX128" s="293">
        <f>Tabla3[[#This Row],[Cantidad Beca Reinscripciones Comunidad 19-20]]*75%</f>
        <v>0</v>
      </c>
      <c r="CY128" s="312">
        <f>Tabla3[[#This Row],[75% Cantidad Beca Comunidad Colegiatura 18-19]]+Tabla3[[#This Row],[75% Cantidad Beca Reinscripciones 19-20]]</f>
        <v>0</v>
      </c>
      <c r="CZ128" s="3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28" s="3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28" s="313">
        <f>1440*(Tabla3[[#This Row],[% AutorizadoBeca Colegiatura 18-19]]+Tabla3[[#This Row],[% Beca Prestacion 18-19]]+Tabla3[[#This Row],[% Beca UNAM 18-19]]+Tabla3[[#This Row],[% Beca Comunidad 18-19]])</f>
        <v>0</v>
      </c>
    </row>
    <row r="129" spans="2:106" s="314" customFormat="1" hidden="1" x14ac:dyDescent="0.2">
      <c r="B129" s="289" t="s">
        <v>820</v>
      </c>
      <c r="C129" s="289" t="e">
        <f>VLOOKUP(Tabla3[[#This Row],[Nombre del Padre]],[1]!Tabla1[[PADRE]:[PADRE_CELULAR]],2,0)</f>
        <v>#REF!</v>
      </c>
      <c r="D129" s="289" t="e">
        <f>VLOOKUP(Tabla3[[#This Row],[Nombre del Padre]],[1]!Tabla1[[PADRE]:[PADRE_CELULAR]],3,0)</f>
        <v>#REF!</v>
      </c>
      <c r="E129" s="289" t="s">
        <v>821</v>
      </c>
      <c r="F129" s="289" t="e">
        <f>VLOOKUP(Tabla3[[#This Row],[Nombre de la Madre]],[1]!Tabla1[[MADRE]:[MADRE_TELEFONO]],2,0)</f>
        <v>#REF!</v>
      </c>
      <c r="G129" s="202" t="s">
        <v>822</v>
      </c>
      <c r="H129" s="315"/>
      <c r="I129" s="291">
        <v>1614</v>
      </c>
      <c r="J129" s="291" t="s">
        <v>823</v>
      </c>
      <c r="K129" s="291" t="s">
        <v>420</v>
      </c>
      <c r="L129" s="291" t="s">
        <v>824</v>
      </c>
      <c r="M129" s="292" t="s">
        <v>825</v>
      </c>
      <c r="N129" s="292" t="s">
        <v>276</v>
      </c>
      <c r="O129" s="293" t="e">
        <f>VLOOKUP(Tabla3[[#This Row],[Grado]],[2]Cuotas!$A:$E,2,0)</f>
        <v>#N/A</v>
      </c>
      <c r="P129" s="293" t="e">
        <f>VLOOKUP(Tabla3[[#This Row],[Grado]],[2]Cuotas!$A:$E,4,0)</f>
        <v>#N/A</v>
      </c>
      <c r="Q129" s="293" t="e">
        <f>VLOOKUP(Tabla3[[#This Row],[Grado]],[2]Cuotas!$A:$E,3,0)</f>
        <v>#N/A</v>
      </c>
      <c r="R129" s="294">
        <v>0.15</v>
      </c>
      <c r="S129" s="293" t="e">
        <f>Tabla3[[#This Row],[Monto Colegiatura]]*Tabla3[[#This Row],[% Beca Colegio 16-17]]</f>
        <v>#N/A</v>
      </c>
      <c r="T129" s="293"/>
      <c r="U129" s="293" t="e">
        <f>Tabla3[[#This Row],[Monto Colegiatura]]*Tabla3[[#This Row],[% Beca Prestación 16-17]]</f>
        <v>#N/A</v>
      </c>
      <c r="V129" s="295"/>
      <c r="W129" s="293" t="e">
        <f>Tabla3[[#This Row],[Monto Colegiatura]]*Tabla3[[#This Row],[% Beca Comunidad 16-17]]</f>
        <v>#N/A</v>
      </c>
      <c r="X129" s="293" t="e">
        <f>Tabla3[[#This Row],[Cantidad Beca Comunidad 16-17]]*25%</f>
        <v>#N/A</v>
      </c>
      <c r="Y129" s="293"/>
      <c r="Z129" s="293" t="e">
        <f>Tabla3[[#This Row],[Monto Colegiatura]]*Tabla3[[#This Row],[% Beca UNAM 16-17]]</f>
        <v>#N/A</v>
      </c>
      <c r="AA129" s="295"/>
      <c r="AB129" s="293" t="e">
        <f>Tabla3[[#This Row],[Monto Reinscripción]]*Tabla3[[#This Row],[% Beca Reinscripción 16-17]]</f>
        <v>#N/A</v>
      </c>
      <c r="AC129" s="293"/>
      <c r="AD129" s="293" t="e">
        <f>Tabla3[[#This Row],[Monto Canasta]]*Tabla3[[#This Row],[% Beca Canasta 16-17]]</f>
        <v>#N/A</v>
      </c>
      <c r="AE129" s="293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29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29" s="297" t="e">
        <f>VLOOKUP(Tabla3[[#This Row],[Nombre del Alumno]],[2]!Tabla1[[Alumno]:[Cuenta Ciclos]],2,0)</f>
        <v>#REF!</v>
      </c>
      <c r="AH129" s="298" t="s">
        <v>826</v>
      </c>
      <c r="AI129" s="298" t="s">
        <v>278</v>
      </c>
      <c r="AJ129" s="296" t="e">
        <f>VLOOKUP(Tabla3[[#This Row],[Grado 17-18]],[2]Cuotas!$H:$L,2,0)</f>
        <v>#N/A</v>
      </c>
      <c r="AK129" s="296" t="e">
        <f>VLOOKUP(Tabla3[[#This Row],[Grado 17-18]],[2]Cuotas!$H:$L,3,0)</f>
        <v>#N/A</v>
      </c>
      <c r="AL129" s="296" t="e">
        <f>VLOOKUP(Tabla3[[#This Row],[Grado 17-18]],[2]Cuotas!$H:$L,4,0)</f>
        <v>#N/A</v>
      </c>
      <c r="AM129" s="299">
        <v>0.2</v>
      </c>
      <c r="AN129" s="300">
        <v>0.15</v>
      </c>
      <c r="AO129" s="296" t="e">
        <f>Tabla3[[#This Row],[Monto Colegiatura ]]*Tabla3[[#This Row],[% AutorizadoBeca Colegiatura 17-18]]</f>
        <v>#N/A</v>
      </c>
      <c r="AP129" s="295"/>
      <c r="AQ129" s="296" t="e">
        <f>Tabla3[[#This Row],[Monto Colegiatura ]]*Tabla3[[#This Row],[% Beca Prestacion 17-18]]</f>
        <v>#N/A</v>
      </c>
      <c r="AR129" s="295"/>
      <c r="AS129" s="296" t="e">
        <f>Tabla3[[#This Row],[Canasta]]*Tabla3[[#This Row],[% Beca Canasta 17-18]]</f>
        <v>#N/A</v>
      </c>
      <c r="AT129" s="295"/>
      <c r="AU129" s="301">
        <v>0</v>
      </c>
      <c r="AV129" s="296" t="e">
        <f>Tabla3[[#This Row],[Cantidad Beca Comunidad Colegiatura 17-18]]*25%</f>
        <v>#N/A</v>
      </c>
      <c r="AW129" s="293"/>
      <c r="AX129" s="302"/>
      <c r="AY129" s="296" t="e">
        <f>Tabla3[[#This Row],[Monto Colegiatura ]]*Tabla3[[#This Row],[% Beca UNAM 17-18]]</f>
        <v>#N/A</v>
      </c>
      <c r="AZ129" s="293"/>
      <c r="BA129" s="303">
        <f>3200*Tabla3[[#This Row],[% Beca Reinscripciones UNAM 17-18]]</f>
        <v>0</v>
      </c>
      <c r="BB129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29" s="304"/>
      <c r="BD129" s="293" t="e">
        <f>Tabla3[[#This Row],[Monto Colegiatura ]]*Tabla3[[#This Row],[% Beca Comunidad 17-18]]</f>
        <v>#N/A</v>
      </c>
      <c r="BE129" s="293" t="e">
        <f>Tabla3[[#This Row],[Cantidad Beca Comunidad Colegiatura 17-18]]*75%</f>
        <v>#N/A</v>
      </c>
      <c r="BF129" s="295"/>
      <c r="BG129" s="293" t="e">
        <f>Tabla3[[#This Row],[Reinscripción]]*Tabla3[[#This Row],[% Beca Reinscripciones Comunidad 18-19]]</f>
        <v>#N/A</v>
      </c>
      <c r="BH129" s="293" t="e">
        <f>Tabla3[[#This Row],[Cantidad Beca Reinscripciones Comunidad 18-19]]*70%</f>
        <v>#N/A</v>
      </c>
      <c r="BI129" s="303" t="e">
        <f>Tabla3[[#This Row],[75% Cantidad Beca Comunidad Colegiatura 17-18]]+Tabla3[[#This Row],[70% Cantidad Beca Reinscripciones 18-19]]</f>
        <v>#N/A</v>
      </c>
      <c r="BJ129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29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29" s="293"/>
      <c r="BM129" s="291"/>
      <c r="BN129" s="316">
        <v>0.15</v>
      </c>
      <c r="BO129" s="307"/>
      <c r="BP129" s="307">
        <f>Tabla3[[#This Row],[% AutorizadoBeca Colegiatura 17-18]]+Tabla3[[#This Row],[% Beca Prestacion 17-18]]+Tabla3[[#This Row],[% Beca UNAM 17-18]]</f>
        <v>0.15</v>
      </c>
      <c r="BQ129" s="308">
        <f t="shared" si="3"/>
        <v>172.04999999999998</v>
      </c>
      <c r="BR129" s="307">
        <f>Tabla3[[#This Row],[% Beca Comunidad 17-18]]</f>
        <v>0</v>
      </c>
      <c r="BS129" s="308">
        <f t="shared" si="4"/>
        <v>0</v>
      </c>
      <c r="BT129" s="308">
        <f t="shared" si="5"/>
        <v>0</v>
      </c>
      <c r="BU129" s="308">
        <f>Tabla3[[#This Row],[Monto3]]*75%</f>
        <v>0</v>
      </c>
      <c r="BV129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29" s="307" t="s">
        <v>827</v>
      </c>
      <c r="BX129" s="307" t="e">
        <f>VLOOKUP(Tabla3[[#This Row],[Nombre del Alumno]],[1]!Tabla1[[NOMBRE DEL ALUMNO]:[MATRIZ]],6,0)</f>
        <v>#REF!</v>
      </c>
      <c r="BY129" s="307"/>
      <c r="BZ129" s="308"/>
      <c r="CA129" s="308"/>
      <c r="CB129" s="308"/>
      <c r="CC129" s="289"/>
      <c r="CD129" s="309"/>
      <c r="CE129" s="293">
        <f>Tabla3[[#This Row],[Monto Colegiatura 2018-2019]]*Tabla3[[#This Row],[% AutorizadoBeca Colegiatura 18-19]]</f>
        <v>0</v>
      </c>
      <c r="CF129" s="291"/>
      <c r="CG129" s="293">
        <f>Tabla3[[#This Row],[Monto Colegiatura 2018-2019]]*Tabla3[[#This Row],[% Beca Prestacion 18-19]]</f>
        <v>0</v>
      </c>
      <c r="CH129" s="310" t="e">
        <f>VLOOKUP(Tabla3[[#This Row],[Nombre del Alumno]],'[3]BECAS REINSCRIPCIONES'!$B$37:$D$40,3,0)</f>
        <v>#N/A</v>
      </c>
      <c r="CI129" s="293" t="e">
        <f>Tabla3[[#This Row],[Canasta 2018-2019]]*Tabla3[[#This Row],[% Beca Canasta 18-19]]</f>
        <v>#N/A</v>
      </c>
      <c r="CJ129" s="310" t="e">
        <f>VLOOKUP(Tabla3[[#This Row],[Nombre del Alumno]],'[3]BECAS REINSCRIPCIONES'!$B$8:$D$21,3,0)</f>
        <v>#N/A</v>
      </c>
      <c r="CK129" s="293" t="e">
        <f>Tabla3[[#This Row],[Reinscripción 2019-2020]]*Tabla3[[#This Row],[% Beca Reinscripciones 19-20]]</f>
        <v>#N/A</v>
      </c>
      <c r="CL129" s="293">
        <f>Tabla3[[#This Row],[Cantidad Beca Comunidad Colegiatura 18-19]]*25%</f>
        <v>0</v>
      </c>
      <c r="CM129" s="303">
        <f>Tabla3[[#This Row],[Cantidad Beca Reinscripciones Comunidad 19-20]]*25%</f>
        <v>0</v>
      </c>
      <c r="CN129" s="309"/>
      <c r="CO129" s="291">
        <f>Tabla3[[#This Row],[Monto Colegiatura 2018-2019]]*Tabla3[[#This Row],[% Beca UNAM 18-19]]</f>
        <v>0</v>
      </c>
      <c r="CP129" s="291"/>
      <c r="CQ129" s="303">
        <f>3328*Tabla3[[#This Row],[% Beca Reinscripciones UNAM 18-19]]</f>
        <v>0</v>
      </c>
      <c r="CR129" s="311" t="e">
        <f>Tabla3[[#This Row],[Cantidad Beca Colegiatura 18-19]]+Tabla3[[#This Row],[Cantidad Beca Canasta 18-19]]+Tabla3[[#This Row],[Cantidad Beca Reinscripciones 19-20]]</f>
        <v>#N/A</v>
      </c>
      <c r="CS129" s="309"/>
      <c r="CT129" s="291">
        <f>Tabla3[[#This Row],[Monto Colegiatura 2018-2019]]*Tabla3[[#This Row],[% Beca Comunidad 18-19]]</f>
        <v>0</v>
      </c>
      <c r="CU129" s="293">
        <f>Tabla3[[#This Row],[Cantidad Beca Comunidad Colegiatura 18-19]]*75%</f>
        <v>0</v>
      </c>
      <c r="CV129" s="291"/>
      <c r="CW129" s="291">
        <f>Tabla3[[#This Row],[Reinscripción 2019-2020]]*Tabla3[[#This Row],[% Beca Reinscripciones Comunidad 19-20]]</f>
        <v>0</v>
      </c>
      <c r="CX129" s="293">
        <f>Tabla3[[#This Row],[Cantidad Beca Reinscripciones Comunidad 19-20]]*75%</f>
        <v>0</v>
      </c>
      <c r="CY129" s="312">
        <f>Tabla3[[#This Row],[75% Cantidad Beca Comunidad Colegiatura 18-19]]+Tabla3[[#This Row],[75% Cantidad Beca Reinscripciones 19-20]]</f>
        <v>0</v>
      </c>
      <c r="CZ129" s="3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29" s="3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29" s="313">
        <f>1440*(Tabla3[[#This Row],[% AutorizadoBeca Colegiatura 18-19]]+Tabla3[[#This Row],[% Beca Prestacion 18-19]]+Tabla3[[#This Row],[% Beca UNAM 18-19]]+Tabla3[[#This Row],[% Beca Comunidad 18-19]])</f>
        <v>0</v>
      </c>
    </row>
    <row r="130" spans="2:106" s="314" customFormat="1" ht="22.5" hidden="1" x14ac:dyDescent="0.2">
      <c r="B130" s="289" t="s">
        <v>828</v>
      </c>
      <c r="C130" s="289" t="e">
        <f>VLOOKUP(Tabla3[[#This Row],[Nombre del Padre]],[1]!Tabla1[[PADRE]:[PADRE_CELULAR]],2,0)</f>
        <v>#REF!</v>
      </c>
      <c r="D130" s="289" t="e">
        <f>VLOOKUP(Tabla3[[#This Row],[Nombre del Padre]],[1]!Tabla1[[PADRE]:[PADRE_CELULAR]],3,0)</f>
        <v>#REF!</v>
      </c>
      <c r="E130" s="289" t="s">
        <v>829</v>
      </c>
      <c r="F130" s="289" t="e">
        <f>VLOOKUP(Tabla3[[#This Row],[Nombre de la Madre]],[1]!Tabla1[[MADRE]:[MADRE_TELEFONO]],2,0)</f>
        <v>#REF!</v>
      </c>
      <c r="G130" s="202" t="s">
        <v>830</v>
      </c>
      <c r="H130" s="315">
        <v>23</v>
      </c>
      <c r="I130" s="291">
        <v>1526</v>
      </c>
      <c r="J130" s="291" t="s">
        <v>831</v>
      </c>
      <c r="K130" s="291" t="s">
        <v>420</v>
      </c>
      <c r="L130" s="291" t="s">
        <v>832</v>
      </c>
      <c r="M130" s="292" t="s">
        <v>576</v>
      </c>
      <c r="N130" s="292" t="s">
        <v>278</v>
      </c>
      <c r="O130" s="293" t="e">
        <f>VLOOKUP(Tabla3[[#This Row],[Grado]],[2]Cuotas!$A:$E,2,0)</f>
        <v>#N/A</v>
      </c>
      <c r="P130" s="293" t="e">
        <f>VLOOKUP(Tabla3[[#This Row],[Grado]],[2]Cuotas!$A:$E,4,0)</f>
        <v>#N/A</v>
      </c>
      <c r="Q130" s="293" t="e">
        <f>VLOOKUP(Tabla3[[#This Row],[Grado]],[2]Cuotas!$A:$E,3,0)</f>
        <v>#N/A</v>
      </c>
      <c r="R130" s="294">
        <v>0.5</v>
      </c>
      <c r="S130" s="293" t="e">
        <f>Tabla3[[#This Row],[Monto Colegiatura]]*Tabla3[[#This Row],[% Beca Colegio 16-17]]</f>
        <v>#N/A</v>
      </c>
      <c r="T130" s="293"/>
      <c r="U130" s="293" t="e">
        <f>Tabla3[[#This Row],[Monto Colegiatura]]*Tabla3[[#This Row],[% Beca Prestación 16-17]]</f>
        <v>#N/A</v>
      </c>
      <c r="V130" s="295"/>
      <c r="W130" s="293" t="e">
        <f>Tabla3[[#This Row],[Monto Colegiatura]]*Tabla3[[#This Row],[% Beca Comunidad 16-17]]</f>
        <v>#N/A</v>
      </c>
      <c r="X130" s="293" t="e">
        <f>Tabla3[[#This Row],[Cantidad Beca Comunidad 16-17]]*25%</f>
        <v>#N/A</v>
      </c>
      <c r="Y130" s="293"/>
      <c r="Z130" s="293" t="e">
        <f>Tabla3[[#This Row],[Monto Colegiatura]]*Tabla3[[#This Row],[% Beca UNAM 16-17]]</f>
        <v>#N/A</v>
      </c>
      <c r="AA130" s="295"/>
      <c r="AB130" s="293" t="e">
        <f>Tabla3[[#This Row],[Monto Reinscripción]]*Tabla3[[#This Row],[% Beca Reinscripción 16-17]]</f>
        <v>#N/A</v>
      </c>
      <c r="AC130" s="293"/>
      <c r="AD130" s="293" t="e">
        <f>Tabla3[[#This Row],[Monto Canasta]]*Tabla3[[#This Row],[% Beca Canasta 16-17]]</f>
        <v>#N/A</v>
      </c>
      <c r="AE130" s="293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30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30" s="297" t="e">
        <f>VLOOKUP(Tabla3[[#This Row],[Nombre del Alumno]],[2]!Tabla1[[Alumno]:[Cuenta Ciclos]],2,0)</f>
        <v>#REF!</v>
      </c>
      <c r="AH130" s="298" t="s">
        <v>833</v>
      </c>
      <c r="AI130" s="298" t="s">
        <v>291</v>
      </c>
      <c r="AJ130" s="296" t="e">
        <f>VLOOKUP(Tabla3[[#This Row],[Grado 17-18]],[2]Cuotas!$H:$L,2,0)</f>
        <v>#N/A</v>
      </c>
      <c r="AK130" s="296" t="e">
        <f>VLOOKUP(Tabla3[[#This Row],[Grado 17-18]],[2]Cuotas!$H:$L,3,0)</f>
        <v>#N/A</v>
      </c>
      <c r="AL130" s="296" t="e">
        <f>VLOOKUP(Tabla3[[#This Row],[Grado 17-18]],[2]Cuotas!$H:$L,4,0)</f>
        <v>#N/A</v>
      </c>
      <c r="AM130" s="299">
        <v>0.8</v>
      </c>
      <c r="AN130" s="300">
        <v>0.5</v>
      </c>
      <c r="AO130" s="296" t="e">
        <f>Tabla3[[#This Row],[Monto Colegiatura ]]*Tabla3[[#This Row],[% AutorizadoBeca Colegiatura 17-18]]</f>
        <v>#N/A</v>
      </c>
      <c r="AP130" s="295"/>
      <c r="AQ130" s="296" t="e">
        <f>Tabla3[[#This Row],[Monto Colegiatura ]]*Tabla3[[#This Row],[% Beca Prestacion 17-18]]</f>
        <v>#N/A</v>
      </c>
      <c r="AR130" s="295"/>
      <c r="AS130" s="296" t="e">
        <f>Tabla3[[#This Row],[Canasta]]*Tabla3[[#This Row],[% Beca Canasta 17-18]]</f>
        <v>#N/A</v>
      </c>
      <c r="AT130" s="295"/>
      <c r="AU130" s="301">
        <v>0</v>
      </c>
      <c r="AV130" s="296" t="e">
        <f>Tabla3[[#This Row],[Cantidad Beca Comunidad Colegiatura 17-18]]*25%</f>
        <v>#N/A</v>
      </c>
      <c r="AW130" s="293"/>
      <c r="AX130" s="302"/>
      <c r="AY130" s="296" t="e">
        <f>Tabla3[[#This Row],[Monto Colegiatura ]]*Tabla3[[#This Row],[% Beca UNAM 17-18]]</f>
        <v>#N/A</v>
      </c>
      <c r="AZ130" s="293"/>
      <c r="BA130" s="303">
        <f>3200*Tabla3[[#This Row],[% Beca Reinscripciones UNAM 17-18]]</f>
        <v>0</v>
      </c>
      <c r="BB130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30" s="304"/>
      <c r="BD130" s="293" t="e">
        <f>Tabla3[[#This Row],[Monto Colegiatura ]]*Tabla3[[#This Row],[% Beca Comunidad 17-18]]</f>
        <v>#N/A</v>
      </c>
      <c r="BE130" s="293" t="e">
        <f>Tabla3[[#This Row],[Cantidad Beca Comunidad Colegiatura 17-18]]*75%</f>
        <v>#N/A</v>
      </c>
      <c r="BF130" s="295"/>
      <c r="BG130" s="293" t="e">
        <f>Tabla3[[#This Row],[Reinscripción]]*Tabla3[[#This Row],[% Beca Reinscripciones Comunidad 18-19]]</f>
        <v>#N/A</v>
      </c>
      <c r="BH130" s="293" t="e">
        <f>Tabla3[[#This Row],[Cantidad Beca Reinscripciones Comunidad 18-19]]*70%</f>
        <v>#N/A</v>
      </c>
      <c r="BI130" s="303" t="e">
        <f>Tabla3[[#This Row],[75% Cantidad Beca Comunidad Colegiatura 17-18]]+Tabla3[[#This Row],[70% Cantidad Beca Reinscripciones 18-19]]</f>
        <v>#N/A</v>
      </c>
      <c r="BJ130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30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30" s="293"/>
      <c r="BM130" s="291"/>
      <c r="BN130" s="306" t="s">
        <v>834</v>
      </c>
      <c r="BO130" s="307" t="s">
        <v>835</v>
      </c>
      <c r="BP130" s="307">
        <f>Tabla3[[#This Row],[% AutorizadoBeca Colegiatura 17-18]]+Tabla3[[#This Row],[% Beca Prestacion 17-18]]+Tabla3[[#This Row],[% Beca UNAM 17-18]]</f>
        <v>0.5</v>
      </c>
      <c r="BQ130" s="308">
        <f t="shared" si="3"/>
        <v>573.5</v>
      </c>
      <c r="BR130" s="307">
        <f>Tabla3[[#This Row],[% Beca Comunidad 17-18]]</f>
        <v>0</v>
      </c>
      <c r="BS130" s="308">
        <f t="shared" si="4"/>
        <v>0</v>
      </c>
      <c r="BT130" s="308">
        <f t="shared" si="5"/>
        <v>0</v>
      </c>
      <c r="BU130" s="308">
        <f>Tabla3[[#This Row],[Monto3]]*75%</f>
        <v>0</v>
      </c>
      <c r="BV130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30" s="307" t="s">
        <v>827</v>
      </c>
      <c r="BX130" s="307" t="e">
        <f>VLOOKUP(Tabla3[[#This Row],[Nombre del Alumno]],[1]!Tabla1[[NOMBRE DEL ALUMNO]:[MATRIZ]],6,0)</f>
        <v>#REF!</v>
      </c>
      <c r="BY130" s="307"/>
      <c r="BZ130" s="308"/>
      <c r="CA130" s="308"/>
      <c r="CB130" s="308"/>
      <c r="CC130" s="289"/>
      <c r="CD130" s="309"/>
      <c r="CE130" s="293">
        <f>Tabla3[[#This Row],[Monto Colegiatura 2018-2019]]*Tabla3[[#This Row],[% AutorizadoBeca Colegiatura 18-19]]</f>
        <v>0</v>
      </c>
      <c r="CF130" s="291"/>
      <c r="CG130" s="293">
        <f>Tabla3[[#This Row],[Monto Colegiatura 2018-2019]]*Tabla3[[#This Row],[% Beca Prestacion 18-19]]</f>
        <v>0</v>
      </c>
      <c r="CH130" s="310" t="e">
        <f>VLOOKUP(Tabla3[[#This Row],[Nombre del Alumno]],'[3]BECAS REINSCRIPCIONES'!$B$37:$D$40,3,0)</f>
        <v>#N/A</v>
      </c>
      <c r="CI130" s="293" t="e">
        <f>Tabla3[[#This Row],[Canasta 2018-2019]]*Tabla3[[#This Row],[% Beca Canasta 18-19]]</f>
        <v>#N/A</v>
      </c>
      <c r="CJ130" s="310" t="e">
        <f>VLOOKUP(Tabla3[[#This Row],[Nombre del Alumno]],'[3]BECAS REINSCRIPCIONES'!$B$8:$D$21,3,0)</f>
        <v>#N/A</v>
      </c>
      <c r="CK130" s="293" t="e">
        <f>Tabla3[[#This Row],[Reinscripción 2019-2020]]*Tabla3[[#This Row],[% Beca Reinscripciones 19-20]]</f>
        <v>#N/A</v>
      </c>
      <c r="CL130" s="293">
        <f>Tabla3[[#This Row],[Cantidad Beca Comunidad Colegiatura 18-19]]*25%</f>
        <v>0</v>
      </c>
      <c r="CM130" s="303">
        <f>Tabla3[[#This Row],[Cantidad Beca Reinscripciones Comunidad 19-20]]*25%</f>
        <v>0</v>
      </c>
      <c r="CN130" s="309"/>
      <c r="CO130" s="291">
        <f>Tabla3[[#This Row],[Monto Colegiatura 2018-2019]]*Tabla3[[#This Row],[% Beca UNAM 18-19]]</f>
        <v>0</v>
      </c>
      <c r="CP130" s="291"/>
      <c r="CQ130" s="303">
        <f>3328*Tabla3[[#This Row],[% Beca Reinscripciones UNAM 18-19]]</f>
        <v>0</v>
      </c>
      <c r="CR130" s="311" t="e">
        <f>Tabla3[[#This Row],[Cantidad Beca Colegiatura 18-19]]+Tabla3[[#This Row],[Cantidad Beca Canasta 18-19]]+Tabla3[[#This Row],[Cantidad Beca Reinscripciones 19-20]]</f>
        <v>#N/A</v>
      </c>
      <c r="CS130" s="309"/>
      <c r="CT130" s="291">
        <f>Tabla3[[#This Row],[Monto Colegiatura 2018-2019]]*Tabla3[[#This Row],[% Beca Comunidad 18-19]]</f>
        <v>0</v>
      </c>
      <c r="CU130" s="293">
        <f>Tabla3[[#This Row],[Cantidad Beca Comunidad Colegiatura 18-19]]*75%</f>
        <v>0</v>
      </c>
      <c r="CV130" s="291"/>
      <c r="CW130" s="291">
        <f>Tabla3[[#This Row],[Reinscripción 2019-2020]]*Tabla3[[#This Row],[% Beca Reinscripciones Comunidad 19-20]]</f>
        <v>0</v>
      </c>
      <c r="CX130" s="293">
        <f>Tabla3[[#This Row],[Cantidad Beca Reinscripciones Comunidad 19-20]]*75%</f>
        <v>0</v>
      </c>
      <c r="CY130" s="312">
        <f>Tabla3[[#This Row],[75% Cantidad Beca Comunidad Colegiatura 18-19]]+Tabla3[[#This Row],[75% Cantidad Beca Reinscripciones 19-20]]</f>
        <v>0</v>
      </c>
      <c r="CZ130" s="3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30" s="3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30" s="313">
        <f>1440*(Tabla3[[#This Row],[% AutorizadoBeca Colegiatura 18-19]]+Tabla3[[#This Row],[% Beca Prestacion 18-19]]+Tabla3[[#This Row],[% Beca UNAM 18-19]]+Tabla3[[#This Row],[% Beca Comunidad 18-19]])</f>
        <v>0</v>
      </c>
    </row>
    <row r="131" spans="2:106" s="314" customFormat="1" ht="27" hidden="1" customHeight="1" x14ac:dyDescent="0.2">
      <c r="B131" s="289" t="s">
        <v>836</v>
      </c>
      <c r="C131" s="289" t="e">
        <f>VLOOKUP(Tabla3[[#This Row],[Nombre del Padre]],[1]!Tabla1[[PADRE]:[PADRE_CELULAR]],2,0)</f>
        <v>#REF!</v>
      </c>
      <c r="D131" s="289" t="e">
        <f>VLOOKUP(Tabla3[[#This Row],[Nombre del Padre]],[1]!Tabla1[[PADRE]:[PADRE_CELULAR]],3,0)</f>
        <v>#REF!</v>
      </c>
      <c r="E131" s="289" t="s">
        <v>837</v>
      </c>
      <c r="F131" s="289" t="e">
        <f>VLOOKUP(Tabla3[[#This Row],[Nombre de la Madre]],[1]!Tabla1[[MADRE]:[MADRE_TELEFONO]],2,0)</f>
        <v>#REF!</v>
      </c>
      <c r="G131" s="202" t="s">
        <v>838</v>
      </c>
      <c r="H131" s="315">
        <v>25</v>
      </c>
      <c r="I131" s="291">
        <v>2108</v>
      </c>
      <c r="J131" s="291" t="s">
        <v>839</v>
      </c>
      <c r="K131" s="291" t="s">
        <v>637</v>
      </c>
      <c r="L131" s="291" t="s">
        <v>840</v>
      </c>
      <c r="M131" s="292" t="s">
        <v>841</v>
      </c>
      <c r="N131" s="292" t="s">
        <v>282</v>
      </c>
      <c r="O131" s="293" t="e">
        <f>VLOOKUP(Tabla3[[#This Row],[Grado]],[2]Cuotas!$A:$E,2,0)</f>
        <v>#N/A</v>
      </c>
      <c r="P131" s="293" t="e">
        <f>VLOOKUP(Tabla3[[#This Row],[Grado]],[2]Cuotas!$A:$E,4,0)</f>
        <v>#N/A</v>
      </c>
      <c r="Q131" s="293" t="e">
        <f>VLOOKUP(Tabla3[[#This Row],[Grado]],[2]Cuotas!$A:$E,3,0)</f>
        <v>#N/A</v>
      </c>
      <c r="R131" s="294">
        <v>0.35</v>
      </c>
      <c r="S131" s="293" t="e">
        <f>Tabla3[[#This Row],[Monto Colegiatura]]*Tabla3[[#This Row],[% Beca Colegio 16-17]]</f>
        <v>#N/A</v>
      </c>
      <c r="T131" s="293"/>
      <c r="U131" s="293" t="e">
        <f>Tabla3[[#This Row],[Monto Colegiatura]]*Tabla3[[#This Row],[% Beca Prestación 16-17]]</f>
        <v>#N/A</v>
      </c>
      <c r="V131" s="295"/>
      <c r="W131" s="293" t="e">
        <f>Tabla3[[#This Row],[Monto Colegiatura]]*Tabla3[[#This Row],[% Beca Comunidad 16-17]]</f>
        <v>#N/A</v>
      </c>
      <c r="X131" s="293" t="e">
        <f>Tabla3[[#This Row],[Cantidad Beca Comunidad 16-17]]*25%</f>
        <v>#N/A</v>
      </c>
      <c r="Y131" s="293"/>
      <c r="Z131" s="293" t="e">
        <f>Tabla3[[#This Row],[Monto Colegiatura]]*Tabla3[[#This Row],[% Beca UNAM 16-17]]</f>
        <v>#N/A</v>
      </c>
      <c r="AA131" s="295"/>
      <c r="AB131" s="293" t="e">
        <f>Tabla3[[#This Row],[Monto Reinscripción]]*Tabla3[[#This Row],[% Beca Reinscripción 16-17]]</f>
        <v>#N/A</v>
      </c>
      <c r="AC131" s="293"/>
      <c r="AD131" s="293" t="e">
        <f>Tabla3[[#This Row],[Monto Canasta]]*Tabla3[[#This Row],[% Beca Canasta 16-17]]</f>
        <v>#N/A</v>
      </c>
      <c r="AE131" s="293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31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31" s="297" t="e">
        <f>VLOOKUP(Tabla3[[#This Row],[Nombre del Alumno]],[2]!Tabla1[[Alumno]:[Cuenta Ciclos]],2,0)</f>
        <v>#REF!</v>
      </c>
      <c r="AH131" s="298" t="s">
        <v>842</v>
      </c>
      <c r="AI131" s="298" t="s">
        <v>284</v>
      </c>
      <c r="AJ131" s="296" t="e">
        <f>VLOOKUP(Tabla3[[#This Row],[Grado 17-18]],[2]Cuotas!$H:$L,2,0)</f>
        <v>#N/A</v>
      </c>
      <c r="AK131" s="296">
        <v>2573.7919999999999</v>
      </c>
      <c r="AL131" s="296" t="e">
        <f>VLOOKUP(Tabla3[[#This Row],[Grado 17-18]],[2]Cuotas!$H:$L,4,0)</f>
        <v>#N/A</v>
      </c>
      <c r="AM131" s="299">
        <v>0.3</v>
      </c>
      <c r="AN131" s="300">
        <v>0.3</v>
      </c>
      <c r="AO131" s="296" t="e">
        <f>Tabla3[[#This Row],[Monto Colegiatura ]]*Tabla3[[#This Row],[% AutorizadoBeca Colegiatura 17-18]]</f>
        <v>#N/A</v>
      </c>
      <c r="AP131" s="295"/>
      <c r="AQ131" s="296" t="e">
        <f>Tabla3[[#This Row],[Monto Colegiatura ]]*Tabla3[[#This Row],[% Beca Prestacion 17-18]]</f>
        <v>#N/A</v>
      </c>
      <c r="AR131" s="295"/>
      <c r="AS131" s="296" t="e">
        <f>Tabla3[[#This Row],[Canasta]]*Tabla3[[#This Row],[% Beca Canasta 17-18]]</f>
        <v>#N/A</v>
      </c>
      <c r="AT131" s="295"/>
      <c r="AU131" s="301">
        <v>0</v>
      </c>
      <c r="AV131" s="296" t="e">
        <f>Tabla3[[#This Row],[Cantidad Beca Comunidad Colegiatura 17-18]]*25%</f>
        <v>#N/A</v>
      </c>
      <c r="AW131" s="293"/>
      <c r="AX131" s="302"/>
      <c r="AY131" s="296" t="e">
        <f>Tabla3[[#This Row],[Monto Colegiatura ]]*Tabla3[[#This Row],[% Beca UNAM 17-18]]</f>
        <v>#N/A</v>
      </c>
      <c r="AZ131" s="293"/>
      <c r="BA131" s="303">
        <f>3200*Tabla3[[#This Row],[% Beca Reinscripciones UNAM 17-18]]</f>
        <v>0</v>
      </c>
      <c r="BB131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31" s="304"/>
      <c r="BD131" s="293" t="e">
        <f>Tabla3[[#This Row],[Monto Colegiatura ]]*Tabla3[[#This Row],[% Beca Comunidad 17-18]]</f>
        <v>#N/A</v>
      </c>
      <c r="BE131" s="293" t="e">
        <f>Tabla3[[#This Row],[Cantidad Beca Comunidad Colegiatura 17-18]]*75%</f>
        <v>#N/A</v>
      </c>
      <c r="BF131" s="295"/>
      <c r="BG131" s="293">
        <f>Tabla3[[#This Row],[Reinscripción]]*Tabla3[[#This Row],[% Beca Reinscripciones Comunidad 18-19]]</f>
        <v>0</v>
      </c>
      <c r="BH131" s="293">
        <f>Tabla3[[#This Row],[Cantidad Beca Reinscripciones Comunidad 18-19]]*70%</f>
        <v>0</v>
      </c>
      <c r="BI131" s="303" t="e">
        <f>Tabla3[[#This Row],[75% Cantidad Beca Comunidad Colegiatura 17-18]]+Tabla3[[#This Row],[70% Cantidad Beca Reinscripciones 18-19]]</f>
        <v>#N/A</v>
      </c>
      <c r="BJ131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31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31" s="293"/>
      <c r="BM131" s="291"/>
      <c r="BN131" s="306" t="s">
        <v>843</v>
      </c>
      <c r="BO131" s="307"/>
      <c r="BP131" s="307">
        <f>Tabla3[[#This Row],[% AutorizadoBeca Colegiatura 17-18]]+Tabla3[[#This Row],[% Beca Prestacion 17-18]]+Tabla3[[#This Row],[% Beca UNAM 17-18]]</f>
        <v>0.3</v>
      </c>
      <c r="BQ131" s="308">
        <f t="shared" si="3"/>
        <v>344.09999999999997</v>
      </c>
      <c r="BR131" s="307">
        <f>Tabla3[[#This Row],[% Beca Comunidad 17-18]]</f>
        <v>0</v>
      </c>
      <c r="BS131" s="308">
        <f t="shared" si="4"/>
        <v>0</v>
      </c>
      <c r="BT131" s="308">
        <f t="shared" si="5"/>
        <v>0</v>
      </c>
      <c r="BU131" s="308">
        <f>Tabla3[[#This Row],[Monto3]]*75%</f>
        <v>0</v>
      </c>
      <c r="BV131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31" s="307" t="s">
        <v>827</v>
      </c>
      <c r="BX131" s="307" t="e">
        <f>VLOOKUP(Tabla3[[#This Row],[Nombre del Alumno]],[1]!Tabla1[[NOMBRE DEL ALUMNO]:[MATRIZ]],6,0)</f>
        <v>#REF!</v>
      </c>
      <c r="BY131" s="307"/>
      <c r="BZ131" s="308"/>
      <c r="CA131" s="308"/>
      <c r="CB131" s="308"/>
      <c r="CC131" s="289"/>
      <c r="CD131" s="309"/>
      <c r="CE131" s="293">
        <f>Tabla3[[#This Row],[Monto Colegiatura 2018-2019]]*Tabla3[[#This Row],[% AutorizadoBeca Colegiatura 18-19]]</f>
        <v>0</v>
      </c>
      <c r="CF131" s="291"/>
      <c r="CG131" s="293">
        <f>Tabla3[[#This Row],[Monto Colegiatura 2018-2019]]*Tabla3[[#This Row],[% Beca Prestacion 18-19]]</f>
        <v>0</v>
      </c>
      <c r="CH131" s="310" t="e">
        <f>VLOOKUP(Tabla3[[#This Row],[Nombre del Alumno]],'[3]BECAS REINSCRIPCIONES'!$B$37:$D$40,3,0)</f>
        <v>#N/A</v>
      </c>
      <c r="CI131" s="293" t="e">
        <f>Tabla3[[#This Row],[Canasta 2018-2019]]*Tabla3[[#This Row],[% Beca Canasta 18-19]]</f>
        <v>#N/A</v>
      </c>
      <c r="CJ131" s="310" t="e">
        <f>VLOOKUP(Tabla3[[#This Row],[Nombre del Alumno]],'[3]BECAS REINSCRIPCIONES'!$B$8:$D$21,3,0)</f>
        <v>#N/A</v>
      </c>
      <c r="CK131" s="293" t="e">
        <f>Tabla3[[#This Row],[Reinscripción 2019-2020]]*Tabla3[[#This Row],[% Beca Reinscripciones 19-20]]</f>
        <v>#N/A</v>
      </c>
      <c r="CL131" s="293">
        <f>Tabla3[[#This Row],[Cantidad Beca Comunidad Colegiatura 18-19]]*25%</f>
        <v>0</v>
      </c>
      <c r="CM131" s="303">
        <f>Tabla3[[#This Row],[Cantidad Beca Reinscripciones Comunidad 19-20]]*25%</f>
        <v>0</v>
      </c>
      <c r="CN131" s="309"/>
      <c r="CO131" s="291">
        <f>Tabla3[[#This Row],[Monto Colegiatura 2018-2019]]*Tabla3[[#This Row],[% Beca UNAM 18-19]]</f>
        <v>0</v>
      </c>
      <c r="CP131" s="291"/>
      <c r="CQ131" s="303">
        <f>3328*Tabla3[[#This Row],[% Beca Reinscripciones UNAM 18-19]]</f>
        <v>0</v>
      </c>
      <c r="CR131" s="311" t="e">
        <f>Tabla3[[#This Row],[Cantidad Beca Colegiatura 18-19]]+Tabla3[[#This Row],[Cantidad Beca Canasta 18-19]]+Tabla3[[#This Row],[Cantidad Beca Reinscripciones 19-20]]</f>
        <v>#N/A</v>
      </c>
      <c r="CS131" s="309"/>
      <c r="CT131" s="291">
        <f>Tabla3[[#This Row],[Monto Colegiatura 2018-2019]]*Tabla3[[#This Row],[% Beca Comunidad 18-19]]</f>
        <v>0</v>
      </c>
      <c r="CU131" s="293">
        <f>Tabla3[[#This Row],[Cantidad Beca Comunidad Colegiatura 18-19]]*75%</f>
        <v>0</v>
      </c>
      <c r="CV131" s="291"/>
      <c r="CW131" s="291">
        <f>Tabla3[[#This Row],[Reinscripción 2019-2020]]*Tabla3[[#This Row],[% Beca Reinscripciones Comunidad 19-20]]</f>
        <v>0</v>
      </c>
      <c r="CX131" s="293">
        <f>Tabla3[[#This Row],[Cantidad Beca Reinscripciones Comunidad 19-20]]*75%</f>
        <v>0</v>
      </c>
      <c r="CY131" s="312">
        <f>Tabla3[[#This Row],[75% Cantidad Beca Comunidad Colegiatura 18-19]]+Tabla3[[#This Row],[75% Cantidad Beca Reinscripciones 19-20]]</f>
        <v>0</v>
      </c>
      <c r="CZ131" s="3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31" s="3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31" s="313">
        <f>1440*(Tabla3[[#This Row],[% AutorizadoBeca Colegiatura 18-19]]+Tabla3[[#This Row],[% Beca Prestacion 18-19]]+Tabla3[[#This Row],[% Beca UNAM 18-19]]+Tabla3[[#This Row],[% Beca Comunidad 18-19]])</f>
        <v>0</v>
      </c>
    </row>
    <row r="132" spans="2:106" s="314" customFormat="1" hidden="1" x14ac:dyDescent="0.2">
      <c r="B132" s="289" t="s">
        <v>836</v>
      </c>
      <c r="C132" s="289" t="e">
        <f>VLOOKUP(Tabla3[[#This Row],[Nombre del Padre]],[1]!Tabla1[[PADRE]:[PADRE_CELULAR]],2,0)</f>
        <v>#REF!</v>
      </c>
      <c r="D132" s="289" t="e">
        <f>VLOOKUP(Tabla3[[#This Row],[Nombre del Padre]],[1]!Tabla1[[PADRE]:[PADRE_CELULAR]],3,0)</f>
        <v>#REF!</v>
      </c>
      <c r="E132" s="289" t="s">
        <v>837</v>
      </c>
      <c r="F132" s="289" t="e">
        <f>VLOOKUP(Tabla3[[#This Row],[Nombre de la Madre]],[1]!Tabla1[[MADRE]:[MADRE_TELEFONO]],2,0)</f>
        <v>#REF!</v>
      </c>
      <c r="G132" s="202" t="s">
        <v>838</v>
      </c>
      <c r="H132" s="315"/>
      <c r="I132" s="291">
        <v>2108</v>
      </c>
      <c r="J132" s="291" t="s">
        <v>839</v>
      </c>
      <c r="K132" s="291" t="s">
        <v>637</v>
      </c>
      <c r="L132" s="291" t="s">
        <v>844</v>
      </c>
      <c r="M132" s="292" t="s">
        <v>845</v>
      </c>
      <c r="N132" s="292" t="s">
        <v>330</v>
      </c>
      <c r="O132" s="293" t="e">
        <f>VLOOKUP(Tabla3[[#This Row],[Grado]],[2]Cuotas!$A:$E,2,0)</f>
        <v>#N/A</v>
      </c>
      <c r="P132" s="293" t="e">
        <f>VLOOKUP(Tabla3[[#This Row],[Grado]],[2]Cuotas!$A:$E,4,0)</f>
        <v>#N/A</v>
      </c>
      <c r="Q132" s="293" t="e">
        <f>VLOOKUP(Tabla3[[#This Row],[Grado]],[2]Cuotas!$A:$E,3,0)</f>
        <v>#N/A</v>
      </c>
      <c r="R132" s="294">
        <v>0.35</v>
      </c>
      <c r="S132" s="293" t="e">
        <f>Tabla3[[#This Row],[Monto Colegiatura]]*Tabla3[[#This Row],[% Beca Colegio 16-17]]</f>
        <v>#N/A</v>
      </c>
      <c r="T132" s="293"/>
      <c r="U132" s="293" t="e">
        <f>Tabla3[[#This Row],[Monto Colegiatura]]*Tabla3[[#This Row],[% Beca Prestación 16-17]]</f>
        <v>#N/A</v>
      </c>
      <c r="V132" s="295"/>
      <c r="W132" s="293" t="e">
        <f>Tabla3[[#This Row],[Monto Colegiatura]]*Tabla3[[#This Row],[% Beca Comunidad 16-17]]</f>
        <v>#N/A</v>
      </c>
      <c r="X132" s="293" t="e">
        <f>Tabla3[[#This Row],[Cantidad Beca Comunidad 16-17]]*25%</f>
        <v>#N/A</v>
      </c>
      <c r="Y132" s="293"/>
      <c r="Z132" s="293" t="e">
        <f>Tabla3[[#This Row],[Monto Colegiatura]]*Tabla3[[#This Row],[% Beca UNAM 16-17]]</f>
        <v>#N/A</v>
      </c>
      <c r="AA132" s="295"/>
      <c r="AB132" s="293" t="e">
        <f>Tabla3[[#This Row],[Monto Reinscripción]]*Tabla3[[#This Row],[% Beca Reinscripción 16-17]]</f>
        <v>#N/A</v>
      </c>
      <c r="AC132" s="293"/>
      <c r="AD132" s="293" t="e">
        <f>Tabla3[[#This Row],[Monto Canasta]]*Tabla3[[#This Row],[% Beca Canasta 16-17]]</f>
        <v>#N/A</v>
      </c>
      <c r="AE132" s="293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32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32" s="297" t="e">
        <f>VLOOKUP(Tabla3[[#This Row],[Nombre del Alumno]],[2]!Tabla1[[Alumno]:[Cuenta Ciclos]],2,0)</f>
        <v>#REF!</v>
      </c>
      <c r="AH132" s="298" t="s">
        <v>846</v>
      </c>
      <c r="AI132" s="298" t="s">
        <v>332</v>
      </c>
      <c r="AJ132" s="296" t="e">
        <f>VLOOKUP(Tabla3[[#This Row],[Grado 17-18]],[2]Cuotas!$H:$L,2,0)</f>
        <v>#N/A</v>
      </c>
      <c r="AK132" s="296" t="e">
        <f>VLOOKUP(Tabla3[[#This Row],[Grado 17-18]],[2]Cuotas!$H:$L,3,0)</f>
        <v>#N/A</v>
      </c>
      <c r="AL132" s="296" t="e">
        <f>VLOOKUP(Tabla3[[#This Row],[Grado 17-18]],[2]Cuotas!$H:$L,4,0)</f>
        <v>#N/A</v>
      </c>
      <c r="AM132" s="299">
        <v>0.3</v>
      </c>
      <c r="AN132" s="300">
        <v>0.3</v>
      </c>
      <c r="AO132" s="296" t="e">
        <f>Tabla3[[#This Row],[Monto Colegiatura ]]*Tabla3[[#This Row],[% AutorizadoBeca Colegiatura 17-18]]</f>
        <v>#N/A</v>
      </c>
      <c r="AP132" s="295"/>
      <c r="AQ132" s="296" t="e">
        <f>Tabla3[[#This Row],[Monto Colegiatura ]]*Tabla3[[#This Row],[% Beca Prestacion 17-18]]</f>
        <v>#N/A</v>
      </c>
      <c r="AR132" s="295"/>
      <c r="AS132" s="296" t="e">
        <f>Tabla3[[#This Row],[Canasta]]*Tabla3[[#This Row],[% Beca Canasta 17-18]]</f>
        <v>#N/A</v>
      </c>
      <c r="AT132" s="295"/>
      <c r="AU132" s="301">
        <v>0</v>
      </c>
      <c r="AV132" s="296" t="e">
        <f>Tabla3[[#This Row],[Cantidad Beca Comunidad Colegiatura 17-18]]*25%</f>
        <v>#N/A</v>
      </c>
      <c r="AW132" s="293"/>
      <c r="AX132" s="302"/>
      <c r="AY132" s="296" t="e">
        <f>Tabla3[[#This Row],[Monto Colegiatura ]]*Tabla3[[#This Row],[% Beca UNAM 17-18]]</f>
        <v>#N/A</v>
      </c>
      <c r="AZ132" s="293"/>
      <c r="BA132" s="303">
        <f>3200*Tabla3[[#This Row],[% Beca Reinscripciones UNAM 17-18]]</f>
        <v>0</v>
      </c>
      <c r="BB132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32" s="304"/>
      <c r="BD132" s="293" t="e">
        <f>Tabla3[[#This Row],[Monto Colegiatura ]]*Tabla3[[#This Row],[% Beca Comunidad 17-18]]</f>
        <v>#N/A</v>
      </c>
      <c r="BE132" s="293" t="e">
        <f>Tabla3[[#This Row],[Cantidad Beca Comunidad Colegiatura 17-18]]*75%</f>
        <v>#N/A</v>
      </c>
      <c r="BF132" s="295"/>
      <c r="BG132" s="293" t="e">
        <f>Tabla3[[#This Row],[Reinscripción]]*Tabla3[[#This Row],[% Beca Reinscripciones Comunidad 18-19]]</f>
        <v>#N/A</v>
      </c>
      <c r="BH132" s="293" t="e">
        <f>Tabla3[[#This Row],[Cantidad Beca Reinscripciones Comunidad 18-19]]*70%</f>
        <v>#N/A</v>
      </c>
      <c r="BI132" s="303" t="e">
        <f>Tabla3[[#This Row],[75% Cantidad Beca Comunidad Colegiatura 17-18]]+Tabla3[[#This Row],[70% Cantidad Beca Reinscripciones 18-19]]</f>
        <v>#N/A</v>
      </c>
      <c r="BJ132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32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32" s="293"/>
      <c r="BM132" s="291"/>
      <c r="BN132" s="306" t="s">
        <v>843</v>
      </c>
      <c r="BO132" s="307"/>
      <c r="BP132" s="307">
        <f>Tabla3[[#This Row],[% AutorizadoBeca Colegiatura 17-18]]+Tabla3[[#This Row],[% Beca Prestacion 17-18]]+Tabla3[[#This Row],[% Beca UNAM 17-18]]</f>
        <v>0.3</v>
      </c>
      <c r="BQ132" s="308">
        <f t="shared" si="3"/>
        <v>344.09999999999997</v>
      </c>
      <c r="BR132" s="307">
        <f>Tabla3[[#This Row],[% Beca Comunidad 17-18]]</f>
        <v>0</v>
      </c>
      <c r="BS132" s="308">
        <f t="shared" si="4"/>
        <v>0</v>
      </c>
      <c r="BT132" s="308">
        <f t="shared" si="5"/>
        <v>0</v>
      </c>
      <c r="BU132" s="308">
        <f>Tabla3[[#This Row],[Monto3]]*75%</f>
        <v>0</v>
      </c>
      <c r="BV132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32" s="307" t="s">
        <v>827</v>
      </c>
      <c r="BX132" s="307" t="e">
        <f>VLOOKUP(Tabla3[[#This Row],[Nombre del Alumno]],[1]!Tabla1[[NOMBRE DEL ALUMNO]:[MATRIZ]],6,0)</f>
        <v>#REF!</v>
      </c>
      <c r="BY132" s="307"/>
      <c r="BZ132" s="308"/>
      <c r="CA132" s="308"/>
      <c r="CB132" s="308"/>
      <c r="CC132" s="289"/>
      <c r="CD132" s="309"/>
      <c r="CE132" s="293">
        <f>Tabla3[[#This Row],[Monto Colegiatura 2018-2019]]*Tabla3[[#This Row],[% AutorizadoBeca Colegiatura 18-19]]</f>
        <v>0</v>
      </c>
      <c r="CF132" s="291"/>
      <c r="CG132" s="293">
        <f>Tabla3[[#This Row],[Monto Colegiatura 2018-2019]]*Tabla3[[#This Row],[% Beca Prestacion 18-19]]</f>
        <v>0</v>
      </c>
      <c r="CH132" s="310" t="e">
        <f>VLOOKUP(Tabla3[[#This Row],[Nombre del Alumno]],'[3]BECAS REINSCRIPCIONES'!$B$37:$D$40,3,0)</f>
        <v>#N/A</v>
      </c>
      <c r="CI132" s="293" t="e">
        <f>Tabla3[[#This Row],[Canasta 2018-2019]]*Tabla3[[#This Row],[% Beca Canasta 18-19]]</f>
        <v>#N/A</v>
      </c>
      <c r="CJ132" s="310" t="e">
        <f>VLOOKUP(Tabla3[[#This Row],[Nombre del Alumno]],'[3]BECAS REINSCRIPCIONES'!$B$8:$D$21,3,0)</f>
        <v>#N/A</v>
      </c>
      <c r="CK132" s="293" t="e">
        <f>Tabla3[[#This Row],[Reinscripción 2019-2020]]*Tabla3[[#This Row],[% Beca Reinscripciones 19-20]]</f>
        <v>#N/A</v>
      </c>
      <c r="CL132" s="293">
        <f>Tabla3[[#This Row],[Cantidad Beca Comunidad Colegiatura 18-19]]*25%</f>
        <v>0</v>
      </c>
      <c r="CM132" s="303">
        <f>Tabla3[[#This Row],[Cantidad Beca Reinscripciones Comunidad 19-20]]*25%</f>
        <v>0</v>
      </c>
      <c r="CN132" s="309"/>
      <c r="CO132" s="291">
        <f>Tabla3[[#This Row],[Monto Colegiatura 2018-2019]]*Tabla3[[#This Row],[% Beca UNAM 18-19]]</f>
        <v>0</v>
      </c>
      <c r="CP132" s="291"/>
      <c r="CQ132" s="303">
        <f>3328*Tabla3[[#This Row],[% Beca Reinscripciones UNAM 18-19]]</f>
        <v>0</v>
      </c>
      <c r="CR132" s="311" t="e">
        <f>Tabla3[[#This Row],[Cantidad Beca Colegiatura 18-19]]+Tabla3[[#This Row],[Cantidad Beca Canasta 18-19]]+Tabla3[[#This Row],[Cantidad Beca Reinscripciones 19-20]]</f>
        <v>#N/A</v>
      </c>
      <c r="CS132" s="309"/>
      <c r="CT132" s="291">
        <f>Tabla3[[#This Row],[Monto Colegiatura 2018-2019]]*Tabla3[[#This Row],[% Beca Comunidad 18-19]]</f>
        <v>0</v>
      </c>
      <c r="CU132" s="293">
        <f>Tabla3[[#This Row],[Cantidad Beca Comunidad Colegiatura 18-19]]*75%</f>
        <v>0</v>
      </c>
      <c r="CV132" s="291"/>
      <c r="CW132" s="291">
        <f>Tabla3[[#This Row],[Reinscripción 2019-2020]]*Tabla3[[#This Row],[% Beca Reinscripciones Comunidad 19-20]]</f>
        <v>0</v>
      </c>
      <c r="CX132" s="293">
        <f>Tabla3[[#This Row],[Cantidad Beca Reinscripciones Comunidad 19-20]]*75%</f>
        <v>0</v>
      </c>
      <c r="CY132" s="312">
        <f>Tabla3[[#This Row],[75% Cantidad Beca Comunidad Colegiatura 18-19]]+Tabla3[[#This Row],[75% Cantidad Beca Reinscripciones 19-20]]</f>
        <v>0</v>
      </c>
      <c r="CZ132" s="3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32" s="3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32" s="313">
        <f>1440*(Tabla3[[#This Row],[% AutorizadoBeca Colegiatura 18-19]]+Tabla3[[#This Row],[% Beca Prestacion 18-19]]+Tabla3[[#This Row],[% Beca UNAM 18-19]]+Tabla3[[#This Row],[% Beca Comunidad 18-19]])</f>
        <v>0</v>
      </c>
    </row>
    <row r="133" spans="2:106" s="314" customFormat="1" hidden="1" x14ac:dyDescent="0.2">
      <c r="B133" s="289" t="s">
        <v>836</v>
      </c>
      <c r="C133" s="289" t="e">
        <f>VLOOKUP(Tabla3[[#This Row],[Nombre del Padre]],[1]!Tabla1[[PADRE]:[PADRE_CELULAR]],2,0)</f>
        <v>#REF!</v>
      </c>
      <c r="D133" s="289" t="e">
        <f>VLOOKUP(Tabla3[[#This Row],[Nombre del Padre]],[1]!Tabla1[[PADRE]:[PADRE_CELULAR]],3,0)</f>
        <v>#REF!</v>
      </c>
      <c r="E133" s="289" t="s">
        <v>837</v>
      </c>
      <c r="F133" s="289" t="e">
        <f>VLOOKUP(Tabla3[[#This Row],[Nombre de la Madre]],[1]!Tabla1[[MADRE]:[MADRE_TELEFONO]],2,0)</f>
        <v>#REF!</v>
      </c>
      <c r="G133" s="202" t="s">
        <v>838</v>
      </c>
      <c r="H133" s="315"/>
      <c r="I133" s="291">
        <v>2108</v>
      </c>
      <c r="J133" s="291" t="s">
        <v>839</v>
      </c>
      <c r="K133" s="291" t="s">
        <v>637</v>
      </c>
      <c r="L133" s="291" t="s">
        <v>847</v>
      </c>
      <c r="M133" s="292" t="s">
        <v>845</v>
      </c>
      <c r="N133" s="292" t="s">
        <v>330</v>
      </c>
      <c r="O133" s="293" t="e">
        <f>VLOOKUP(Tabla3[[#This Row],[Grado]],[2]Cuotas!$A:$E,2,0)</f>
        <v>#N/A</v>
      </c>
      <c r="P133" s="293" t="e">
        <f>VLOOKUP(Tabla3[[#This Row],[Grado]],[2]Cuotas!$A:$E,4,0)</f>
        <v>#N/A</v>
      </c>
      <c r="Q133" s="293" t="e">
        <f>VLOOKUP(Tabla3[[#This Row],[Grado]],[2]Cuotas!$A:$E,3,0)</f>
        <v>#N/A</v>
      </c>
      <c r="R133" s="294">
        <v>0.35</v>
      </c>
      <c r="S133" s="293" t="e">
        <f>Tabla3[[#This Row],[Monto Colegiatura]]*Tabla3[[#This Row],[% Beca Colegio 16-17]]</f>
        <v>#N/A</v>
      </c>
      <c r="T133" s="293"/>
      <c r="U133" s="293" t="e">
        <f>Tabla3[[#This Row],[Monto Colegiatura]]*Tabla3[[#This Row],[% Beca Prestación 16-17]]</f>
        <v>#N/A</v>
      </c>
      <c r="V133" s="295"/>
      <c r="W133" s="293" t="e">
        <f>Tabla3[[#This Row],[Monto Colegiatura]]*Tabla3[[#This Row],[% Beca Comunidad 16-17]]</f>
        <v>#N/A</v>
      </c>
      <c r="X133" s="293" t="e">
        <f>Tabla3[[#This Row],[Cantidad Beca Comunidad 16-17]]*25%</f>
        <v>#N/A</v>
      </c>
      <c r="Y133" s="293"/>
      <c r="Z133" s="293" t="e">
        <f>Tabla3[[#This Row],[Monto Colegiatura]]*Tabla3[[#This Row],[% Beca UNAM 16-17]]</f>
        <v>#N/A</v>
      </c>
      <c r="AA133" s="295"/>
      <c r="AB133" s="293" t="e">
        <f>Tabla3[[#This Row],[Monto Reinscripción]]*Tabla3[[#This Row],[% Beca Reinscripción 16-17]]</f>
        <v>#N/A</v>
      </c>
      <c r="AC133" s="293"/>
      <c r="AD133" s="293" t="e">
        <f>Tabla3[[#This Row],[Monto Canasta]]*Tabla3[[#This Row],[% Beca Canasta 16-17]]</f>
        <v>#N/A</v>
      </c>
      <c r="AE133" s="293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33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33" s="297" t="e">
        <f>VLOOKUP(Tabla3[[#This Row],[Nombre del Alumno]],[2]!Tabla1[[Alumno]:[Cuenta Ciclos]],2,0)</f>
        <v>#REF!</v>
      </c>
      <c r="AH133" s="298" t="s">
        <v>846</v>
      </c>
      <c r="AI133" s="298" t="s">
        <v>332</v>
      </c>
      <c r="AJ133" s="296" t="e">
        <f>VLOOKUP(Tabla3[[#This Row],[Grado 17-18]],[2]Cuotas!$H:$L,2,0)</f>
        <v>#N/A</v>
      </c>
      <c r="AK133" s="296" t="e">
        <f>VLOOKUP(Tabla3[[#This Row],[Grado 17-18]],[2]Cuotas!$H:$L,3,0)</f>
        <v>#N/A</v>
      </c>
      <c r="AL133" s="296" t="e">
        <f>VLOOKUP(Tabla3[[#This Row],[Grado 17-18]],[2]Cuotas!$H:$L,4,0)</f>
        <v>#N/A</v>
      </c>
      <c r="AM133" s="299">
        <v>0.3</v>
      </c>
      <c r="AN133" s="300">
        <v>0.3</v>
      </c>
      <c r="AO133" s="296" t="e">
        <f>Tabla3[[#This Row],[Monto Colegiatura ]]*Tabla3[[#This Row],[% AutorizadoBeca Colegiatura 17-18]]</f>
        <v>#N/A</v>
      </c>
      <c r="AP133" s="295"/>
      <c r="AQ133" s="296" t="e">
        <f>Tabla3[[#This Row],[Monto Colegiatura ]]*Tabla3[[#This Row],[% Beca Prestacion 17-18]]</f>
        <v>#N/A</v>
      </c>
      <c r="AR133" s="295"/>
      <c r="AS133" s="296" t="e">
        <f>Tabla3[[#This Row],[Canasta]]*Tabla3[[#This Row],[% Beca Canasta 17-18]]</f>
        <v>#N/A</v>
      </c>
      <c r="AT133" s="295"/>
      <c r="AU133" s="301">
        <v>0</v>
      </c>
      <c r="AV133" s="296" t="e">
        <f>Tabla3[[#This Row],[Cantidad Beca Comunidad Colegiatura 17-18]]*25%</f>
        <v>#N/A</v>
      </c>
      <c r="AW133" s="293"/>
      <c r="AX133" s="302"/>
      <c r="AY133" s="296" t="e">
        <f>Tabla3[[#This Row],[Monto Colegiatura ]]*Tabla3[[#This Row],[% Beca UNAM 17-18]]</f>
        <v>#N/A</v>
      </c>
      <c r="AZ133" s="293"/>
      <c r="BA133" s="303">
        <f>3200*Tabla3[[#This Row],[% Beca Reinscripciones UNAM 17-18]]</f>
        <v>0</v>
      </c>
      <c r="BB133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33" s="304"/>
      <c r="BD133" s="293" t="e">
        <f>Tabla3[[#This Row],[Monto Colegiatura ]]*Tabla3[[#This Row],[% Beca Comunidad 17-18]]</f>
        <v>#N/A</v>
      </c>
      <c r="BE133" s="293" t="e">
        <f>Tabla3[[#This Row],[Cantidad Beca Comunidad Colegiatura 17-18]]*75%</f>
        <v>#N/A</v>
      </c>
      <c r="BF133" s="295"/>
      <c r="BG133" s="293" t="e">
        <f>Tabla3[[#This Row],[Reinscripción]]*Tabla3[[#This Row],[% Beca Reinscripciones Comunidad 18-19]]</f>
        <v>#N/A</v>
      </c>
      <c r="BH133" s="293" t="e">
        <f>Tabla3[[#This Row],[Cantidad Beca Reinscripciones Comunidad 18-19]]*70%</f>
        <v>#N/A</v>
      </c>
      <c r="BI133" s="303" t="e">
        <f>Tabla3[[#This Row],[75% Cantidad Beca Comunidad Colegiatura 17-18]]+Tabla3[[#This Row],[70% Cantidad Beca Reinscripciones 18-19]]</f>
        <v>#N/A</v>
      </c>
      <c r="BJ133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33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33" s="293"/>
      <c r="BM133" s="291"/>
      <c r="BN133" s="306" t="s">
        <v>843</v>
      </c>
      <c r="BO133" s="307"/>
      <c r="BP133" s="307">
        <f>Tabla3[[#This Row],[% AutorizadoBeca Colegiatura 17-18]]+Tabla3[[#This Row],[% Beca Prestacion 17-18]]+Tabla3[[#This Row],[% Beca UNAM 17-18]]</f>
        <v>0.3</v>
      </c>
      <c r="BQ133" s="308">
        <f t="shared" si="3"/>
        <v>344.09999999999997</v>
      </c>
      <c r="BR133" s="307">
        <f>Tabla3[[#This Row],[% Beca Comunidad 17-18]]</f>
        <v>0</v>
      </c>
      <c r="BS133" s="308">
        <f t="shared" si="4"/>
        <v>0</v>
      </c>
      <c r="BT133" s="308">
        <f t="shared" si="5"/>
        <v>0</v>
      </c>
      <c r="BU133" s="308">
        <f>Tabla3[[#This Row],[Monto3]]*75%</f>
        <v>0</v>
      </c>
      <c r="BV133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33" s="307" t="s">
        <v>827</v>
      </c>
      <c r="BX133" s="307" t="e">
        <f>VLOOKUP(Tabla3[[#This Row],[Nombre del Alumno]],[1]!Tabla1[[NOMBRE DEL ALUMNO]:[MATRIZ]],6,0)</f>
        <v>#REF!</v>
      </c>
      <c r="BY133" s="307"/>
      <c r="BZ133" s="308"/>
      <c r="CA133" s="308"/>
      <c r="CB133" s="308"/>
      <c r="CC133" s="289"/>
      <c r="CD133" s="309"/>
      <c r="CE133" s="293">
        <f>Tabla3[[#This Row],[Monto Colegiatura 2018-2019]]*Tabla3[[#This Row],[% AutorizadoBeca Colegiatura 18-19]]</f>
        <v>0</v>
      </c>
      <c r="CF133" s="291"/>
      <c r="CG133" s="293">
        <f>Tabla3[[#This Row],[Monto Colegiatura 2018-2019]]*Tabla3[[#This Row],[% Beca Prestacion 18-19]]</f>
        <v>0</v>
      </c>
      <c r="CH133" s="310" t="e">
        <f>VLOOKUP(Tabla3[[#This Row],[Nombre del Alumno]],'[3]BECAS REINSCRIPCIONES'!$B$37:$D$40,3,0)</f>
        <v>#N/A</v>
      </c>
      <c r="CI133" s="293" t="e">
        <f>Tabla3[[#This Row],[Canasta 2018-2019]]*Tabla3[[#This Row],[% Beca Canasta 18-19]]</f>
        <v>#N/A</v>
      </c>
      <c r="CJ133" s="310" t="e">
        <f>VLOOKUP(Tabla3[[#This Row],[Nombre del Alumno]],'[3]BECAS REINSCRIPCIONES'!$B$8:$D$21,3,0)</f>
        <v>#N/A</v>
      </c>
      <c r="CK133" s="293" t="e">
        <f>Tabla3[[#This Row],[Reinscripción 2019-2020]]*Tabla3[[#This Row],[% Beca Reinscripciones 19-20]]</f>
        <v>#N/A</v>
      </c>
      <c r="CL133" s="293">
        <f>Tabla3[[#This Row],[Cantidad Beca Comunidad Colegiatura 18-19]]*25%</f>
        <v>0</v>
      </c>
      <c r="CM133" s="303">
        <f>Tabla3[[#This Row],[Cantidad Beca Reinscripciones Comunidad 19-20]]*25%</f>
        <v>0</v>
      </c>
      <c r="CN133" s="309"/>
      <c r="CO133" s="291">
        <f>Tabla3[[#This Row],[Monto Colegiatura 2018-2019]]*Tabla3[[#This Row],[% Beca UNAM 18-19]]</f>
        <v>0</v>
      </c>
      <c r="CP133" s="291"/>
      <c r="CQ133" s="303">
        <f>3328*Tabla3[[#This Row],[% Beca Reinscripciones UNAM 18-19]]</f>
        <v>0</v>
      </c>
      <c r="CR133" s="311" t="e">
        <f>Tabla3[[#This Row],[Cantidad Beca Colegiatura 18-19]]+Tabla3[[#This Row],[Cantidad Beca Canasta 18-19]]+Tabla3[[#This Row],[Cantidad Beca Reinscripciones 19-20]]</f>
        <v>#N/A</v>
      </c>
      <c r="CS133" s="309"/>
      <c r="CT133" s="291">
        <f>Tabla3[[#This Row],[Monto Colegiatura 2018-2019]]*Tabla3[[#This Row],[% Beca Comunidad 18-19]]</f>
        <v>0</v>
      </c>
      <c r="CU133" s="293">
        <f>Tabla3[[#This Row],[Cantidad Beca Comunidad Colegiatura 18-19]]*75%</f>
        <v>0</v>
      </c>
      <c r="CV133" s="291"/>
      <c r="CW133" s="291">
        <f>Tabla3[[#This Row],[Reinscripción 2019-2020]]*Tabla3[[#This Row],[% Beca Reinscripciones Comunidad 19-20]]</f>
        <v>0</v>
      </c>
      <c r="CX133" s="293">
        <f>Tabla3[[#This Row],[Cantidad Beca Reinscripciones Comunidad 19-20]]*75%</f>
        <v>0</v>
      </c>
      <c r="CY133" s="312">
        <f>Tabla3[[#This Row],[75% Cantidad Beca Comunidad Colegiatura 18-19]]+Tabla3[[#This Row],[75% Cantidad Beca Reinscripciones 19-20]]</f>
        <v>0</v>
      </c>
      <c r="CZ133" s="3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33" s="3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33" s="313">
        <f>1440*(Tabla3[[#This Row],[% AutorizadoBeca Colegiatura 18-19]]+Tabla3[[#This Row],[% Beca Prestacion 18-19]]+Tabla3[[#This Row],[% Beca UNAM 18-19]]+Tabla3[[#This Row],[% Beca Comunidad 18-19]])</f>
        <v>0</v>
      </c>
    </row>
    <row r="134" spans="2:106" s="314" customFormat="1" hidden="1" x14ac:dyDescent="0.2">
      <c r="B134" s="289" t="s">
        <v>848</v>
      </c>
      <c r="C134" s="289" t="e">
        <f>VLOOKUP(Tabla3[[#This Row],[Nombre del Padre]],[1]!Tabla1[[PADRE]:[PADRE_CELULAR]],2,0)</f>
        <v>#REF!</v>
      </c>
      <c r="D134" s="289" t="e">
        <f>VLOOKUP(Tabla3[[#This Row],[Nombre del Padre]],[1]!Tabla1[[PADRE]:[PADRE_CELULAR]],3,0)</f>
        <v>#REF!</v>
      </c>
      <c r="E134" s="289" t="s">
        <v>849</v>
      </c>
      <c r="F134" s="289" t="e">
        <f>VLOOKUP(Tabla3[[#This Row],[Nombre de la Madre]],[1]!Tabla1[[MADRE]:[MADRE_TELEFONO]],2,0)</f>
        <v>#REF!</v>
      </c>
      <c r="G134" s="202" t="s">
        <v>850</v>
      </c>
      <c r="H134" s="315"/>
      <c r="I134" s="291">
        <v>2721</v>
      </c>
      <c r="J134" s="291" t="s">
        <v>851</v>
      </c>
      <c r="K134" s="291" t="s">
        <v>420</v>
      </c>
      <c r="L134" s="291" t="s">
        <v>852</v>
      </c>
      <c r="M134" s="292" t="s">
        <v>562</v>
      </c>
      <c r="N134" s="292" t="s">
        <v>315</v>
      </c>
      <c r="O134" s="293" t="e">
        <f>VLOOKUP(Tabla3[[#This Row],[Grado]],[2]Cuotas!$A:$E,2,0)</f>
        <v>#N/A</v>
      </c>
      <c r="P134" s="293" t="e">
        <f>VLOOKUP(Tabla3[[#This Row],[Grado]],[2]Cuotas!$A:$E,4,0)</f>
        <v>#N/A</v>
      </c>
      <c r="Q134" s="293" t="e">
        <f>VLOOKUP(Tabla3[[#This Row],[Grado]],[2]Cuotas!$A:$E,3,0)</f>
        <v>#N/A</v>
      </c>
      <c r="R134" s="294">
        <v>0.5</v>
      </c>
      <c r="S134" s="293" t="e">
        <f>Tabla3[[#This Row],[Monto Colegiatura]]*Tabla3[[#This Row],[% Beca Colegio 16-17]]</f>
        <v>#N/A</v>
      </c>
      <c r="T134" s="293"/>
      <c r="U134" s="293" t="e">
        <f>Tabla3[[#This Row],[Monto Colegiatura]]*Tabla3[[#This Row],[% Beca Prestación 16-17]]</f>
        <v>#N/A</v>
      </c>
      <c r="V134" s="295"/>
      <c r="W134" s="293" t="e">
        <f>Tabla3[[#This Row],[Monto Colegiatura]]*Tabla3[[#This Row],[% Beca Comunidad 16-17]]</f>
        <v>#N/A</v>
      </c>
      <c r="X134" s="293" t="e">
        <f>Tabla3[[#This Row],[Cantidad Beca Comunidad 16-17]]*25%</f>
        <v>#N/A</v>
      </c>
      <c r="Y134" s="293"/>
      <c r="Z134" s="293" t="e">
        <f>Tabla3[[#This Row],[Monto Colegiatura]]*Tabla3[[#This Row],[% Beca UNAM 16-17]]</f>
        <v>#N/A</v>
      </c>
      <c r="AA134" s="295"/>
      <c r="AB134" s="293" t="e">
        <f>Tabla3[[#This Row],[Monto Reinscripción]]*Tabla3[[#This Row],[% Beca Reinscripción 16-17]]</f>
        <v>#N/A</v>
      </c>
      <c r="AC134" s="293"/>
      <c r="AD134" s="293" t="e">
        <f>Tabla3[[#This Row],[Monto Canasta]]*Tabla3[[#This Row],[% Beca Canasta 16-17]]</f>
        <v>#N/A</v>
      </c>
      <c r="AE134" s="293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34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34" s="297" t="e">
        <f>VLOOKUP(Tabla3[[#This Row],[Nombre del Alumno]],[2]!Tabla1[[Alumno]:[Cuenta Ciclos]],2,0)</f>
        <v>#REF!</v>
      </c>
      <c r="AH134" s="298" t="s">
        <v>296</v>
      </c>
      <c r="AI134" s="298" t="s">
        <v>297</v>
      </c>
      <c r="AJ134" s="296" t="e">
        <f>VLOOKUP(Tabla3[[#This Row],[Grado 17-18]],[2]Cuotas!$H:$L,2,0)</f>
        <v>#N/A</v>
      </c>
      <c r="AK134" s="296" t="e">
        <f>VLOOKUP(Tabla3[[#This Row],[Grado 17-18]],[2]Cuotas!$H:$L,3,0)</f>
        <v>#N/A</v>
      </c>
      <c r="AL134" s="296" t="e">
        <f>VLOOKUP(Tabla3[[#This Row],[Grado 17-18]],[2]Cuotas!$H:$L,4,0)</f>
        <v>#N/A</v>
      </c>
      <c r="AM134" s="299">
        <v>0.5</v>
      </c>
      <c r="AN134" s="300">
        <v>0.3</v>
      </c>
      <c r="AO134" s="296" t="e">
        <f>Tabla3[[#This Row],[Monto Colegiatura ]]*Tabla3[[#This Row],[% AutorizadoBeca Colegiatura 17-18]]</f>
        <v>#N/A</v>
      </c>
      <c r="AP134" s="295"/>
      <c r="AQ134" s="296" t="e">
        <f>Tabla3[[#This Row],[Monto Colegiatura ]]*Tabla3[[#This Row],[% Beca Prestacion 17-18]]</f>
        <v>#N/A</v>
      </c>
      <c r="AR134" s="295"/>
      <c r="AS134" s="296" t="e">
        <f>Tabla3[[#This Row],[Canasta]]*Tabla3[[#This Row],[% Beca Canasta 17-18]]</f>
        <v>#N/A</v>
      </c>
      <c r="AT134" s="295"/>
      <c r="AU134" s="301">
        <v>0</v>
      </c>
      <c r="AV134" s="296" t="e">
        <f>Tabla3[[#This Row],[Cantidad Beca Comunidad Colegiatura 17-18]]*25%</f>
        <v>#N/A</v>
      </c>
      <c r="AW134" s="293"/>
      <c r="AX134" s="302"/>
      <c r="AY134" s="296" t="e">
        <f>Tabla3[[#This Row],[Monto Colegiatura ]]*Tabla3[[#This Row],[% Beca UNAM 17-18]]</f>
        <v>#N/A</v>
      </c>
      <c r="AZ134" s="293"/>
      <c r="BA134" s="303">
        <f>3200*Tabla3[[#This Row],[% Beca Reinscripciones UNAM 17-18]]</f>
        <v>0</v>
      </c>
      <c r="BB134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34" s="304"/>
      <c r="BD134" s="293" t="e">
        <f>Tabla3[[#This Row],[Monto Colegiatura ]]*Tabla3[[#This Row],[% Beca Comunidad 17-18]]</f>
        <v>#N/A</v>
      </c>
      <c r="BE134" s="293" t="e">
        <f>Tabla3[[#This Row],[Cantidad Beca Comunidad Colegiatura 17-18]]*75%</f>
        <v>#N/A</v>
      </c>
      <c r="BF134" s="295"/>
      <c r="BG134" s="293" t="e">
        <f>Tabla3[[#This Row],[Reinscripción]]*Tabla3[[#This Row],[% Beca Reinscripciones Comunidad 18-19]]</f>
        <v>#N/A</v>
      </c>
      <c r="BH134" s="293" t="e">
        <f>Tabla3[[#This Row],[Cantidad Beca Reinscripciones Comunidad 18-19]]*70%</f>
        <v>#N/A</v>
      </c>
      <c r="BI134" s="303" t="e">
        <f>Tabla3[[#This Row],[75% Cantidad Beca Comunidad Colegiatura 17-18]]+Tabla3[[#This Row],[70% Cantidad Beca Reinscripciones 18-19]]</f>
        <v>#N/A</v>
      </c>
      <c r="BJ134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34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34" s="293"/>
      <c r="BM134" s="291" t="s">
        <v>422</v>
      </c>
      <c r="BN134" s="306" t="s">
        <v>853</v>
      </c>
      <c r="BO134" s="307"/>
      <c r="BP134" s="307">
        <f>Tabla3[[#This Row],[% AutorizadoBeca Colegiatura 17-18]]+Tabla3[[#This Row],[% Beca Prestacion 17-18]]+Tabla3[[#This Row],[% Beca UNAM 17-18]]</f>
        <v>0.3</v>
      </c>
      <c r="BQ134" s="308">
        <f t="shared" si="3"/>
        <v>344.09999999999997</v>
      </c>
      <c r="BR134" s="307">
        <f>Tabla3[[#This Row],[% Beca Comunidad 17-18]]</f>
        <v>0</v>
      </c>
      <c r="BS134" s="308">
        <f t="shared" si="4"/>
        <v>0</v>
      </c>
      <c r="BT134" s="308">
        <f t="shared" si="5"/>
        <v>0</v>
      </c>
      <c r="BU134" s="308">
        <f>Tabla3[[#This Row],[Monto3]]*75%</f>
        <v>0</v>
      </c>
      <c r="BV134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34" s="307" t="s">
        <v>827</v>
      </c>
      <c r="BX134" s="307" t="e">
        <f>VLOOKUP(Tabla3[[#This Row],[Nombre del Alumno]],[1]!Tabla1[[NOMBRE DEL ALUMNO]:[MATRIZ]],6,0)</f>
        <v>#REF!</v>
      </c>
      <c r="BY134" s="307"/>
      <c r="BZ134" s="308"/>
      <c r="CA134" s="308"/>
      <c r="CB134" s="308"/>
      <c r="CC134" s="289"/>
      <c r="CD134" s="309"/>
      <c r="CE134" s="293">
        <f>Tabla3[[#This Row],[Monto Colegiatura 2018-2019]]*Tabla3[[#This Row],[% AutorizadoBeca Colegiatura 18-19]]</f>
        <v>0</v>
      </c>
      <c r="CF134" s="291"/>
      <c r="CG134" s="293">
        <f>Tabla3[[#This Row],[Monto Colegiatura 2018-2019]]*Tabla3[[#This Row],[% Beca Prestacion 18-19]]</f>
        <v>0</v>
      </c>
      <c r="CH134" s="310" t="e">
        <f>VLOOKUP(Tabla3[[#This Row],[Nombre del Alumno]],'[3]BECAS REINSCRIPCIONES'!$B$37:$D$40,3,0)</f>
        <v>#N/A</v>
      </c>
      <c r="CI134" s="293" t="e">
        <f>Tabla3[[#This Row],[Canasta 2018-2019]]*Tabla3[[#This Row],[% Beca Canasta 18-19]]</f>
        <v>#N/A</v>
      </c>
      <c r="CJ134" s="310" t="e">
        <f>VLOOKUP(Tabla3[[#This Row],[Nombre del Alumno]],'[3]BECAS REINSCRIPCIONES'!$B$8:$D$21,3,0)</f>
        <v>#N/A</v>
      </c>
      <c r="CK134" s="293" t="e">
        <f>Tabla3[[#This Row],[Reinscripción 2019-2020]]*Tabla3[[#This Row],[% Beca Reinscripciones 19-20]]</f>
        <v>#N/A</v>
      </c>
      <c r="CL134" s="293">
        <f>Tabla3[[#This Row],[Cantidad Beca Comunidad Colegiatura 18-19]]*25%</f>
        <v>0</v>
      </c>
      <c r="CM134" s="303">
        <f>Tabla3[[#This Row],[Cantidad Beca Reinscripciones Comunidad 19-20]]*25%</f>
        <v>0</v>
      </c>
      <c r="CN134" s="309"/>
      <c r="CO134" s="291">
        <f>Tabla3[[#This Row],[Monto Colegiatura 2018-2019]]*Tabla3[[#This Row],[% Beca UNAM 18-19]]</f>
        <v>0</v>
      </c>
      <c r="CP134" s="291"/>
      <c r="CQ134" s="303">
        <f>3328*Tabla3[[#This Row],[% Beca Reinscripciones UNAM 18-19]]</f>
        <v>0</v>
      </c>
      <c r="CR134" s="311" t="e">
        <f>Tabla3[[#This Row],[Cantidad Beca Colegiatura 18-19]]+Tabla3[[#This Row],[Cantidad Beca Canasta 18-19]]+Tabla3[[#This Row],[Cantidad Beca Reinscripciones 19-20]]</f>
        <v>#N/A</v>
      </c>
      <c r="CS134" s="309"/>
      <c r="CT134" s="291">
        <f>Tabla3[[#This Row],[Monto Colegiatura 2018-2019]]*Tabla3[[#This Row],[% Beca Comunidad 18-19]]</f>
        <v>0</v>
      </c>
      <c r="CU134" s="293">
        <f>Tabla3[[#This Row],[Cantidad Beca Comunidad Colegiatura 18-19]]*75%</f>
        <v>0</v>
      </c>
      <c r="CV134" s="291"/>
      <c r="CW134" s="291">
        <f>Tabla3[[#This Row],[Reinscripción 2019-2020]]*Tabla3[[#This Row],[% Beca Reinscripciones Comunidad 19-20]]</f>
        <v>0</v>
      </c>
      <c r="CX134" s="293">
        <f>Tabla3[[#This Row],[Cantidad Beca Reinscripciones Comunidad 19-20]]*75%</f>
        <v>0</v>
      </c>
      <c r="CY134" s="312">
        <f>Tabla3[[#This Row],[75% Cantidad Beca Comunidad Colegiatura 18-19]]+Tabla3[[#This Row],[75% Cantidad Beca Reinscripciones 19-20]]</f>
        <v>0</v>
      </c>
      <c r="CZ134" s="3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34" s="3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34" s="313">
        <f>1440*(Tabla3[[#This Row],[% AutorizadoBeca Colegiatura 18-19]]+Tabla3[[#This Row],[% Beca Prestacion 18-19]]+Tabla3[[#This Row],[% Beca UNAM 18-19]]+Tabla3[[#This Row],[% Beca Comunidad 18-19]])</f>
        <v>0</v>
      </c>
    </row>
    <row r="135" spans="2:106" s="314" customFormat="1" ht="22.5" hidden="1" x14ac:dyDescent="0.2">
      <c r="B135" s="289" t="s">
        <v>854</v>
      </c>
      <c r="C135" s="289" t="e">
        <f>VLOOKUP(Tabla3[[#This Row],[Nombre del Padre]],[1]!Tabla1[[PADRE]:[PADRE_CELULAR]],2,0)</f>
        <v>#REF!</v>
      </c>
      <c r="D135" s="289" t="e">
        <f>VLOOKUP(Tabla3[[#This Row],[Nombre del Padre]],[1]!Tabla1[[PADRE]:[PADRE_CELULAR]],3,0)</f>
        <v>#REF!</v>
      </c>
      <c r="E135" s="289" t="s">
        <v>855</v>
      </c>
      <c r="F135" s="289" t="e">
        <f>VLOOKUP(Tabla3[[#This Row],[Nombre de la Madre]],[1]!Tabla1[[MADRE]:[MADRE_TELEFONO]],2,0)</f>
        <v>#REF!</v>
      </c>
      <c r="G135" s="202" t="s">
        <v>856</v>
      </c>
      <c r="H135" s="315">
        <v>52</v>
      </c>
      <c r="I135" s="291">
        <v>1613</v>
      </c>
      <c r="J135" s="291" t="s">
        <v>857</v>
      </c>
      <c r="K135" s="291" t="s">
        <v>420</v>
      </c>
      <c r="L135" s="291" t="s">
        <v>91</v>
      </c>
      <c r="M135" s="292"/>
      <c r="N135" s="292"/>
      <c r="O135" s="293"/>
      <c r="P135" s="293"/>
      <c r="Q135" s="293"/>
      <c r="R135" s="294"/>
      <c r="S135" s="293"/>
      <c r="T135" s="293"/>
      <c r="U135" s="293"/>
      <c r="V135" s="295"/>
      <c r="W135" s="293"/>
      <c r="X135" s="293"/>
      <c r="Y135" s="293"/>
      <c r="Z135" s="293"/>
      <c r="AA135" s="295"/>
      <c r="AB135" s="293"/>
      <c r="AC135" s="293"/>
      <c r="AD135" s="293"/>
      <c r="AE135" s="293"/>
      <c r="AF135" s="296"/>
      <c r="AG135" s="317" t="s">
        <v>289</v>
      </c>
      <c r="AH135" s="298" t="s">
        <v>858</v>
      </c>
      <c r="AI135" s="298" t="s">
        <v>276</v>
      </c>
      <c r="AJ135" s="296" t="e">
        <f>VLOOKUP(Tabla3[[#This Row],[Grado 17-18]],[2]Cuotas!$H:$L,2,0)</f>
        <v>#N/A</v>
      </c>
      <c r="AK135" s="296" t="e">
        <f>VLOOKUP(Tabla3[[#This Row],[Grado 17-18]],[2]Cuotas!$H:$L,3,0)</f>
        <v>#N/A</v>
      </c>
      <c r="AL135" s="296" t="e">
        <f>VLOOKUP(Tabla3[[#This Row],[Grado 17-18]],[2]Cuotas!$H:$L,4,0)</f>
        <v>#N/A</v>
      </c>
      <c r="AM135" s="299">
        <v>0.6</v>
      </c>
      <c r="AN135" s="300">
        <v>0.3</v>
      </c>
      <c r="AO135" s="296" t="e">
        <f>Tabla3[[#This Row],[Monto Colegiatura ]]*Tabla3[[#This Row],[% AutorizadoBeca Colegiatura 17-18]]</f>
        <v>#N/A</v>
      </c>
      <c r="AP135" s="295"/>
      <c r="AQ135" s="296" t="e">
        <f>Tabla3[[#This Row],[Monto Colegiatura ]]*Tabla3[[#This Row],[% Beca Prestacion 17-18]]</f>
        <v>#N/A</v>
      </c>
      <c r="AR135" s="295"/>
      <c r="AS135" s="296" t="e">
        <f>Tabla3[[#This Row],[Canasta]]*Tabla3[[#This Row],[% Beca Canasta 17-18]]</f>
        <v>#N/A</v>
      </c>
      <c r="AT135" s="295"/>
      <c r="AU135" s="301">
        <v>0</v>
      </c>
      <c r="AV135" s="296" t="e">
        <f>Tabla3[[#This Row],[Cantidad Beca Comunidad Colegiatura 17-18]]*25%</f>
        <v>#N/A</v>
      </c>
      <c r="AW135" s="293"/>
      <c r="AX135" s="302"/>
      <c r="AY135" s="296" t="e">
        <f>Tabla3[[#This Row],[Monto Colegiatura ]]*Tabla3[[#This Row],[% Beca UNAM 17-18]]</f>
        <v>#N/A</v>
      </c>
      <c r="AZ135" s="293"/>
      <c r="BA135" s="303">
        <f>3200*Tabla3[[#This Row],[% Beca Reinscripciones UNAM 17-18]]</f>
        <v>0</v>
      </c>
      <c r="BB135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35" s="318"/>
      <c r="BD135" s="293" t="e">
        <f>Tabla3[[#This Row],[Monto Colegiatura ]]*Tabla3[[#This Row],[% Beca Comunidad 17-18]]</f>
        <v>#N/A</v>
      </c>
      <c r="BE135" s="293" t="e">
        <f>Tabla3[[#This Row],[Cantidad Beca Comunidad Colegiatura 17-18]]*75%</f>
        <v>#N/A</v>
      </c>
      <c r="BF135" s="295"/>
      <c r="BG135" s="293" t="e">
        <f>Tabla3[[#This Row],[Reinscripción]]*Tabla3[[#This Row],[% Beca Reinscripciones Comunidad 18-19]]</f>
        <v>#N/A</v>
      </c>
      <c r="BH135" s="293" t="e">
        <f>Tabla3[[#This Row],[Cantidad Beca Reinscripciones Comunidad 18-19]]*70%</f>
        <v>#N/A</v>
      </c>
      <c r="BI135" s="303" t="e">
        <f>Tabla3[[#This Row],[75% Cantidad Beca Comunidad Colegiatura 17-18]]+Tabla3[[#This Row],[70% Cantidad Beca Reinscripciones 18-19]]</f>
        <v>#N/A</v>
      </c>
      <c r="BJ135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35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35" s="293"/>
      <c r="BM135" s="291"/>
      <c r="BN135" s="306" t="s">
        <v>859</v>
      </c>
      <c r="BO135" s="307" t="s">
        <v>835</v>
      </c>
      <c r="BP135" s="307">
        <f>Tabla3[[#This Row],[% AutorizadoBeca Colegiatura 17-18]]+Tabla3[[#This Row],[% Beca Prestacion 17-18]]+Tabla3[[#This Row],[% Beca UNAM 17-18]]</f>
        <v>0.3</v>
      </c>
      <c r="BQ135" s="308">
        <f t="shared" si="3"/>
        <v>344.09999999999997</v>
      </c>
      <c r="BR135" s="307">
        <f>Tabla3[[#This Row],[% Beca Comunidad 17-18]]</f>
        <v>0</v>
      </c>
      <c r="BS135" s="308">
        <f t="shared" si="4"/>
        <v>0</v>
      </c>
      <c r="BT135" s="308">
        <f t="shared" si="5"/>
        <v>0</v>
      </c>
      <c r="BU135" s="308">
        <f>Tabla3[[#This Row],[Monto3]]*75%</f>
        <v>0</v>
      </c>
      <c r="BV135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35" s="307" t="s">
        <v>827</v>
      </c>
      <c r="BX135" s="307" t="e">
        <f>VLOOKUP(Tabla3[[#This Row],[Nombre del Alumno]],[1]!Tabla1[[NOMBRE DEL ALUMNO]:[MATRIZ]],6,0)</f>
        <v>#REF!</v>
      </c>
      <c r="BY135" s="307"/>
      <c r="BZ135" s="308"/>
      <c r="CA135" s="308"/>
      <c r="CB135" s="308"/>
      <c r="CC135" s="289"/>
      <c r="CD135" s="309"/>
      <c r="CE135" s="293">
        <f>Tabla3[[#This Row],[Monto Colegiatura 2018-2019]]*Tabla3[[#This Row],[% AutorizadoBeca Colegiatura 18-19]]</f>
        <v>0</v>
      </c>
      <c r="CF135" s="291"/>
      <c r="CG135" s="293">
        <f>Tabla3[[#This Row],[Monto Colegiatura 2018-2019]]*Tabla3[[#This Row],[% Beca Prestacion 18-19]]</f>
        <v>0</v>
      </c>
      <c r="CH135" s="310" t="e">
        <f>VLOOKUP(Tabla3[[#This Row],[Nombre del Alumno]],'[3]BECAS REINSCRIPCIONES'!$B$37:$D$40,3,0)</f>
        <v>#N/A</v>
      </c>
      <c r="CI135" s="293" t="e">
        <f>Tabla3[[#This Row],[Canasta 2018-2019]]*Tabla3[[#This Row],[% Beca Canasta 18-19]]</f>
        <v>#N/A</v>
      </c>
      <c r="CJ135" s="310" t="e">
        <f>VLOOKUP(Tabla3[[#This Row],[Nombre del Alumno]],'[3]BECAS REINSCRIPCIONES'!$B$8:$D$21,3,0)</f>
        <v>#N/A</v>
      </c>
      <c r="CK135" s="293" t="e">
        <f>Tabla3[[#This Row],[Reinscripción 2019-2020]]*Tabla3[[#This Row],[% Beca Reinscripciones 19-20]]</f>
        <v>#N/A</v>
      </c>
      <c r="CL135" s="293">
        <f>Tabla3[[#This Row],[Cantidad Beca Comunidad Colegiatura 18-19]]*25%</f>
        <v>0</v>
      </c>
      <c r="CM135" s="303">
        <f>Tabla3[[#This Row],[Cantidad Beca Reinscripciones Comunidad 19-20]]*25%</f>
        <v>0</v>
      </c>
      <c r="CN135" s="309"/>
      <c r="CO135" s="291">
        <f>Tabla3[[#This Row],[Monto Colegiatura 2018-2019]]*Tabla3[[#This Row],[% Beca UNAM 18-19]]</f>
        <v>0</v>
      </c>
      <c r="CP135" s="291"/>
      <c r="CQ135" s="303">
        <f>3328*Tabla3[[#This Row],[% Beca Reinscripciones UNAM 18-19]]</f>
        <v>0</v>
      </c>
      <c r="CR135" s="311" t="e">
        <f>Tabla3[[#This Row],[Cantidad Beca Colegiatura 18-19]]+Tabla3[[#This Row],[Cantidad Beca Canasta 18-19]]+Tabla3[[#This Row],[Cantidad Beca Reinscripciones 19-20]]</f>
        <v>#N/A</v>
      </c>
      <c r="CS135" s="309"/>
      <c r="CT135" s="291">
        <f>Tabla3[[#This Row],[Monto Colegiatura 2018-2019]]*Tabla3[[#This Row],[% Beca Comunidad 18-19]]</f>
        <v>0</v>
      </c>
      <c r="CU135" s="293">
        <f>Tabla3[[#This Row],[Cantidad Beca Comunidad Colegiatura 18-19]]*75%</f>
        <v>0</v>
      </c>
      <c r="CV135" s="291"/>
      <c r="CW135" s="291">
        <f>Tabla3[[#This Row],[Reinscripción 2019-2020]]*Tabla3[[#This Row],[% Beca Reinscripciones Comunidad 19-20]]</f>
        <v>0</v>
      </c>
      <c r="CX135" s="293">
        <f>Tabla3[[#This Row],[Cantidad Beca Reinscripciones Comunidad 19-20]]*75%</f>
        <v>0</v>
      </c>
      <c r="CY135" s="312">
        <f>Tabla3[[#This Row],[75% Cantidad Beca Comunidad Colegiatura 18-19]]+Tabla3[[#This Row],[75% Cantidad Beca Reinscripciones 19-20]]</f>
        <v>0</v>
      </c>
      <c r="CZ135" s="3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35" s="3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35" s="313">
        <f>1440*(Tabla3[[#This Row],[% AutorizadoBeca Colegiatura 18-19]]+Tabla3[[#This Row],[% Beca Prestacion 18-19]]+Tabla3[[#This Row],[% Beca UNAM 18-19]]+Tabla3[[#This Row],[% Beca Comunidad 18-19]])</f>
        <v>0</v>
      </c>
    </row>
    <row r="136" spans="2:106" s="314" customFormat="1" hidden="1" x14ac:dyDescent="0.2">
      <c r="B136" s="289" t="s">
        <v>860</v>
      </c>
      <c r="C136" s="289" t="e">
        <f>VLOOKUP(Tabla3[[#This Row],[Nombre del Padre]],[1]!Tabla1[[PADRE]:[PADRE_CELULAR]],2,0)</f>
        <v>#REF!</v>
      </c>
      <c r="D136" s="289" t="e">
        <f>VLOOKUP(Tabla3[[#This Row],[Nombre del Padre]],[1]!Tabla1[[PADRE]:[PADRE_CELULAR]],3,0)</f>
        <v>#REF!</v>
      </c>
      <c r="E136" s="289" t="s">
        <v>861</v>
      </c>
      <c r="F136" s="289" t="e">
        <f>VLOOKUP(Tabla3[[#This Row],[Nombre de la Madre]],[1]!Tabla1[[MADRE]:[MADRE_TELEFONO]],2,0)</f>
        <v>#REF!</v>
      </c>
      <c r="G136" s="202" t="s">
        <v>862</v>
      </c>
      <c r="H136" s="315"/>
      <c r="I136" s="291">
        <v>2057</v>
      </c>
      <c r="J136" s="291" t="s">
        <v>863</v>
      </c>
      <c r="K136" s="291" t="s">
        <v>420</v>
      </c>
      <c r="L136" s="291" t="s">
        <v>864</v>
      </c>
      <c r="M136" s="292" t="s">
        <v>865</v>
      </c>
      <c r="N136" s="292" t="s">
        <v>336</v>
      </c>
      <c r="O136" s="293" t="e">
        <f>VLOOKUP(Tabla3[[#This Row],[Grado]],[2]Cuotas!$A:$E,2,0)</f>
        <v>#N/A</v>
      </c>
      <c r="P136" s="293" t="e">
        <f>VLOOKUP(Tabla3[[#This Row],[Grado]],[2]Cuotas!$A:$E,4,0)</f>
        <v>#N/A</v>
      </c>
      <c r="Q136" s="293" t="e">
        <f>VLOOKUP(Tabla3[[#This Row],[Grado]],[2]Cuotas!$A:$E,3,0)</f>
        <v>#N/A</v>
      </c>
      <c r="R136" s="294">
        <v>0.2</v>
      </c>
      <c r="S136" s="293" t="e">
        <f>Tabla3[[#This Row],[Monto Colegiatura]]*Tabla3[[#This Row],[% Beca Colegio 16-17]]</f>
        <v>#N/A</v>
      </c>
      <c r="T136" s="293"/>
      <c r="U136" s="293" t="e">
        <f>Tabla3[[#This Row],[Monto Colegiatura]]*Tabla3[[#This Row],[% Beca Prestación 16-17]]</f>
        <v>#N/A</v>
      </c>
      <c r="V136" s="295"/>
      <c r="W136" s="293" t="e">
        <f>Tabla3[[#This Row],[Monto Colegiatura]]*Tabla3[[#This Row],[% Beca Comunidad 16-17]]</f>
        <v>#N/A</v>
      </c>
      <c r="X136" s="293" t="e">
        <f>Tabla3[[#This Row],[Cantidad Beca Comunidad 16-17]]*25%</f>
        <v>#N/A</v>
      </c>
      <c r="Y136" s="293"/>
      <c r="Z136" s="293" t="e">
        <f>Tabla3[[#This Row],[Monto Colegiatura]]*Tabla3[[#This Row],[% Beca UNAM 16-17]]</f>
        <v>#N/A</v>
      </c>
      <c r="AA136" s="295"/>
      <c r="AB136" s="293" t="e">
        <f>Tabla3[[#This Row],[Monto Reinscripción]]*Tabla3[[#This Row],[% Beca Reinscripción 16-17]]</f>
        <v>#N/A</v>
      </c>
      <c r="AC136" s="293"/>
      <c r="AD136" s="293" t="e">
        <f>Tabla3[[#This Row],[Monto Canasta]]*Tabla3[[#This Row],[% Beca Canasta 16-17]]</f>
        <v>#N/A</v>
      </c>
      <c r="AE136" s="293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36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36" s="297" t="e">
        <f>VLOOKUP(Tabla3[[#This Row],[Nombre del Alumno]],[2]!Tabla1[[Alumno]:[Cuenta Ciclos]],2,0)</f>
        <v>#REF!</v>
      </c>
      <c r="AH136" s="298" t="s">
        <v>866</v>
      </c>
      <c r="AI136" s="298" t="s">
        <v>717</v>
      </c>
      <c r="AJ136" s="296"/>
      <c r="AK136" s="296"/>
      <c r="AL136" s="296"/>
      <c r="AM136" s="299"/>
      <c r="AN136" s="300"/>
      <c r="AO136" s="296">
        <f>Tabla3[[#This Row],[Monto Colegiatura ]]*Tabla3[[#This Row],[% AutorizadoBeca Colegiatura 17-18]]</f>
        <v>0</v>
      </c>
      <c r="AP136" s="295"/>
      <c r="AQ136" s="296">
        <f>Tabla3[[#This Row],[Monto Colegiatura ]]*Tabla3[[#This Row],[% Beca Prestacion 17-18]]</f>
        <v>0</v>
      </c>
      <c r="AR136" s="295"/>
      <c r="AS136" s="296">
        <f>Tabla3[[#This Row],[Canasta]]*Tabla3[[#This Row],[% Beca Canasta 17-18]]</f>
        <v>0</v>
      </c>
      <c r="AT136" s="295"/>
      <c r="AU136" s="301">
        <v>0</v>
      </c>
      <c r="AV136" s="296">
        <f>Tabla3[[#This Row],[Cantidad Beca Comunidad Colegiatura 17-18]]*25%</f>
        <v>0</v>
      </c>
      <c r="AW136" s="293"/>
      <c r="AX136" s="302"/>
      <c r="AY136" s="296">
        <f>Tabla3[[#This Row],[Monto Colegiatura ]]*Tabla3[[#This Row],[% Beca UNAM 17-18]]</f>
        <v>0</v>
      </c>
      <c r="AZ136" s="293"/>
      <c r="BA136" s="303">
        <f>3200*Tabla3[[#This Row],[% Beca Reinscripciones UNAM 17-18]]</f>
        <v>0</v>
      </c>
      <c r="BB136" s="293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0</v>
      </c>
      <c r="BC136" s="304"/>
      <c r="BD136" s="293">
        <f>Tabla3[[#This Row],[Monto Colegiatura ]]*Tabla3[[#This Row],[% Beca Comunidad 17-18]]</f>
        <v>0</v>
      </c>
      <c r="BE136" s="293">
        <f>Tabla3[[#This Row],[Cantidad Beca Comunidad Colegiatura 17-18]]*75%</f>
        <v>0</v>
      </c>
      <c r="BF136" s="295"/>
      <c r="BG136" s="293">
        <f>Tabla3[[#This Row],[Reinscripción]]*Tabla3[[#This Row],[% Beca Reinscripciones Comunidad 18-19]]</f>
        <v>0</v>
      </c>
      <c r="BH136" s="293">
        <f>Tabla3[[#This Row],[Cantidad Beca Reinscripciones Comunidad 18-19]]*70%</f>
        <v>0</v>
      </c>
      <c r="BI136" s="303">
        <f>Tabla3[[#This Row],[75% Cantidad Beca Comunidad Colegiatura 17-18]]+Tabla3[[#This Row],[70% Cantidad Beca Reinscripciones 18-19]]</f>
        <v>0</v>
      </c>
      <c r="BJ136" s="305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0</v>
      </c>
      <c r="BK136" s="296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0</v>
      </c>
      <c r="BL136" s="293"/>
      <c r="BM136" s="291"/>
      <c r="BN136" s="306"/>
      <c r="BO136" s="307"/>
      <c r="BP136" s="307">
        <f>Tabla3[[#This Row],[% AutorizadoBeca Colegiatura 17-18]]+Tabla3[[#This Row],[% Beca Prestacion 17-18]]+Tabla3[[#This Row],[% Beca UNAM 17-18]]</f>
        <v>0</v>
      </c>
      <c r="BQ136" s="308">
        <f t="shared" si="3"/>
        <v>0</v>
      </c>
      <c r="BR136" s="307">
        <f>Tabla3[[#This Row],[% Beca Comunidad 17-18]]</f>
        <v>0</v>
      </c>
      <c r="BS136" s="308">
        <f t="shared" si="4"/>
        <v>0</v>
      </c>
      <c r="BT136" s="308">
        <f t="shared" si="5"/>
        <v>0</v>
      </c>
      <c r="BU136" s="308">
        <f>Tabla3[[#This Row],[Monto3]]*75%</f>
        <v>0</v>
      </c>
      <c r="BV136" s="307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0</v>
      </c>
      <c r="BW136" s="307" t="s">
        <v>827</v>
      </c>
      <c r="BX136" s="307" t="e">
        <f>VLOOKUP(Tabla3[[#This Row],[Nombre del Alumno]],[1]!Tabla1[[NOMBRE DEL ALUMNO]:[MATRIZ]],6,0)</f>
        <v>#REF!</v>
      </c>
      <c r="BY136" s="307"/>
      <c r="BZ136" s="308"/>
      <c r="CA136" s="308"/>
      <c r="CB136" s="308"/>
      <c r="CC136" s="289"/>
      <c r="CD136" s="309"/>
      <c r="CE136" s="293">
        <f>Tabla3[[#This Row],[Monto Colegiatura 2018-2019]]*Tabla3[[#This Row],[% AutorizadoBeca Colegiatura 18-19]]</f>
        <v>0</v>
      </c>
      <c r="CF136" s="291"/>
      <c r="CG136" s="293">
        <f>Tabla3[[#This Row],[Monto Colegiatura 2018-2019]]*Tabla3[[#This Row],[% Beca Prestacion 18-19]]</f>
        <v>0</v>
      </c>
      <c r="CH136" s="310" t="e">
        <f>VLOOKUP(Tabla3[[#This Row],[Nombre del Alumno]],'[3]BECAS REINSCRIPCIONES'!$B$37:$D$40,3,0)</f>
        <v>#N/A</v>
      </c>
      <c r="CI136" s="293" t="e">
        <f>Tabla3[[#This Row],[Canasta 2018-2019]]*Tabla3[[#This Row],[% Beca Canasta 18-19]]</f>
        <v>#N/A</v>
      </c>
      <c r="CJ136" s="310" t="e">
        <f>VLOOKUP(Tabla3[[#This Row],[Nombre del Alumno]],'[3]BECAS REINSCRIPCIONES'!$B$8:$D$21,3,0)</f>
        <v>#N/A</v>
      </c>
      <c r="CK136" s="293" t="e">
        <f>Tabla3[[#This Row],[Reinscripción 2019-2020]]*Tabla3[[#This Row],[% Beca Reinscripciones 19-20]]</f>
        <v>#N/A</v>
      </c>
      <c r="CL136" s="293">
        <f>Tabla3[[#This Row],[Cantidad Beca Comunidad Colegiatura 18-19]]*25%</f>
        <v>0</v>
      </c>
      <c r="CM136" s="303">
        <f>Tabla3[[#This Row],[Cantidad Beca Reinscripciones Comunidad 19-20]]*25%</f>
        <v>0</v>
      </c>
      <c r="CN136" s="309"/>
      <c r="CO136" s="291">
        <f>Tabla3[[#This Row],[Monto Colegiatura 2018-2019]]*Tabla3[[#This Row],[% Beca UNAM 18-19]]</f>
        <v>0</v>
      </c>
      <c r="CP136" s="291"/>
      <c r="CQ136" s="303">
        <f>3328*Tabla3[[#This Row],[% Beca Reinscripciones UNAM 18-19]]</f>
        <v>0</v>
      </c>
      <c r="CR136" s="311" t="e">
        <f>Tabla3[[#This Row],[Cantidad Beca Colegiatura 18-19]]+Tabla3[[#This Row],[Cantidad Beca Canasta 18-19]]+Tabla3[[#This Row],[Cantidad Beca Reinscripciones 19-20]]</f>
        <v>#N/A</v>
      </c>
      <c r="CS136" s="309"/>
      <c r="CT136" s="291">
        <f>Tabla3[[#This Row],[Monto Colegiatura 2018-2019]]*Tabla3[[#This Row],[% Beca Comunidad 18-19]]</f>
        <v>0</v>
      </c>
      <c r="CU136" s="293">
        <f>Tabla3[[#This Row],[Cantidad Beca Comunidad Colegiatura 18-19]]*75%</f>
        <v>0</v>
      </c>
      <c r="CV136" s="291"/>
      <c r="CW136" s="291">
        <f>Tabla3[[#This Row],[Reinscripción 2019-2020]]*Tabla3[[#This Row],[% Beca Reinscripciones Comunidad 19-20]]</f>
        <v>0</v>
      </c>
      <c r="CX136" s="293">
        <f>Tabla3[[#This Row],[Cantidad Beca Reinscripciones Comunidad 19-20]]*75%</f>
        <v>0</v>
      </c>
      <c r="CY136" s="312">
        <f>Tabla3[[#This Row],[75% Cantidad Beca Comunidad Colegiatura 18-19]]+Tabla3[[#This Row],[75% Cantidad Beca Reinscripciones 19-20]]</f>
        <v>0</v>
      </c>
      <c r="CZ136" s="3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36" s="3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36" s="313">
        <f>1440*(Tabla3[[#This Row],[% AutorizadoBeca Colegiatura 18-19]]+Tabla3[[#This Row],[% Beca Prestacion 18-19]]+Tabla3[[#This Row],[% Beca UNAM 18-19]]+Tabla3[[#This Row],[% Beca Comunidad 18-19]])</f>
        <v>0</v>
      </c>
    </row>
    <row r="137" spans="2:106" s="314" customFormat="1" hidden="1" x14ac:dyDescent="0.2">
      <c r="B137" s="289" t="s">
        <v>867</v>
      </c>
      <c r="C137" s="289" t="e">
        <f>VLOOKUP(Tabla3[[#This Row],[Nombre del Padre]],[1]!Tabla1[[PADRE]:[PADRE_CELULAR]],2,0)</f>
        <v>#REF!</v>
      </c>
      <c r="D137" s="289" t="e">
        <f>VLOOKUP(Tabla3[[#This Row],[Nombre del Padre]],[1]!Tabla1[[PADRE]:[PADRE_CELULAR]],3,0)</f>
        <v>#REF!</v>
      </c>
      <c r="E137" s="289" t="s">
        <v>868</v>
      </c>
      <c r="F137" s="289" t="e">
        <f>VLOOKUP(Tabla3[[#This Row],[Nombre de la Madre]],[1]!Tabla1[[MADRE]:[MADRE_TELEFONO]],2,0)</f>
        <v>#REF!</v>
      </c>
      <c r="G137" s="202" t="s">
        <v>869</v>
      </c>
      <c r="H137" s="315"/>
      <c r="I137" s="291">
        <v>1201</v>
      </c>
      <c r="J137" s="291" t="s">
        <v>870</v>
      </c>
      <c r="K137" s="291" t="s">
        <v>273</v>
      </c>
      <c r="L137" s="291" t="s">
        <v>871</v>
      </c>
      <c r="M137" s="292" t="s">
        <v>770</v>
      </c>
      <c r="N137" s="292" t="s">
        <v>336</v>
      </c>
      <c r="O137" s="293" t="e">
        <f>VLOOKUP(Tabla3[[#This Row],[Grado]],[2]Cuotas!$A:$E,2,0)</f>
        <v>#N/A</v>
      </c>
      <c r="P137" s="293" t="e">
        <f>VLOOKUP(Tabla3[[#This Row],[Grado]],[2]Cuotas!$A:$E,4,0)</f>
        <v>#N/A</v>
      </c>
      <c r="Q137" s="293" t="e">
        <f>VLOOKUP(Tabla3[[#This Row],[Grado]],[2]Cuotas!$A:$E,3,0)</f>
        <v>#N/A</v>
      </c>
      <c r="R137" s="294">
        <v>0.5</v>
      </c>
      <c r="S137" s="293" t="e">
        <f>Tabla3[[#This Row],[Monto Colegiatura]]*Tabla3[[#This Row],[% Beca Colegio 16-17]]</f>
        <v>#N/A</v>
      </c>
      <c r="T137" s="293"/>
      <c r="U137" s="293" t="e">
        <f>Tabla3[[#This Row],[Monto Colegiatura]]*Tabla3[[#This Row],[% Beca Prestación 16-17]]</f>
        <v>#N/A</v>
      </c>
      <c r="V137" s="295"/>
      <c r="W137" s="293" t="e">
        <f>Tabla3[[#This Row],[Monto Colegiatura]]*Tabla3[[#This Row],[% Beca Comunidad 16-17]]</f>
        <v>#N/A</v>
      </c>
      <c r="X137" s="293" t="e">
        <f>Tabla3[[#This Row],[Cantidad Beca Comunidad 16-17]]*25%</f>
        <v>#N/A</v>
      </c>
      <c r="Y137" s="293"/>
      <c r="Z137" s="293" t="e">
        <f>Tabla3[[#This Row],[Monto Colegiatura]]*Tabla3[[#This Row],[% Beca UNAM 16-17]]</f>
        <v>#N/A</v>
      </c>
      <c r="AA137" s="295"/>
      <c r="AB137" s="293" t="e">
        <f>Tabla3[[#This Row],[Monto Reinscripción]]*Tabla3[[#This Row],[% Beca Reinscripción 16-17]]</f>
        <v>#N/A</v>
      </c>
      <c r="AC137" s="293"/>
      <c r="AD137" s="293" t="e">
        <f>Tabla3[[#This Row],[Monto Canasta]]*Tabla3[[#This Row],[% Beca Canasta 16-17]]</f>
        <v>#N/A</v>
      </c>
      <c r="AE137" s="293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37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37" s="297" t="e">
        <f>VLOOKUP(Tabla3[[#This Row],[Nombre del Alumno]],[2]!Tabla1[[Alumno]:[Cuenta Ciclos]],2,0)</f>
        <v>#REF!</v>
      </c>
      <c r="AH137" s="298" t="s">
        <v>716</v>
      </c>
      <c r="AI137" s="298" t="s">
        <v>717</v>
      </c>
      <c r="AJ137" s="296"/>
      <c r="AK137" s="296"/>
      <c r="AL137" s="296"/>
      <c r="AM137" s="299">
        <v>0.5</v>
      </c>
      <c r="AN137" s="300"/>
      <c r="AO137" s="296">
        <f>Tabla3[[#This Row],[Monto Colegiatura ]]*Tabla3[[#This Row],[% AutorizadoBeca Colegiatura 17-18]]</f>
        <v>0</v>
      </c>
      <c r="AP137" s="295"/>
      <c r="AQ137" s="296">
        <f>Tabla3[[#This Row],[Monto Colegiatura ]]*Tabla3[[#This Row],[% Beca Prestacion 17-18]]</f>
        <v>0</v>
      </c>
      <c r="AR137" s="295"/>
      <c r="AS137" s="296">
        <f>Tabla3[[#This Row],[Canasta]]*Tabla3[[#This Row],[% Beca Canasta 17-18]]</f>
        <v>0</v>
      </c>
      <c r="AT137" s="295"/>
      <c r="AU137" s="301">
        <v>0</v>
      </c>
      <c r="AV137" s="296">
        <f>Tabla3[[#This Row],[Cantidad Beca Comunidad Colegiatura 17-18]]*25%</f>
        <v>0</v>
      </c>
      <c r="AW137" s="293"/>
      <c r="AX137" s="302"/>
      <c r="AY137" s="296">
        <f>Tabla3[[#This Row],[Monto Colegiatura ]]*Tabla3[[#This Row],[% Beca UNAM 17-18]]</f>
        <v>0</v>
      </c>
      <c r="AZ137" s="293"/>
      <c r="BA137" s="303">
        <f>3200*Tabla3[[#This Row],[% Beca Reinscripciones UNAM 17-18]]</f>
        <v>0</v>
      </c>
      <c r="BB137" s="293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0</v>
      </c>
      <c r="BC137" s="304"/>
      <c r="BD137" s="293">
        <f>Tabla3[[#This Row],[Monto Colegiatura ]]*Tabla3[[#This Row],[% Beca Comunidad 17-18]]</f>
        <v>0</v>
      </c>
      <c r="BE137" s="293">
        <f>Tabla3[[#This Row],[Cantidad Beca Comunidad Colegiatura 17-18]]*75%</f>
        <v>0</v>
      </c>
      <c r="BF137" s="295"/>
      <c r="BG137" s="293">
        <f>Tabla3[[#This Row],[Reinscripción]]*Tabla3[[#This Row],[% Beca Reinscripciones Comunidad 18-19]]</f>
        <v>0</v>
      </c>
      <c r="BH137" s="293">
        <f>Tabla3[[#This Row],[Cantidad Beca Reinscripciones Comunidad 18-19]]*70%</f>
        <v>0</v>
      </c>
      <c r="BI137" s="303">
        <f>Tabla3[[#This Row],[75% Cantidad Beca Comunidad Colegiatura 17-18]]+Tabla3[[#This Row],[70% Cantidad Beca Reinscripciones 18-19]]</f>
        <v>0</v>
      </c>
      <c r="BJ137" s="305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0</v>
      </c>
      <c r="BK137" s="296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0</v>
      </c>
      <c r="BL137" s="293"/>
      <c r="BM137" s="291"/>
      <c r="BN137" s="306" t="s">
        <v>872</v>
      </c>
      <c r="BO137" s="307" t="s">
        <v>835</v>
      </c>
      <c r="BP137" s="307">
        <f>Tabla3[[#This Row],[% AutorizadoBeca Colegiatura 17-18]]+Tabla3[[#This Row],[% Beca Prestacion 17-18]]+Tabla3[[#This Row],[% Beca UNAM 17-18]]</f>
        <v>0</v>
      </c>
      <c r="BQ137" s="308">
        <f t="shared" si="3"/>
        <v>0</v>
      </c>
      <c r="BR137" s="307">
        <f>Tabla3[[#This Row],[% Beca Comunidad 17-18]]</f>
        <v>0</v>
      </c>
      <c r="BS137" s="308">
        <f t="shared" si="4"/>
        <v>0</v>
      </c>
      <c r="BT137" s="308">
        <f t="shared" si="5"/>
        <v>0</v>
      </c>
      <c r="BU137" s="308">
        <f>Tabla3[[#This Row],[Monto3]]*75%</f>
        <v>0</v>
      </c>
      <c r="BV137" s="307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0</v>
      </c>
      <c r="BW137" s="307" t="s">
        <v>716</v>
      </c>
      <c r="BX137" s="307" t="e">
        <f>VLOOKUP(Tabla3[[#This Row],[Nombre del Alumno]],[1]!Tabla1[[NOMBRE DEL ALUMNO]:[MATRIZ]],6,0)</f>
        <v>#REF!</v>
      </c>
      <c r="BY137" s="307"/>
      <c r="BZ137" s="308"/>
      <c r="CA137" s="308"/>
      <c r="CB137" s="308"/>
      <c r="CC137" s="289"/>
      <c r="CD137" s="309"/>
      <c r="CE137" s="293">
        <f>Tabla3[[#This Row],[Monto Colegiatura 2018-2019]]*Tabla3[[#This Row],[% AutorizadoBeca Colegiatura 18-19]]</f>
        <v>0</v>
      </c>
      <c r="CF137" s="291"/>
      <c r="CG137" s="293">
        <f>Tabla3[[#This Row],[Monto Colegiatura 2018-2019]]*Tabla3[[#This Row],[% Beca Prestacion 18-19]]</f>
        <v>0</v>
      </c>
      <c r="CH137" s="310" t="e">
        <f>VLOOKUP(Tabla3[[#This Row],[Nombre del Alumno]],'[3]BECAS REINSCRIPCIONES'!$B$37:$D$40,3,0)</f>
        <v>#N/A</v>
      </c>
      <c r="CI137" s="293" t="e">
        <f>Tabla3[[#This Row],[Canasta 2018-2019]]*Tabla3[[#This Row],[% Beca Canasta 18-19]]</f>
        <v>#N/A</v>
      </c>
      <c r="CJ137" s="310" t="e">
        <f>VLOOKUP(Tabla3[[#This Row],[Nombre del Alumno]],'[3]BECAS REINSCRIPCIONES'!$B$8:$D$21,3,0)</f>
        <v>#N/A</v>
      </c>
      <c r="CK137" s="293" t="e">
        <f>Tabla3[[#This Row],[Reinscripción 2019-2020]]*Tabla3[[#This Row],[% Beca Reinscripciones 19-20]]</f>
        <v>#N/A</v>
      </c>
      <c r="CL137" s="293">
        <f>Tabla3[[#This Row],[Cantidad Beca Comunidad Colegiatura 18-19]]*25%</f>
        <v>0</v>
      </c>
      <c r="CM137" s="303">
        <f>Tabla3[[#This Row],[Cantidad Beca Reinscripciones Comunidad 19-20]]*25%</f>
        <v>0</v>
      </c>
      <c r="CN137" s="309"/>
      <c r="CO137" s="291">
        <f>Tabla3[[#This Row],[Monto Colegiatura 2018-2019]]*Tabla3[[#This Row],[% Beca UNAM 18-19]]</f>
        <v>0</v>
      </c>
      <c r="CP137" s="291"/>
      <c r="CQ137" s="303">
        <f>3328*Tabla3[[#This Row],[% Beca Reinscripciones UNAM 18-19]]</f>
        <v>0</v>
      </c>
      <c r="CR137" s="311" t="e">
        <f>Tabla3[[#This Row],[Cantidad Beca Colegiatura 18-19]]+Tabla3[[#This Row],[Cantidad Beca Canasta 18-19]]+Tabla3[[#This Row],[Cantidad Beca Reinscripciones 19-20]]</f>
        <v>#N/A</v>
      </c>
      <c r="CS137" s="309"/>
      <c r="CT137" s="291">
        <f>Tabla3[[#This Row],[Monto Colegiatura 2018-2019]]*Tabla3[[#This Row],[% Beca Comunidad 18-19]]</f>
        <v>0</v>
      </c>
      <c r="CU137" s="293">
        <f>Tabla3[[#This Row],[Cantidad Beca Comunidad Colegiatura 18-19]]*75%</f>
        <v>0</v>
      </c>
      <c r="CV137" s="291"/>
      <c r="CW137" s="291">
        <f>Tabla3[[#This Row],[Reinscripción 2019-2020]]*Tabla3[[#This Row],[% Beca Reinscripciones Comunidad 19-20]]</f>
        <v>0</v>
      </c>
      <c r="CX137" s="293">
        <f>Tabla3[[#This Row],[Cantidad Beca Reinscripciones Comunidad 19-20]]*75%</f>
        <v>0</v>
      </c>
      <c r="CY137" s="312">
        <f>Tabla3[[#This Row],[75% Cantidad Beca Comunidad Colegiatura 18-19]]+Tabla3[[#This Row],[75% Cantidad Beca Reinscripciones 19-20]]</f>
        <v>0</v>
      </c>
      <c r="CZ137" s="3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37" s="3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37" s="313">
        <f>1440*(Tabla3[[#This Row],[% AutorizadoBeca Colegiatura 18-19]]+Tabla3[[#This Row],[% Beca Prestacion 18-19]]+Tabla3[[#This Row],[% Beca UNAM 18-19]]+Tabla3[[#This Row],[% Beca Comunidad 18-19]])</f>
        <v>0</v>
      </c>
    </row>
    <row r="138" spans="2:106" s="314" customFormat="1" ht="18" hidden="1" x14ac:dyDescent="0.2">
      <c r="B138" s="289" t="s">
        <v>873</v>
      </c>
      <c r="C138" s="289" t="e">
        <f>VLOOKUP(Tabla3[[#This Row],[Nombre del Padre]],[1]!Tabla1[[PADRE]:[PADRE_CELULAR]],2,0)</f>
        <v>#REF!</v>
      </c>
      <c r="D138" s="289" t="e">
        <f>VLOOKUP(Tabla3[[#This Row],[Nombre del Padre]],[1]!Tabla1[[PADRE]:[PADRE_CELULAR]],3,0)</f>
        <v>#REF!</v>
      </c>
      <c r="E138" s="289" t="s">
        <v>874</v>
      </c>
      <c r="F138" s="289" t="e">
        <f>VLOOKUP(Tabla3[[#This Row],[Nombre de la Madre]],[1]!Tabla1[[MADRE]:[MADRE_TELEFONO]],2,0)</f>
        <v>#REF!</v>
      </c>
      <c r="G138" s="202" t="s">
        <v>875</v>
      </c>
      <c r="H138" s="315">
        <v>1</v>
      </c>
      <c r="I138" s="291">
        <v>1426</v>
      </c>
      <c r="J138" s="291" t="s">
        <v>876</v>
      </c>
      <c r="K138" s="291" t="s">
        <v>273</v>
      </c>
      <c r="L138" s="291" t="s">
        <v>877</v>
      </c>
      <c r="M138" s="292" t="s">
        <v>878</v>
      </c>
      <c r="N138" s="292" t="s">
        <v>409</v>
      </c>
      <c r="O138" s="293" t="e">
        <f>VLOOKUP(Tabla3[[#This Row],[Grado]],[2]Cuotas!$A:$E,2,0)</f>
        <v>#N/A</v>
      </c>
      <c r="P138" s="293" t="e">
        <f>VLOOKUP(Tabla3[[#This Row],[Grado]],[2]Cuotas!$A:$E,4,0)</f>
        <v>#N/A</v>
      </c>
      <c r="Q138" s="293" t="e">
        <f>VLOOKUP(Tabla3[[#This Row],[Grado]],[2]Cuotas!$A:$E,3,0)</f>
        <v>#N/A</v>
      </c>
      <c r="R138" s="294">
        <v>0.55000000000000004</v>
      </c>
      <c r="S138" s="293" t="e">
        <f>Tabla3[[#This Row],[Monto Colegiatura]]*Tabla3[[#This Row],[% Beca Colegio 16-17]]</f>
        <v>#N/A</v>
      </c>
      <c r="T138" s="293"/>
      <c r="U138" s="293" t="e">
        <f>Tabla3[[#This Row],[Monto Colegiatura]]*Tabla3[[#This Row],[% Beca Prestación 16-17]]</f>
        <v>#N/A</v>
      </c>
      <c r="V138" s="295">
        <v>0.45</v>
      </c>
      <c r="W138" s="293" t="e">
        <f>Tabla3[[#This Row],[Monto Colegiatura]]*Tabla3[[#This Row],[% Beca Comunidad 16-17]]</f>
        <v>#N/A</v>
      </c>
      <c r="X138" s="293" t="e">
        <f>Tabla3[[#This Row],[Cantidad Beca Comunidad 16-17]]*25%</f>
        <v>#N/A</v>
      </c>
      <c r="Y138" s="293"/>
      <c r="Z138" s="293" t="e">
        <f>Tabla3[[#This Row],[Monto Colegiatura]]*Tabla3[[#This Row],[% Beca UNAM 16-17]]</f>
        <v>#N/A</v>
      </c>
      <c r="AA138" s="295">
        <f>VLOOKUP(Tabla3[[#This Row],[Nombre del Alumno]],'[4]BECAS REINSCRIPCIONES'!$B$9:$D$31,3,0)</f>
        <v>0</v>
      </c>
      <c r="AB138" s="293" t="e">
        <f>Tabla3[[#This Row],[Monto Reinscripción]]*Tabla3[[#This Row],[% Beca Reinscripción 16-17]]</f>
        <v>#N/A</v>
      </c>
      <c r="AC138" s="293"/>
      <c r="AD138" s="293" t="e">
        <f>Tabla3[[#This Row],[Monto Canasta]]*Tabla3[[#This Row],[% Beca Canasta 16-17]]</f>
        <v>#N/A</v>
      </c>
      <c r="AE138" s="293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38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38" s="297" t="e">
        <f>VLOOKUP(Tabla3[[#This Row],[Nombre del Alumno]],[2]!Tabla1[[Alumno]:[Cuenta Ciclos]],2,0)</f>
        <v>#REF!</v>
      </c>
      <c r="AH138" s="298" t="s">
        <v>879</v>
      </c>
      <c r="AI138" s="298" t="s">
        <v>542</v>
      </c>
      <c r="AJ138" s="296" t="e">
        <f>VLOOKUP(Tabla3[[#This Row],[Grado 17-18]],[2]Cuotas!$H:$L,2,0)</f>
        <v>#N/A</v>
      </c>
      <c r="AK138" s="296" t="e">
        <f>VLOOKUP(Tabla3[[#This Row],[Grado 17-18]],[2]Cuotas!$H:$L,3,0)</f>
        <v>#N/A</v>
      </c>
      <c r="AL138" s="296" t="e">
        <f>VLOOKUP(Tabla3[[#This Row],[Grado 17-18]],[2]Cuotas!$H:$L,4,0)</f>
        <v>#N/A</v>
      </c>
      <c r="AM138" s="299">
        <v>0.55000000000000004</v>
      </c>
      <c r="AN138" s="300">
        <v>0.55000000000000004</v>
      </c>
      <c r="AO138" s="296" t="e">
        <f>Tabla3[[#This Row],[Monto Colegiatura ]]*Tabla3[[#This Row],[% AutorizadoBeca Colegiatura 17-18]]</f>
        <v>#N/A</v>
      </c>
      <c r="AP138" s="295"/>
      <c r="AQ138" s="296" t="e">
        <f>Tabla3[[#This Row],[Monto Colegiatura ]]*Tabla3[[#This Row],[% Beca Prestacion 17-18]]</f>
        <v>#N/A</v>
      </c>
      <c r="AR138" s="295"/>
      <c r="AS138" s="296" t="e">
        <f>Tabla3[[#This Row],[Canasta]]*Tabla3[[#This Row],[% Beca Canasta 17-18]]</f>
        <v>#N/A</v>
      </c>
      <c r="AT138" s="295"/>
      <c r="AU138" s="301">
        <v>0</v>
      </c>
      <c r="AV138" s="296" t="e">
        <f>Tabla3[[#This Row],[Cantidad Beca Comunidad Colegiatura 17-18]]*25%</f>
        <v>#N/A</v>
      </c>
      <c r="AW138" s="293"/>
      <c r="AX138" s="302"/>
      <c r="AY138" s="296" t="e">
        <f>Tabla3[[#This Row],[Monto Colegiatura ]]*Tabla3[[#This Row],[% Beca UNAM 17-18]]</f>
        <v>#N/A</v>
      </c>
      <c r="AZ138" s="293"/>
      <c r="BA138" s="303">
        <f>3200*Tabla3[[#This Row],[% Beca Reinscripciones UNAM 17-18]]</f>
        <v>0</v>
      </c>
      <c r="BB138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38" s="304">
        <v>0.45</v>
      </c>
      <c r="BD138" s="293" t="e">
        <f>Tabla3[[#This Row],[Monto Colegiatura ]]*Tabla3[[#This Row],[% Beca Comunidad 17-18]]</f>
        <v>#N/A</v>
      </c>
      <c r="BE138" s="293" t="e">
        <f>Tabla3[[#This Row],[Cantidad Beca Comunidad Colegiatura 17-18]]*75%</f>
        <v>#N/A</v>
      </c>
      <c r="BF138" s="295"/>
      <c r="BG138" s="293" t="e">
        <f>Tabla3[[#This Row],[Reinscripción]]*Tabla3[[#This Row],[% Beca Reinscripciones Comunidad 18-19]]</f>
        <v>#N/A</v>
      </c>
      <c r="BH138" s="293" t="e">
        <f>Tabla3[[#This Row],[Cantidad Beca Reinscripciones Comunidad 18-19]]*70%</f>
        <v>#N/A</v>
      </c>
      <c r="BI138" s="303" t="e">
        <f>Tabla3[[#This Row],[75% Cantidad Beca Comunidad Colegiatura 17-18]]+Tabla3[[#This Row],[70% Cantidad Beca Reinscripciones 18-19]]</f>
        <v>#N/A</v>
      </c>
      <c r="BJ138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38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38" s="293"/>
      <c r="BM138" s="291"/>
      <c r="BN138" s="306" t="s">
        <v>880</v>
      </c>
      <c r="BO138" s="307"/>
      <c r="BP138" s="307">
        <f>Tabla3[[#This Row],[% AutorizadoBeca Colegiatura 17-18]]+Tabla3[[#This Row],[% Beca Prestacion 17-18]]+Tabla3[[#This Row],[% Beca UNAM 17-18]]</f>
        <v>0.55000000000000004</v>
      </c>
      <c r="BQ138" s="308">
        <f t="shared" ref="BQ138:BQ148" si="6">1147*BP138</f>
        <v>630.85</v>
      </c>
      <c r="BR138" s="307">
        <f>Tabla3[[#This Row],[% Beca Comunidad 17-18]]</f>
        <v>0.45</v>
      </c>
      <c r="BS138" s="308">
        <f t="shared" ref="BS138:BS148" si="7">1147*BR138</f>
        <v>516.15</v>
      </c>
      <c r="BT138" s="308">
        <f t="shared" ref="BT138:BT149" si="8">BS138*25%</f>
        <v>129.03749999999999</v>
      </c>
      <c r="BU138" s="308">
        <f>Tabla3[[#This Row],[Monto3]]*75%</f>
        <v>387.11249999999995</v>
      </c>
      <c r="BV138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38" s="307"/>
      <c r="BX138" s="307" t="e">
        <f>VLOOKUP(Tabla3[[#This Row],[Nombre del Alumno]],[1]!Tabla1[[NOMBRE DEL ALUMNO]:[MATRIZ]],6,0)</f>
        <v>#REF!</v>
      </c>
      <c r="BY138" s="307" t="s">
        <v>881</v>
      </c>
      <c r="BZ138" s="308"/>
      <c r="CA138" s="308"/>
      <c r="CB138" s="308"/>
      <c r="CC138" s="289"/>
      <c r="CD138" s="319"/>
      <c r="CE138" s="293"/>
      <c r="CF138" s="310"/>
      <c r="CG138" s="293"/>
      <c r="CH138" s="310"/>
      <c r="CI138" s="293">
        <f>Tabla3[[#This Row],[Canasta 2018-2019]]*Tabla3[[#This Row],[% Beca Canasta 18-19]]</f>
        <v>0</v>
      </c>
      <c r="CJ138" s="310"/>
      <c r="CK138" s="293">
        <f>Tabla3[[#This Row],[Reinscripción 2019-2020]]*Tabla3[[#This Row],[% Beca Reinscripciones 19-20]]</f>
        <v>0</v>
      </c>
      <c r="CL138" s="293">
        <f>Tabla3[[#This Row],[Cantidad Beca Comunidad Colegiatura 18-19]]*25%</f>
        <v>0</v>
      </c>
      <c r="CM138" s="303">
        <f>Tabla3[[#This Row],[Cantidad Beca Reinscripciones Comunidad 19-20]]*25%</f>
        <v>0</v>
      </c>
      <c r="CN138" s="319"/>
      <c r="CO138" s="293"/>
      <c r="CP138" s="291"/>
      <c r="CQ138" s="303">
        <f>3328*Tabla3[[#This Row],[% Beca Reinscripciones UNAM 18-19]]</f>
        <v>0</v>
      </c>
      <c r="CR138" s="311">
        <f>Tabla3[[#This Row],[Cantidad Beca Colegiatura 18-19]]+Tabla3[[#This Row],[Cantidad Beca Canasta 18-19]]+Tabla3[[#This Row],[Cantidad Beca Reinscripciones 19-20]]</f>
        <v>0</v>
      </c>
      <c r="CS138" s="319"/>
      <c r="CT138" s="293"/>
      <c r="CU138" s="293">
        <f>Tabla3[[#This Row],[Cantidad Beca Comunidad Colegiatura 18-19]]*75%</f>
        <v>0</v>
      </c>
      <c r="CV138" s="310"/>
      <c r="CW138" s="293">
        <f>Tabla3[[#This Row],[Reinscripción 2019-2020]]*Tabla3[[#This Row],[% Beca Reinscripciones Comunidad 19-20]]</f>
        <v>0</v>
      </c>
      <c r="CX138" s="293">
        <f>Tabla3[[#This Row],[Cantidad Beca Reinscripciones Comunidad 19-20]]*75%</f>
        <v>0</v>
      </c>
      <c r="CY138" s="320">
        <f>Tabla3[[#This Row],[75% Cantidad Beca Comunidad Colegiatura 18-19]]+Tabla3[[#This Row],[75% Cantidad Beca Reinscripciones 19-20]]</f>
        <v>0</v>
      </c>
      <c r="CZ138" s="308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0</v>
      </c>
      <c r="DA138" s="308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0</v>
      </c>
      <c r="DB138" s="313">
        <f>1440*(Tabla3[[#This Row],[% AutorizadoBeca Colegiatura 18-19]]+Tabla3[[#This Row],[% Beca Prestacion 18-19]]+Tabla3[[#This Row],[% Beca UNAM 18-19]]+Tabla3[[#This Row],[% Beca Comunidad 18-19]])</f>
        <v>0</v>
      </c>
    </row>
    <row r="139" spans="2:106" s="314" customFormat="1" ht="18" hidden="1" x14ac:dyDescent="0.2">
      <c r="B139" s="289" t="s">
        <v>882</v>
      </c>
      <c r="C139" s="289" t="e">
        <f>VLOOKUP(Tabla3[[#This Row],[Nombre del Padre]],[1]!Tabla1[[PADRE]:[PADRE_CELULAR]],2,0)</f>
        <v>#REF!</v>
      </c>
      <c r="D139" s="289" t="e">
        <f>VLOOKUP(Tabla3[[#This Row],[Nombre del Padre]],[1]!Tabla1[[PADRE]:[PADRE_CELULAR]],3,0)</f>
        <v>#REF!</v>
      </c>
      <c r="E139" s="289" t="s">
        <v>883</v>
      </c>
      <c r="F139" s="289" t="e">
        <f>VLOOKUP(Tabla3[[#This Row],[Nombre de la Madre]],[1]!Tabla1[[MADRE]:[MADRE_TELEFONO]],2,0)</f>
        <v>#REF!</v>
      </c>
      <c r="G139" s="202">
        <v>45936880</v>
      </c>
      <c r="H139" s="290">
        <v>9</v>
      </c>
      <c r="I139" s="291">
        <v>1308</v>
      </c>
      <c r="J139" s="291" t="s">
        <v>884</v>
      </c>
      <c r="K139" s="291" t="s">
        <v>273</v>
      </c>
      <c r="L139" s="291" t="s">
        <v>885</v>
      </c>
      <c r="M139" s="292" t="s">
        <v>460</v>
      </c>
      <c r="N139" s="292" t="s">
        <v>409</v>
      </c>
      <c r="O139" s="293" t="e">
        <f>VLOOKUP(Tabla3[[#This Row],[Grado]],[2]Cuotas!$A:$E,2,0)</f>
        <v>#N/A</v>
      </c>
      <c r="P139" s="293" t="e">
        <f>VLOOKUP(Tabla3[[#This Row],[Grado]],[2]Cuotas!$A:$E,4,0)</f>
        <v>#N/A</v>
      </c>
      <c r="Q139" s="293" t="e">
        <f>VLOOKUP(Tabla3[[#This Row],[Grado]],[2]Cuotas!$A:$E,3,0)</f>
        <v>#N/A</v>
      </c>
      <c r="R139" s="294"/>
      <c r="S139" s="293" t="e">
        <f>Tabla3[[#This Row],[Monto Colegiatura]]*Tabla3[[#This Row],[% Beca Colegio 16-17]]</f>
        <v>#N/A</v>
      </c>
      <c r="T139" s="295"/>
      <c r="U139" s="293" t="e">
        <f>Tabla3[[#This Row],[Monto Colegiatura]]*Tabla3[[#This Row],[% Beca Prestación 16-17]]</f>
        <v>#N/A</v>
      </c>
      <c r="V139" s="295"/>
      <c r="W139" s="293" t="e">
        <f>Tabla3[[#This Row],[Monto Colegiatura]]*Tabla3[[#This Row],[% Beca Comunidad 16-17]]</f>
        <v>#N/A</v>
      </c>
      <c r="X139" s="293" t="e">
        <f>Tabla3[[#This Row],[Cantidad Beca Comunidad 16-17]]*25%</f>
        <v>#N/A</v>
      </c>
      <c r="Y139" s="295">
        <v>0.8</v>
      </c>
      <c r="Z139" s="301" t="e">
        <f>Tabla3[[#This Row],[Monto Colegiatura]]*Tabla3[[#This Row],[% Beca UNAM 16-17]]</f>
        <v>#N/A</v>
      </c>
      <c r="AA139" s="295" t="e">
        <f>VLOOKUP(Tabla3[[#This Row],[Nombre del Alumno]],'[4]BECAS REINSCRIPCIONES'!$B$9:$D$31,3,0)</f>
        <v>#N/A</v>
      </c>
      <c r="AB139" s="301" t="e">
        <f>Tabla3[[#This Row],[Monto Reinscripción]]*Tabla3[[#This Row],[% Beca Reinscripción 16-17]]</f>
        <v>#N/A</v>
      </c>
      <c r="AC139" s="301"/>
      <c r="AD139" s="301" t="e">
        <f>Tabla3[[#This Row],[Monto Canasta]]*Tabla3[[#This Row],[% Beca Canasta 16-17]]</f>
        <v>#N/A</v>
      </c>
      <c r="AE139" s="301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39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39" s="297" t="e">
        <f>VLOOKUP(Tabla3[[#This Row],[Nombre del Alumno]],[2]!Tabla1[[Alumno]:[Cuenta Ciclos]],2,0)</f>
        <v>#REF!</v>
      </c>
      <c r="AH139" s="298" t="s">
        <v>886</v>
      </c>
      <c r="AI139" s="321" t="s">
        <v>542</v>
      </c>
      <c r="AJ139" s="296" t="e">
        <f>VLOOKUP(Tabla3[[#This Row],[Grado 17-18]],[2]Cuotas!$H:$L,2,0)</f>
        <v>#N/A</v>
      </c>
      <c r="AK139" s="296" t="e">
        <f>VLOOKUP(Tabla3[[#This Row],[Grado 17-18]],[2]Cuotas!$H:$L,3,0)</f>
        <v>#N/A</v>
      </c>
      <c r="AL139" s="296" t="e">
        <f>VLOOKUP(Tabla3[[#This Row],[Grado 17-18]],[2]Cuotas!$H:$L,4,0)</f>
        <v>#N/A</v>
      </c>
      <c r="AM139" s="310"/>
      <c r="AN139" s="300"/>
      <c r="AO139" s="296" t="e">
        <f>Tabla3[[#This Row],[Monto Colegiatura ]]*Tabla3[[#This Row],[% AutorizadoBeca Colegiatura 17-18]]</f>
        <v>#N/A</v>
      </c>
      <c r="AP139" s="295"/>
      <c r="AQ139" s="296" t="e">
        <f>Tabla3[[#This Row],[Monto Colegiatura ]]*Tabla3[[#This Row],[% Beca Prestacion 17-18]]</f>
        <v>#N/A</v>
      </c>
      <c r="AR139" s="295"/>
      <c r="AS139" s="296" t="e">
        <f>Tabla3[[#This Row],[Canasta]]*Tabla3[[#This Row],[% Beca Canasta 17-18]]</f>
        <v>#N/A</v>
      </c>
      <c r="AT139" s="295"/>
      <c r="AU139" s="301">
        <v>0</v>
      </c>
      <c r="AV139" s="296" t="e">
        <f>Tabla3[[#This Row],[Cantidad Beca Comunidad Colegiatura 17-18]]*25%</f>
        <v>#N/A</v>
      </c>
      <c r="AW139" s="293"/>
      <c r="AX139" s="300">
        <v>0.8</v>
      </c>
      <c r="AY139" s="296" t="e">
        <f>Tabla3[[#This Row],[Monto Colegiatura ]]*Tabla3[[#This Row],[% Beca UNAM 17-18]]</f>
        <v>#N/A</v>
      </c>
      <c r="AZ139" s="295">
        <v>0.8</v>
      </c>
      <c r="BA139" s="303">
        <f>3200*Tabla3[[#This Row],[% Beca Reinscripciones UNAM 17-18]]</f>
        <v>2560</v>
      </c>
      <c r="BB139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39" s="318"/>
      <c r="BD139" s="293" t="e">
        <f>Tabla3[[#This Row],[Monto Colegiatura ]]*Tabla3[[#This Row],[% Beca Comunidad 17-18]]</f>
        <v>#N/A</v>
      </c>
      <c r="BE139" s="293" t="e">
        <f>Tabla3[[#This Row],[Cantidad Beca Comunidad Colegiatura 17-18]]*75%</f>
        <v>#N/A</v>
      </c>
      <c r="BF139" s="295"/>
      <c r="BG139" s="293" t="e">
        <f>Tabla3[[#This Row],[Reinscripción]]*Tabla3[[#This Row],[% Beca Reinscripciones Comunidad 18-19]]</f>
        <v>#N/A</v>
      </c>
      <c r="BH139" s="293" t="e">
        <f>Tabla3[[#This Row],[Cantidad Beca Reinscripciones Comunidad 18-19]]*70%</f>
        <v>#N/A</v>
      </c>
      <c r="BI139" s="303" t="e">
        <f>Tabla3[[#This Row],[75% Cantidad Beca Comunidad Colegiatura 17-18]]+Tabla3[[#This Row],[70% Cantidad Beca Reinscripciones 18-19]]</f>
        <v>#N/A</v>
      </c>
      <c r="BJ139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39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39" s="293"/>
      <c r="BM139" s="291"/>
      <c r="BN139" s="306"/>
      <c r="BO139" s="307"/>
      <c r="BP139" s="307">
        <f>Tabla3[[#This Row],[% AutorizadoBeca Colegiatura 17-18]]+Tabla3[[#This Row],[% Beca Prestacion 17-18]]+Tabla3[[#This Row],[% Beca UNAM 17-18]]</f>
        <v>0.8</v>
      </c>
      <c r="BQ139" s="308">
        <f t="shared" si="6"/>
        <v>917.6</v>
      </c>
      <c r="BR139" s="307">
        <f>Tabla3[[#This Row],[% Beca Comunidad 17-18]]</f>
        <v>0</v>
      </c>
      <c r="BS139" s="308">
        <f t="shared" si="7"/>
        <v>0</v>
      </c>
      <c r="BT139" s="308">
        <f t="shared" si="8"/>
        <v>0</v>
      </c>
      <c r="BU139" s="308">
        <f>Tabla3[[#This Row],[Monto3]]*75%</f>
        <v>0</v>
      </c>
      <c r="BV139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39" s="307"/>
      <c r="BX139" s="307" t="e">
        <f>VLOOKUP(Tabla3[[#This Row],[Nombre del Alumno]],[1]!Tabla1[[NOMBRE DEL ALUMNO]:[MATRIZ]],6,0)</f>
        <v>#REF!</v>
      </c>
      <c r="BY139" s="307" t="s">
        <v>881</v>
      </c>
      <c r="BZ139" s="308"/>
      <c r="CA139" s="308"/>
      <c r="CB139" s="308"/>
      <c r="CC139" s="289"/>
      <c r="CD139" s="319"/>
      <c r="CE139" s="293"/>
      <c r="CF139" s="310"/>
      <c r="CG139" s="293"/>
      <c r="CH139" s="310"/>
      <c r="CI139" s="293">
        <f>Tabla3[[#This Row],[Canasta 2018-2019]]*Tabla3[[#This Row],[% Beca Canasta 18-19]]</f>
        <v>0</v>
      </c>
      <c r="CJ139" s="310"/>
      <c r="CK139" s="293">
        <f>Tabla3[[#This Row],[Reinscripción 2019-2020]]*Tabla3[[#This Row],[% Beca Reinscripciones 19-20]]</f>
        <v>0</v>
      </c>
      <c r="CL139" s="293">
        <f>Tabla3[[#This Row],[Cantidad Beca Comunidad Colegiatura 18-19]]*25%</f>
        <v>0</v>
      </c>
      <c r="CM139" s="303">
        <f>Tabla3[[#This Row],[Cantidad Beca Reinscripciones Comunidad 19-20]]*25%</f>
        <v>0</v>
      </c>
      <c r="CN139" s="319"/>
      <c r="CO139" s="293"/>
      <c r="CP139" s="291"/>
      <c r="CQ139" s="303">
        <f>3328*Tabla3[[#This Row],[% Beca Reinscripciones UNAM 18-19]]</f>
        <v>0</v>
      </c>
      <c r="CR139" s="311">
        <f>Tabla3[[#This Row],[Cantidad Beca Colegiatura 18-19]]+Tabla3[[#This Row],[Cantidad Beca Canasta 18-19]]+Tabla3[[#This Row],[Cantidad Beca Reinscripciones 19-20]]</f>
        <v>0</v>
      </c>
      <c r="CS139" s="319"/>
      <c r="CT139" s="293"/>
      <c r="CU139" s="293">
        <f>Tabla3[[#This Row],[Cantidad Beca Comunidad Colegiatura 18-19]]*75%</f>
        <v>0</v>
      </c>
      <c r="CV139" s="310"/>
      <c r="CW139" s="293">
        <f>Tabla3[[#This Row],[Reinscripción 2019-2020]]*Tabla3[[#This Row],[% Beca Reinscripciones Comunidad 19-20]]</f>
        <v>0</v>
      </c>
      <c r="CX139" s="293">
        <f>Tabla3[[#This Row],[Cantidad Beca Reinscripciones Comunidad 19-20]]*75%</f>
        <v>0</v>
      </c>
      <c r="CY139" s="320">
        <f>Tabla3[[#This Row],[75% Cantidad Beca Comunidad Colegiatura 18-19]]+Tabla3[[#This Row],[75% Cantidad Beca Reinscripciones 19-20]]</f>
        <v>0</v>
      </c>
      <c r="CZ139" s="308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0</v>
      </c>
      <c r="DA139" s="308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0</v>
      </c>
      <c r="DB139" s="313">
        <f>1440*(Tabla3[[#This Row],[% AutorizadoBeca Colegiatura 18-19]]+Tabla3[[#This Row],[% Beca Prestacion 18-19]]+Tabla3[[#This Row],[% Beca UNAM 18-19]]+Tabla3[[#This Row],[% Beca Comunidad 18-19]])</f>
        <v>0</v>
      </c>
    </row>
    <row r="140" spans="2:106" s="314" customFormat="1" ht="22.5" hidden="1" x14ac:dyDescent="0.2">
      <c r="B140" s="289" t="s">
        <v>722</v>
      </c>
      <c r="C140" s="289" t="e">
        <f>VLOOKUP(Tabla3[[#This Row],[Nombre del Padre]],[1]!Tabla1[[PADRE]:[PADRE_CELULAR]],2,0)</f>
        <v>#REF!</v>
      </c>
      <c r="D140" s="289" t="e">
        <f>VLOOKUP(Tabla3[[#This Row],[Nombre del Padre]],[1]!Tabla1[[PADRE]:[PADRE_CELULAR]],3,0)</f>
        <v>#REF!</v>
      </c>
      <c r="E140" s="289" t="s">
        <v>723</v>
      </c>
      <c r="F140" s="289" t="e">
        <f>VLOOKUP(Tabla3[[#This Row],[Nombre de la Madre]],[1]!Tabla1[[MADRE]:[MADRE_TELEFONO]],2,0)</f>
        <v>#REF!</v>
      </c>
      <c r="G140" s="202" t="s">
        <v>887</v>
      </c>
      <c r="H140" s="315">
        <v>61</v>
      </c>
      <c r="I140" s="291">
        <v>1677</v>
      </c>
      <c r="J140" s="291" t="s">
        <v>724</v>
      </c>
      <c r="K140" s="291" t="s">
        <v>637</v>
      </c>
      <c r="L140" s="291" t="s">
        <v>888</v>
      </c>
      <c r="M140" s="291" t="s">
        <v>432</v>
      </c>
      <c r="N140" s="291" t="s">
        <v>330</v>
      </c>
      <c r="O140" s="293" t="e">
        <f>VLOOKUP(Tabla3[[#This Row],[Grado]],[2]Cuotas!$A:$E,2,0)</f>
        <v>#N/A</v>
      </c>
      <c r="P140" s="293" t="e">
        <f>VLOOKUP(Tabla3[[#This Row],[Grado]],[2]Cuotas!$A:$E,4,0)</f>
        <v>#N/A</v>
      </c>
      <c r="Q140" s="293" t="e">
        <f>VLOOKUP(Tabla3[[#This Row],[Grado]],[2]Cuotas!$A:$E,3,0)</f>
        <v>#N/A</v>
      </c>
      <c r="R140" s="294"/>
      <c r="S140" s="293" t="e">
        <f>Tabla3[[#This Row],[Monto Colegiatura]]*Tabla3[[#This Row],[% Beca Colegio 16-17]]</f>
        <v>#N/A</v>
      </c>
      <c r="T140" s="295">
        <v>0.4</v>
      </c>
      <c r="U140" s="293" t="e">
        <f>Tabla3[[#This Row],[Monto Colegiatura]]*Tabla3[[#This Row],[% Beca Prestación 16-17]]</f>
        <v>#N/A</v>
      </c>
      <c r="V140" s="295"/>
      <c r="W140" s="293" t="e">
        <f>Tabla3[[#This Row],[Monto Colegiatura]]*Tabla3[[#This Row],[% Beca Comunidad 16-17]]</f>
        <v>#N/A</v>
      </c>
      <c r="X140" s="293" t="e">
        <f>Tabla3[[#This Row],[Cantidad Beca Comunidad 16-17]]*25%</f>
        <v>#N/A</v>
      </c>
      <c r="Y140" s="293"/>
      <c r="Z140" s="293" t="e">
        <f>Tabla3[[#This Row],[Monto Colegiatura]]*Tabla3[[#This Row],[% Beca UNAM 16-17]]</f>
        <v>#N/A</v>
      </c>
      <c r="AA140" s="295"/>
      <c r="AB140" s="293" t="e">
        <f>Tabla3[[#This Row],[Monto Reinscripción]]*Tabla3[[#This Row],[% Beca Reinscripción 16-17]]</f>
        <v>#N/A</v>
      </c>
      <c r="AC140" s="293"/>
      <c r="AD140" s="293" t="e">
        <f>Tabla3[[#This Row],[Monto Canasta]]*Tabla3[[#This Row],[% Beca Canasta 16-17]]</f>
        <v>#N/A</v>
      </c>
      <c r="AE140" s="293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40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40" s="297" t="e">
        <f>VLOOKUP(Tabla3[[#This Row],[Nombre del Alumno]],[2]!Tabla1[[Alumno]:[Cuenta Ciclos]],2,0)</f>
        <v>#REF!</v>
      </c>
      <c r="AH140" s="298" t="s">
        <v>433</v>
      </c>
      <c r="AI140" s="298" t="s">
        <v>332</v>
      </c>
      <c r="AJ140" s="296" t="e">
        <f>VLOOKUP(Tabla3[[#This Row],[Grado 17-18]],[2]Cuotas!$H:$L,2,0)</f>
        <v>#N/A</v>
      </c>
      <c r="AK140" s="296" t="e">
        <f>VLOOKUP(Tabla3[[#This Row],[Grado 17-18]],[2]Cuotas!$H:$L,3,0)</f>
        <v>#N/A</v>
      </c>
      <c r="AL140" s="296" t="e">
        <f>VLOOKUP(Tabla3[[#This Row],[Grado 17-18]],[2]Cuotas!$H:$L,4,0)</f>
        <v>#N/A</v>
      </c>
      <c r="AM140" s="310"/>
      <c r="AN140" s="300"/>
      <c r="AO140" s="296" t="e">
        <f>Tabla3[[#This Row],[Monto Colegiatura ]]*Tabla3[[#This Row],[% AutorizadoBeca Colegiatura 17-18]]</f>
        <v>#N/A</v>
      </c>
      <c r="AP140" s="295">
        <v>0.4</v>
      </c>
      <c r="AQ140" s="296" t="e">
        <f>Tabla3[[#This Row],[Monto Colegiatura ]]*Tabla3[[#This Row],[% Beca Prestacion 17-18]]</f>
        <v>#N/A</v>
      </c>
      <c r="AR140" s="295"/>
      <c r="AS140" s="296" t="e">
        <f>Tabla3[[#This Row],[Canasta]]*Tabla3[[#This Row],[% Beca Canasta 17-18]]</f>
        <v>#N/A</v>
      </c>
      <c r="AT140" s="295"/>
      <c r="AU140" s="301">
        <v>0</v>
      </c>
      <c r="AV140" s="296" t="e">
        <f>Tabla3[[#This Row],[Cantidad Beca Comunidad Colegiatura 17-18]]*25%</f>
        <v>#N/A</v>
      </c>
      <c r="AW140" s="293"/>
      <c r="AX140" s="302"/>
      <c r="AY140" s="296" t="e">
        <f>Tabla3[[#This Row],[Monto Colegiatura ]]*Tabla3[[#This Row],[% Beca UNAM 17-18]]</f>
        <v>#N/A</v>
      </c>
      <c r="AZ140" s="293"/>
      <c r="BA140" s="303">
        <f>3200*Tabla3[[#This Row],[% Beca Reinscripciones UNAM 17-18]]</f>
        <v>0</v>
      </c>
      <c r="BB140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40" s="318"/>
      <c r="BD140" s="293" t="e">
        <f>Tabla3[[#This Row],[Monto Colegiatura ]]*Tabla3[[#This Row],[% Beca Comunidad 17-18]]</f>
        <v>#N/A</v>
      </c>
      <c r="BE140" s="293" t="e">
        <f>Tabla3[[#This Row],[Cantidad Beca Comunidad Colegiatura 17-18]]*75%</f>
        <v>#N/A</v>
      </c>
      <c r="BF140" s="295"/>
      <c r="BG140" s="293" t="e">
        <f>Tabla3[[#This Row],[Reinscripción]]*Tabla3[[#This Row],[% Beca Reinscripciones Comunidad 18-19]]</f>
        <v>#N/A</v>
      </c>
      <c r="BH140" s="293" t="e">
        <f>Tabla3[[#This Row],[Cantidad Beca Reinscripciones Comunidad 18-19]]*70%</f>
        <v>#N/A</v>
      </c>
      <c r="BI140" s="303" t="e">
        <f>Tabla3[[#This Row],[75% Cantidad Beca Comunidad Colegiatura 17-18]]+Tabla3[[#This Row],[70% Cantidad Beca Reinscripciones 18-19]]</f>
        <v>#N/A</v>
      </c>
      <c r="BJ140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40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40" s="293"/>
      <c r="BM140" s="291"/>
      <c r="BN140" s="306"/>
      <c r="BO140" s="307"/>
      <c r="BP140" s="307">
        <f>Tabla3[[#This Row],[% AutorizadoBeca Colegiatura 17-18]]+Tabla3[[#This Row],[% Beca Prestacion 17-18]]+Tabla3[[#This Row],[% Beca UNAM 17-18]]</f>
        <v>0.4</v>
      </c>
      <c r="BQ140" s="308">
        <f t="shared" si="6"/>
        <v>458.8</v>
      </c>
      <c r="BR140" s="307">
        <f>Tabla3[[#This Row],[% Beca Comunidad 17-18]]</f>
        <v>0</v>
      </c>
      <c r="BS140" s="308">
        <f t="shared" si="7"/>
        <v>0</v>
      </c>
      <c r="BT140" s="308">
        <f t="shared" si="8"/>
        <v>0</v>
      </c>
      <c r="BU140" s="308">
        <f>Tabla3[[#This Row],[Monto3]]*75%</f>
        <v>0</v>
      </c>
      <c r="BV140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40" s="307" t="s">
        <v>827</v>
      </c>
      <c r="BX140" s="307" t="e">
        <f>VLOOKUP(Tabla3[[#This Row],[Nombre del Alumno]],[1]!Tabla1[[NOMBRE DEL ALUMNO]:[MATRIZ]],6,0)</f>
        <v>#REF!</v>
      </c>
      <c r="BY140" s="307"/>
      <c r="BZ140" s="308"/>
      <c r="CA140" s="308"/>
      <c r="CB140" s="308"/>
      <c r="CC140" s="289"/>
      <c r="CD140" s="309"/>
      <c r="CE140" s="293">
        <f>Tabla3[[#This Row],[Monto Colegiatura 2018-2019]]*Tabla3[[#This Row],[% AutorizadoBeca Colegiatura 18-19]]</f>
        <v>0</v>
      </c>
      <c r="CF140" s="291"/>
      <c r="CG140" s="293">
        <f>Tabla3[[#This Row],[Monto Colegiatura 2018-2019]]*Tabla3[[#This Row],[% Beca Prestacion 18-19]]</f>
        <v>0</v>
      </c>
      <c r="CH140" s="310" t="e">
        <f>VLOOKUP(Tabla3[[#This Row],[Nombre del Alumno]],'[3]BECAS REINSCRIPCIONES'!$B$37:$D$40,3,0)</f>
        <v>#N/A</v>
      </c>
      <c r="CI140" s="293" t="e">
        <f>Tabla3[[#This Row],[Canasta 2018-2019]]*Tabla3[[#This Row],[% Beca Canasta 18-19]]</f>
        <v>#N/A</v>
      </c>
      <c r="CJ140" s="310" t="e">
        <f>VLOOKUP(Tabla3[[#This Row],[Nombre del Alumno]],'[3]BECAS REINSCRIPCIONES'!$B$8:$D$21,3,0)</f>
        <v>#N/A</v>
      </c>
      <c r="CK140" s="293" t="e">
        <f>Tabla3[[#This Row],[Reinscripción 2019-2020]]*Tabla3[[#This Row],[% Beca Reinscripciones 19-20]]</f>
        <v>#N/A</v>
      </c>
      <c r="CL140" s="293">
        <f>Tabla3[[#This Row],[Cantidad Beca Comunidad Colegiatura 18-19]]*25%</f>
        <v>0</v>
      </c>
      <c r="CM140" s="303">
        <f>Tabla3[[#This Row],[Cantidad Beca Reinscripciones Comunidad 19-20]]*25%</f>
        <v>0</v>
      </c>
      <c r="CN140" s="309"/>
      <c r="CO140" s="291">
        <f>Tabla3[[#This Row],[Monto Colegiatura 2018-2019]]*Tabla3[[#This Row],[% Beca UNAM 18-19]]</f>
        <v>0</v>
      </c>
      <c r="CP140" s="291"/>
      <c r="CQ140" s="303">
        <f>3328*Tabla3[[#This Row],[% Beca Reinscripciones UNAM 18-19]]</f>
        <v>0</v>
      </c>
      <c r="CR140" s="311" t="e">
        <f>Tabla3[[#This Row],[Cantidad Beca Colegiatura 18-19]]+Tabla3[[#This Row],[Cantidad Beca Canasta 18-19]]+Tabla3[[#This Row],[Cantidad Beca Reinscripciones 19-20]]</f>
        <v>#N/A</v>
      </c>
      <c r="CS140" s="309"/>
      <c r="CT140" s="291">
        <f>Tabla3[[#This Row],[Monto Colegiatura 2018-2019]]*Tabla3[[#This Row],[% Beca Comunidad 18-19]]</f>
        <v>0</v>
      </c>
      <c r="CU140" s="293">
        <f>Tabla3[[#This Row],[Cantidad Beca Comunidad Colegiatura 18-19]]*75%</f>
        <v>0</v>
      </c>
      <c r="CV140" s="291"/>
      <c r="CW140" s="291">
        <f>Tabla3[[#This Row],[Reinscripción 2019-2020]]*Tabla3[[#This Row],[% Beca Reinscripciones Comunidad 19-20]]</f>
        <v>0</v>
      </c>
      <c r="CX140" s="293">
        <f>Tabla3[[#This Row],[Cantidad Beca Reinscripciones Comunidad 19-20]]*75%</f>
        <v>0</v>
      </c>
      <c r="CY140" s="312">
        <f>Tabla3[[#This Row],[75% Cantidad Beca Comunidad Colegiatura 18-19]]+Tabla3[[#This Row],[75% Cantidad Beca Reinscripciones 19-20]]</f>
        <v>0</v>
      </c>
      <c r="CZ140" s="308" t="e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#N/A</v>
      </c>
      <c r="DA140" s="308" t="e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#N/A</v>
      </c>
      <c r="DB140" s="313">
        <f>1440*(Tabla3[[#This Row],[% AutorizadoBeca Colegiatura 18-19]]+Tabla3[[#This Row],[% Beca Prestacion 18-19]]+Tabla3[[#This Row],[% Beca UNAM 18-19]]+Tabla3[[#This Row],[% Beca Comunidad 18-19]])</f>
        <v>0</v>
      </c>
    </row>
    <row r="141" spans="2:106" s="314" customFormat="1" ht="22.5" hidden="1" x14ac:dyDescent="0.2">
      <c r="B141" s="289" t="s">
        <v>889</v>
      </c>
      <c r="C141" s="289" t="e">
        <f>VLOOKUP(Tabla3[[#This Row],[Nombre del Padre]],[1]!Tabla1[[PADRE]:[PADRE_CELULAR]],2,0)</f>
        <v>#REF!</v>
      </c>
      <c r="D141" s="289" t="e">
        <f>VLOOKUP(Tabla3[[#This Row],[Nombre del Padre]],[1]!Tabla1[[PADRE]:[PADRE_CELULAR]],3,0)</f>
        <v>#REF!</v>
      </c>
      <c r="E141" s="289" t="s">
        <v>890</v>
      </c>
      <c r="F141" s="289" t="e">
        <f>VLOOKUP(Tabla3[[#This Row],[Nombre de la Madre]],[1]!Tabla1[[MADRE]:[MADRE_TELEFONO]],2,0)</f>
        <v>#REF!</v>
      </c>
      <c r="G141" s="202" t="s">
        <v>891</v>
      </c>
      <c r="H141" s="315">
        <v>17</v>
      </c>
      <c r="I141" s="291">
        <v>2152</v>
      </c>
      <c r="J141" s="291" t="s">
        <v>892</v>
      </c>
      <c r="K141" s="291" t="s">
        <v>273</v>
      </c>
      <c r="L141" s="291" t="s">
        <v>893</v>
      </c>
      <c r="M141" s="291" t="s">
        <v>894</v>
      </c>
      <c r="N141" s="291" t="s">
        <v>409</v>
      </c>
      <c r="O141" s="293" t="e">
        <f>VLOOKUP(Tabla3[[#This Row],[Grado]],[2]Cuotas!$A:$E,2,0)</f>
        <v>#N/A</v>
      </c>
      <c r="P141" s="293" t="e">
        <f>VLOOKUP(Tabla3[[#This Row],[Grado]],[2]Cuotas!$A:$E,4,0)</f>
        <v>#N/A</v>
      </c>
      <c r="Q141" s="293" t="e">
        <f>VLOOKUP(Tabla3[[#This Row],[Grado]],[2]Cuotas!$A:$E,3,0)</f>
        <v>#N/A</v>
      </c>
      <c r="R141" s="294">
        <v>0.5</v>
      </c>
      <c r="S141" s="293" t="e">
        <f>Tabla3[[#This Row],[Monto Colegiatura]]*Tabla3[[#This Row],[% Beca Colegio 16-17]]</f>
        <v>#N/A</v>
      </c>
      <c r="T141" s="293"/>
      <c r="U141" s="293" t="e">
        <f>Tabla3[[#This Row],[Monto Colegiatura]]*Tabla3[[#This Row],[% Beca Prestación 16-17]]</f>
        <v>#N/A</v>
      </c>
      <c r="V141" s="295">
        <v>0.4</v>
      </c>
      <c r="W141" s="293" t="e">
        <f>Tabla3[[#This Row],[Monto Colegiatura]]*Tabla3[[#This Row],[% Beca Comunidad 16-17]]</f>
        <v>#N/A</v>
      </c>
      <c r="X141" s="293" t="e">
        <f>Tabla3[[#This Row],[Cantidad Beca Comunidad 16-17]]*25%</f>
        <v>#N/A</v>
      </c>
      <c r="Y141" s="293"/>
      <c r="Z141" s="293" t="e">
        <f>Tabla3[[#This Row],[Monto Colegiatura]]*Tabla3[[#This Row],[% Beca UNAM 16-17]]</f>
        <v>#N/A</v>
      </c>
      <c r="AA141" s="295"/>
      <c r="AB141" s="293" t="e">
        <f>Tabla3[[#This Row],[Monto Reinscripción]]*Tabla3[[#This Row],[% Beca Reinscripción 16-17]]</f>
        <v>#N/A</v>
      </c>
      <c r="AC141" s="293"/>
      <c r="AD141" s="293" t="e">
        <f>Tabla3[[#This Row],[Monto Canasta]]*Tabla3[[#This Row],[% Beca Canasta 16-17]]</f>
        <v>#N/A</v>
      </c>
      <c r="AE141" s="293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41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41" s="297" t="e">
        <f>VLOOKUP(Tabla3[[#This Row],[Nombre del Alumno]],[2]!Tabla1[[Alumno]:[Cuenta Ciclos]],2,0)</f>
        <v>#REF!</v>
      </c>
      <c r="AH141" s="298" t="s">
        <v>895</v>
      </c>
      <c r="AI141" s="298" t="s">
        <v>542</v>
      </c>
      <c r="AJ141" s="296" t="e">
        <f>VLOOKUP(Tabla3[[#This Row],[Grado 17-18]],[2]Cuotas!$H:$L,2,0)</f>
        <v>#N/A</v>
      </c>
      <c r="AK141" s="296" t="e">
        <f>VLOOKUP(Tabla3[[#This Row],[Grado 17-18]],[2]Cuotas!$H:$L,3,0)</f>
        <v>#N/A</v>
      </c>
      <c r="AL141" s="296" t="e">
        <f>VLOOKUP(Tabla3[[#This Row],[Grado 17-18]],[2]Cuotas!$H:$L,4,0)</f>
        <v>#N/A</v>
      </c>
      <c r="AM141" s="299">
        <v>0.6</v>
      </c>
      <c r="AN141" s="300">
        <v>0.3</v>
      </c>
      <c r="AO141" s="296" t="e">
        <f>Tabla3[[#This Row],[Monto Colegiatura ]]*Tabla3[[#This Row],[% AutorizadoBeca Colegiatura 17-18]]</f>
        <v>#N/A</v>
      </c>
      <c r="AP141" s="295"/>
      <c r="AQ141" s="296" t="e">
        <f>Tabla3[[#This Row],[Monto Colegiatura ]]*Tabla3[[#This Row],[% Beca Prestacion 17-18]]</f>
        <v>#N/A</v>
      </c>
      <c r="AR141" s="295"/>
      <c r="AS141" s="296" t="e">
        <f>Tabla3[[#This Row],[Canasta]]*Tabla3[[#This Row],[% Beca Canasta 17-18]]</f>
        <v>#N/A</v>
      </c>
      <c r="AT141" s="295"/>
      <c r="AU141" s="301">
        <v>0</v>
      </c>
      <c r="AV141" s="296" t="e">
        <f>Tabla3[[#This Row],[Cantidad Beca Comunidad Colegiatura 17-18]]*25%</f>
        <v>#N/A</v>
      </c>
      <c r="AW141" s="293"/>
      <c r="AX141" s="302"/>
      <c r="AY141" s="296" t="e">
        <f>Tabla3[[#This Row],[Monto Colegiatura ]]*Tabla3[[#This Row],[% Beca UNAM 17-18]]</f>
        <v>#N/A</v>
      </c>
      <c r="AZ141" s="293"/>
      <c r="BA141" s="303">
        <f>3200*Tabla3[[#This Row],[% Beca Reinscripciones UNAM 17-18]]</f>
        <v>0</v>
      </c>
      <c r="BB141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41" s="304">
        <v>0.4</v>
      </c>
      <c r="BD141" s="293" t="e">
        <f>Tabla3[[#This Row],[Monto Colegiatura ]]*Tabla3[[#This Row],[% Beca Comunidad 17-18]]</f>
        <v>#N/A</v>
      </c>
      <c r="BE141" s="293" t="e">
        <f>Tabla3[[#This Row],[Cantidad Beca Comunidad Colegiatura 17-18]]*75%</f>
        <v>#N/A</v>
      </c>
      <c r="BF141" s="295"/>
      <c r="BG141" s="293" t="e">
        <f>Tabla3[[#This Row],[Reinscripción]]*Tabla3[[#This Row],[% Beca Reinscripciones Comunidad 18-19]]</f>
        <v>#N/A</v>
      </c>
      <c r="BH141" s="293" t="e">
        <f>Tabla3[[#This Row],[Cantidad Beca Reinscripciones Comunidad 18-19]]*70%</f>
        <v>#N/A</v>
      </c>
      <c r="BI141" s="303" t="e">
        <f>Tabla3[[#This Row],[75% Cantidad Beca Comunidad Colegiatura 17-18]]+Tabla3[[#This Row],[70% Cantidad Beca Reinscripciones 18-19]]</f>
        <v>#N/A</v>
      </c>
      <c r="BJ141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41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41" s="293"/>
      <c r="BM141" s="299"/>
      <c r="BN141" s="306" t="s">
        <v>896</v>
      </c>
      <c r="BO141" s="307" t="s">
        <v>897</v>
      </c>
      <c r="BP141" s="307">
        <f>Tabla3[[#This Row],[% AutorizadoBeca Colegiatura 17-18]]+Tabla3[[#This Row],[% Beca Prestacion 17-18]]+Tabla3[[#This Row],[% Beca UNAM 17-18]]</f>
        <v>0.3</v>
      </c>
      <c r="BQ141" s="308">
        <f t="shared" si="6"/>
        <v>344.09999999999997</v>
      </c>
      <c r="BR141" s="307">
        <f>Tabla3[[#This Row],[% Beca Comunidad 17-18]]</f>
        <v>0.4</v>
      </c>
      <c r="BS141" s="308">
        <f t="shared" si="7"/>
        <v>458.8</v>
      </c>
      <c r="BT141" s="308">
        <f t="shared" si="8"/>
        <v>114.7</v>
      </c>
      <c r="BU141" s="308">
        <f>Tabla3[[#This Row],[Monto3]]*75%</f>
        <v>344.1</v>
      </c>
      <c r="BV141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41" s="307"/>
      <c r="BX141" s="307" t="e">
        <f>VLOOKUP(Tabla3[[#This Row],[Nombre del Alumno]],[1]!Tabla1[[NOMBRE DEL ALUMNO]:[MATRIZ]],6,0)</f>
        <v>#REF!</v>
      </c>
      <c r="BY141" s="307" t="s">
        <v>881</v>
      </c>
      <c r="BZ141" s="308"/>
      <c r="CA141" s="308"/>
      <c r="CB141" s="308"/>
      <c r="CC141" s="289"/>
      <c r="CD141" s="319"/>
      <c r="CE141" s="293"/>
      <c r="CF141" s="310"/>
      <c r="CG141" s="293"/>
      <c r="CH141" s="310"/>
      <c r="CI141" s="293">
        <f>Tabla3[[#This Row],[Canasta 2018-2019]]*Tabla3[[#This Row],[% Beca Canasta 18-19]]</f>
        <v>0</v>
      </c>
      <c r="CJ141" s="310"/>
      <c r="CK141" s="293">
        <f>Tabla3[[#This Row],[Reinscripción 2019-2020]]*Tabla3[[#This Row],[% Beca Reinscripciones 19-20]]</f>
        <v>0</v>
      </c>
      <c r="CL141" s="293">
        <f>Tabla3[[#This Row],[Cantidad Beca Comunidad Colegiatura 18-19]]*25%</f>
        <v>0</v>
      </c>
      <c r="CM141" s="303">
        <f>Tabla3[[#This Row],[Cantidad Beca Reinscripciones Comunidad 19-20]]*25%</f>
        <v>0</v>
      </c>
      <c r="CN141" s="319"/>
      <c r="CO141" s="293"/>
      <c r="CP141" s="291"/>
      <c r="CQ141" s="303">
        <f>3328*Tabla3[[#This Row],[% Beca Reinscripciones UNAM 18-19]]</f>
        <v>0</v>
      </c>
      <c r="CR141" s="311">
        <f>Tabla3[[#This Row],[Cantidad Beca Colegiatura 18-19]]+Tabla3[[#This Row],[Cantidad Beca Canasta 18-19]]+Tabla3[[#This Row],[Cantidad Beca Reinscripciones 19-20]]</f>
        <v>0</v>
      </c>
      <c r="CS141" s="319"/>
      <c r="CT141" s="293"/>
      <c r="CU141" s="293">
        <f>Tabla3[[#This Row],[Cantidad Beca Comunidad Colegiatura 18-19]]*75%</f>
        <v>0</v>
      </c>
      <c r="CV141" s="310"/>
      <c r="CW141" s="293">
        <f>Tabla3[[#This Row],[Reinscripción 2019-2020]]*Tabla3[[#This Row],[% Beca Reinscripciones Comunidad 19-20]]</f>
        <v>0</v>
      </c>
      <c r="CX141" s="293">
        <f>Tabla3[[#This Row],[Cantidad Beca Reinscripciones Comunidad 19-20]]*75%</f>
        <v>0</v>
      </c>
      <c r="CY141" s="320">
        <f>Tabla3[[#This Row],[75% Cantidad Beca Comunidad Colegiatura 18-19]]+Tabla3[[#This Row],[75% Cantidad Beca Reinscripciones 19-20]]</f>
        <v>0</v>
      </c>
      <c r="CZ141" s="308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0</v>
      </c>
      <c r="DA141" s="308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0</v>
      </c>
      <c r="DB141" s="313">
        <f>1440*(Tabla3[[#This Row],[% AutorizadoBeca Colegiatura 18-19]]+Tabla3[[#This Row],[% Beca Prestacion 18-19]]+Tabla3[[#This Row],[% Beca UNAM 18-19]]+Tabla3[[#This Row],[% Beca Comunidad 18-19]])</f>
        <v>0</v>
      </c>
    </row>
    <row r="142" spans="2:106" s="314" customFormat="1" hidden="1" x14ac:dyDescent="0.2">
      <c r="B142" s="289" t="s">
        <v>889</v>
      </c>
      <c r="C142" s="289" t="e">
        <f>VLOOKUP(Tabla3[[#This Row],[Nombre del Padre]],[1]!Tabla1[[PADRE]:[PADRE_CELULAR]],2,0)</f>
        <v>#REF!</v>
      </c>
      <c r="D142" s="289" t="e">
        <f>VLOOKUP(Tabla3[[#This Row],[Nombre del Padre]],[1]!Tabla1[[PADRE]:[PADRE_CELULAR]],3,0)</f>
        <v>#REF!</v>
      </c>
      <c r="E142" s="289" t="s">
        <v>890</v>
      </c>
      <c r="F142" s="289" t="e">
        <f>VLOOKUP(Tabla3[[#This Row],[Nombre de la Madre]],[1]!Tabla1[[MADRE]:[MADRE_TELEFONO]],2,0)</f>
        <v>#REF!</v>
      </c>
      <c r="G142" s="202" t="s">
        <v>891</v>
      </c>
      <c r="H142" s="228"/>
      <c r="I142" s="291">
        <v>2152</v>
      </c>
      <c r="J142" s="291" t="s">
        <v>892</v>
      </c>
      <c r="K142" s="291" t="s">
        <v>273</v>
      </c>
      <c r="L142" s="291" t="s">
        <v>898</v>
      </c>
      <c r="M142" s="291" t="s">
        <v>894</v>
      </c>
      <c r="N142" s="291" t="s">
        <v>409</v>
      </c>
      <c r="O142" s="293" t="e">
        <f>VLOOKUP(Tabla3[[#This Row],[Grado]],[2]Cuotas!$A:$E,2,0)</f>
        <v>#N/A</v>
      </c>
      <c r="P142" s="293" t="e">
        <f>VLOOKUP(Tabla3[[#This Row],[Grado]],[2]Cuotas!$A:$E,4,0)</f>
        <v>#N/A</v>
      </c>
      <c r="Q142" s="293" t="e">
        <f>VLOOKUP(Tabla3[[#This Row],[Grado]],[2]Cuotas!$A:$E,3,0)</f>
        <v>#N/A</v>
      </c>
      <c r="R142" s="294">
        <v>0.5</v>
      </c>
      <c r="S142" s="293" t="e">
        <f>Tabla3[[#This Row],[Monto Colegiatura]]*Tabla3[[#This Row],[% Beca Colegio 16-17]]</f>
        <v>#N/A</v>
      </c>
      <c r="T142" s="293"/>
      <c r="U142" s="293" t="e">
        <f>Tabla3[[#This Row],[Monto Colegiatura]]*Tabla3[[#This Row],[% Beca Prestación 16-17]]</f>
        <v>#N/A</v>
      </c>
      <c r="V142" s="295">
        <v>0.4</v>
      </c>
      <c r="W142" s="293" t="e">
        <f>Tabla3[[#This Row],[Monto Colegiatura]]*Tabla3[[#This Row],[% Beca Comunidad 16-17]]</f>
        <v>#N/A</v>
      </c>
      <c r="X142" s="293" t="e">
        <f>Tabla3[[#This Row],[Cantidad Beca Comunidad 16-17]]*25%</f>
        <v>#N/A</v>
      </c>
      <c r="Y142" s="293"/>
      <c r="Z142" s="293" t="e">
        <f>Tabla3[[#This Row],[Monto Colegiatura]]*Tabla3[[#This Row],[% Beca UNAM 16-17]]</f>
        <v>#N/A</v>
      </c>
      <c r="AA142" s="295"/>
      <c r="AB142" s="293" t="e">
        <f>Tabla3[[#This Row],[Monto Reinscripción]]*Tabla3[[#This Row],[% Beca Reinscripción 16-17]]</f>
        <v>#N/A</v>
      </c>
      <c r="AC142" s="293"/>
      <c r="AD142" s="293" t="e">
        <f>Tabla3[[#This Row],[Monto Canasta]]*Tabla3[[#This Row],[% Beca Canasta 16-17]]</f>
        <v>#N/A</v>
      </c>
      <c r="AE142" s="293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42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42" s="297" t="e">
        <f>VLOOKUP(Tabla3[[#This Row],[Nombre del Alumno]],[2]!Tabla1[[Alumno]:[Cuenta Ciclos]],2,0)</f>
        <v>#REF!</v>
      </c>
      <c r="AH142" s="298" t="s">
        <v>895</v>
      </c>
      <c r="AI142" s="298" t="s">
        <v>542</v>
      </c>
      <c r="AJ142" s="296" t="e">
        <f>VLOOKUP(Tabla3[[#This Row],[Grado 17-18]],[2]Cuotas!$H:$L,2,0)</f>
        <v>#N/A</v>
      </c>
      <c r="AK142" s="296" t="e">
        <f>VLOOKUP(Tabla3[[#This Row],[Grado 17-18]],[2]Cuotas!$H:$L,3,0)</f>
        <v>#N/A</v>
      </c>
      <c r="AL142" s="296" t="e">
        <f>VLOOKUP(Tabla3[[#This Row],[Grado 17-18]],[2]Cuotas!$H:$L,4,0)</f>
        <v>#N/A</v>
      </c>
      <c r="AM142" s="299">
        <v>0.6</v>
      </c>
      <c r="AN142" s="300">
        <v>0.3</v>
      </c>
      <c r="AO142" s="296" t="e">
        <f>Tabla3[[#This Row],[Monto Colegiatura ]]*Tabla3[[#This Row],[% AutorizadoBeca Colegiatura 17-18]]</f>
        <v>#N/A</v>
      </c>
      <c r="AP142" s="295"/>
      <c r="AQ142" s="296" t="e">
        <f>Tabla3[[#This Row],[Monto Colegiatura ]]*Tabla3[[#This Row],[% Beca Prestacion 17-18]]</f>
        <v>#N/A</v>
      </c>
      <c r="AR142" s="295"/>
      <c r="AS142" s="296" t="e">
        <f>Tabla3[[#This Row],[Canasta]]*Tabla3[[#This Row],[% Beca Canasta 17-18]]</f>
        <v>#N/A</v>
      </c>
      <c r="AT142" s="295"/>
      <c r="AU142" s="301">
        <v>0</v>
      </c>
      <c r="AV142" s="296" t="e">
        <f>Tabla3[[#This Row],[Cantidad Beca Comunidad Colegiatura 17-18]]*25%</f>
        <v>#N/A</v>
      </c>
      <c r="AW142" s="293"/>
      <c r="AX142" s="302"/>
      <c r="AY142" s="296" t="e">
        <f>Tabla3[[#This Row],[Monto Colegiatura ]]*Tabla3[[#This Row],[% Beca UNAM 17-18]]</f>
        <v>#N/A</v>
      </c>
      <c r="AZ142" s="293"/>
      <c r="BA142" s="303">
        <f>3200*Tabla3[[#This Row],[% Beca Reinscripciones UNAM 17-18]]</f>
        <v>0</v>
      </c>
      <c r="BB142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42" s="304">
        <v>0.4</v>
      </c>
      <c r="BD142" s="293" t="e">
        <f>Tabla3[[#This Row],[Monto Colegiatura ]]*Tabla3[[#This Row],[% Beca Comunidad 17-18]]</f>
        <v>#N/A</v>
      </c>
      <c r="BE142" s="293" t="e">
        <f>Tabla3[[#This Row],[Cantidad Beca Comunidad Colegiatura 17-18]]*75%</f>
        <v>#N/A</v>
      </c>
      <c r="BF142" s="295"/>
      <c r="BG142" s="293" t="e">
        <f>Tabla3[[#This Row],[Reinscripción]]*Tabla3[[#This Row],[% Beca Reinscripciones Comunidad 18-19]]</f>
        <v>#N/A</v>
      </c>
      <c r="BH142" s="293" t="e">
        <f>Tabla3[[#This Row],[Cantidad Beca Reinscripciones Comunidad 18-19]]*70%</f>
        <v>#N/A</v>
      </c>
      <c r="BI142" s="303" t="e">
        <f>Tabla3[[#This Row],[75% Cantidad Beca Comunidad Colegiatura 17-18]]+Tabla3[[#This Row],[70% Cantidad Beca Reinscripciones 18-19]]</f>
        <v>#N/A</v>
      </c>
      <c r="BJ142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42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42" s="293"/>
      <c r="BM142" s="299"/>
      <c r="BN142" s="306"/>
      <c r="BO142" s="307"/>
      <c r="BP142" s="307">
        <f>Tabla3[[#This Row],[% AutorizadoBeca Colegiatura 17-18]]+Tabla3[[#This Row],[% Beca Prestacion 17-18]]+Tabla3[[#This Row],[% Beca UNAM 17-18]]</f>
        <v>0.3</v>
      </c>
      <c r="BQ142" s="308">
        <f t="shared" si="6"/>
        <v>344.09999999999997</v>
      </c>
      <c r="BR142" s="307">
        <f>Tabla3[[#This Row],[% Beca Comunidad 17-18]]</f>
        <v>0.4</v>
      </c>
      <c r="BS142" s="308">
        <f t="shared" si="7"/>
        <v>458.8</v>
      </c>
      <c r="BT142" s="308">
        <f t="shared" si="8"/>
        <v>114.7</v>
      </c>
      <c r="BU142" s="308">
        <f>Tabla3[[#This Row],[Monto3]]*75%</f>
        <v>344.1</v>
      </c>
      <c r="BV142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42" s="307"/>
      <c r="BX142" s="307" t="e">
        <f>VLOOKUP(Tabla3[[#This Row],[Nombre del Alumno]],[1]!Tabla1[[NOMBRE DEL ALUMNO]:[MATRIZ]],6,0)</f>
        <v>#REF!</v>
      </c>
      <c r="BY142" s="307" t="s">
        <v>881</v>
      </c>
      <c r="BZ142" s="308"/>
      <c r="CA142" s="308"/>
      <c r="CB142" s="308"/>
      <c r="CC142" s="289"/>
      <c r="CD142" s="319"/>
      <c r="CE142" s="293"/>
      <c r="CF142" s="310"/>
      <c r="CG142" s="293"/>
      <c r="CH142" s="310"/>
      <c r="CI142" s="293">
        <f>Tabla3[[#This Row],[Canasta 2018-2019]]*Tabla3[[#This Row],[% Beca Canasta 18-19]]</f>
        <v>0</v>
      </c>
      <c r="CJ142" s="310"/>
      <c r="CK142" s="293">
        <f>Tabla3[[#This Row],[Reinscripción 2019-2020]]*Tabla3[[#This Row],[% Beca Reinscripciones 19-20]]</f>
        <v>0</v>
      </c>
      <c r="CL142" s="293">
        <f>Tabla3[[#This Row],[Cantidad Beca Comunidad Colegiatura 18-19]]*25%</f>
        <v>0</v>
      </c>
      <c r="CM142" s="303">
        <f>Tabla3[[#This Row],[Cantidad Beca Reinscripciones Comunidad 19-20]]*25%</f>
        <v>0</v>
      </c>
      <c r="CN142" s="319"/>
      <c r="CO142" s="293"/>
      <c r="CP142" s="291"/>
      <c r="CQ142" s="303">
        <f>3328*Tabla3[[#This Row],[% Beca Reinscripciones UNAM 18-19]]</f>
        <v>0</v>
      </c>
      <c r="CR142" s="311">
        <f>Tabla3[[#This Row],[Cantidad Beca Colegiatura 18-19]]+Tabla3[[#This Row],[Cantidad Beca Canasta 18-19]]+Tabla3[[#This Row],[Cantidad Beca Reinscripciones 19-20]]</f>
        <v>0</v>
      </c>
      <c r="CS142" s="319"/>
      <c r="CT142" s="293"/>
      <c r="CU142" s="293">
        <f>Tabla3[[#This Row],[Cantidad Beca Comunidad Colegiatura 18-19]]*75%</f>
        <v>0</v>
      </c>
      <c r="CV142" s="310"/>
      <c r="CW142" s="293">
        <f>Tabla3[[#This Row],[Reinscripción 2019-2020]]*Tabla3[[#This Row],[% Beca Reinscripciones Comunidad 19-20]]</f>
        <v>0</v>
      </c>
      <c r="CX142" s="293">
        <f>Tabla3[[#This Row],[Cantidad Beca Reinscripciones Comunidad 19-20]]*75%</f>
        <v>0</v>
      </c>
      <c r="CY142" s="320">
        <f>Tabla3[[#This Row],[75% Cantidad Beca Comunidad Colegiatura 18-19]]+Tabla3[[#This Row],[75% Cantidad Beca Reinscripciones 19-20]]</f>
        <v>0</v>
      </c>
      <c r="CZ142" s="308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0</v>
      </c>
      <c r="DA142" s="308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0</v>
      </c>
      <c r="DB142" s="313">
        <f>1440*(Tabla3[[#This Row],[% AutorizadoBeca Colegiatura 18-19]]+Tabla3[[#This Row],[% Beca Prestacion 18-19]]+Tabla3[[#This Row],[% Beca UNAM 18-19]]+Tabla3[[#This Row],[% Beca Comunidad 18-19]])</f>
        <v>0</v>
      </c>
    </row>
    <row r="143" spans="2:106" s="314" customFormat="1" ht="22.5" hidden="1" x14ac:dyDescent="0.2">
      <c r="B143" s="289" t="s">
        <v>899</v>
      </c>
      <c r="C143" s="289" t="e">
        <f>VLOOKUP(Tabla3[[#This Row],[Nombre del Padre]],[1]!Tabla1[[PADRE]:[PADRE_CELULAR]],2,0)</f>
        <v>#REF!</v>
      </c>
      <c r="D143" s="289" t="e">
        <f>VLOOKUP(Tabla3[[#This Row],[Nombre del Padre]],[1]!Tabla1[[PADRE]:[PADRE_CELULAR]],3,0)</f>
        <v>#REF!</v>
      </c>
      <c r="E143" s="289" t="s">
        <v>900</v>
      </c>
      <c r="F143" s="289" t="e">
        <f>VLOOKUP(Tabla3[[#This Row],[Nombre de la Madre]],[1]!Tabla1[[MADRE]:[MADRE_TELEFONO]],2,0)</f>
        <v>#REF!</v>
      </c>
      <c r="G143" s="202" t="s">
        <v>901</v>
      </c>
      <c r="H143" s="290">
        <v>29</v>
      </c>
      <c r="I143" s="291">
        <v>1608</v>
      </c>
      <c r="J143" s="291" t="s">
        <v>902</v>
      </c>
      <c r="K143" s="291" t="s">
        <v>273</v>
      </c>
      <c r="L143" s="291" t="s">
        <v>903</v>
      </c>
      <c r="M143" s="291"/>
      <c r="N143" s="291"/>
      <c r="O143" s="293"/>
      <c r="P143" s="293"/>
      <c r="Q143" s="293"/>
      <c r="R143" s="294"/>
      <c r="S143" s="293"/>
      <c r="T143" s="293"/>
      <c r="U143" s="293"/>
      <c r="V143" s="295"/>
      <c r="W143" s="293"/>
      <c r="X143" s="293"/>
      <c r="Y143" s="293"/>
      <c r="Z143" s="293"/>
      <c r="AA143" s="295"/>
      <c r="AB143" s="293"/>
      <c r="AC143" s="293"/>
      <c r="AD143" s="293"/>
      <c r="AE143" s="293"/>
      <c r="AF143" s="296"/>
      <c r="AG143" s="297" t="s">
        <v>289</v>
      </c>
      <c r="AH143" s="298" t="s">
        <v>886</v>
      </c>
      <c r="AI143" s="292" t="s">
        <v>542</v>
      </c>
      <c r="AJ143" s="296" t="e">
        <f>VLOOKUP(Tabla3[[#This Row],[Grado 17-18]],[2]Cuotas!$H:$L,2,0)</f>
        <v>#N/A</v>
      </c>
      <c r="AK143" s="296" t="e">
        <f>VLOOKUP(Tabla3[[#This Row],[Grado 17-18]],[2]Cuotas!$H:$L,3,0)</f>
        <v>#N/A</v>
      </c>
      <c r="AL143" s="296" t="e">
        <f>VLOOKUP(Tabla3[[#This Row],[Grado 17-18]],[2]Cuotas!$H:$L,4,0)</f>
        <v>#N/A</v>
      </c>
      <c r="AM143" s="299"/>
      <c r="AN143" s="300"/>
      <c r="AO143" s="296" t="e">
        <f>Tabla3[[#This Row],[Monto Colegiatura ]]*Tabla3[[#This Row],[% AutorizadoBeca Colegiatura 17-18]]</f>
        <v>#N/A</v>
      </c>
      <c r="AP143" s="295"/>
      <c r="AQ143" s="296" t="e">
        <f>Tabla3[[#This Row],[Monto Colegiatura ]]*Tabla3[[#This Row],[% Beca Prestacion 17-18]]</f>
        <v>#N/A</v>
      </c>
      <c r="AR143" s="295"/>
      <c r="AS143" s="296" t="e">
        <f>Tabla3[[#This Row],[Canasta]]*Tabla3[[#This Row],[% Beca Canasta 17-18]]</f>
        <v>#N/A</v>
      </c>
      <c r="AT143" s="295"/>
      <c r="AU143" s="301"/>
      <c r="AV143" s="296" t="e">
        <f>Tabla3[[#This Row],[Cantidad Beca Comunidad Colegiatura 17-18]]*25%</f>
        <v>#N/A</v>
      </c>
      <c r="AW143" s="293"/>
      <c r="AX143" s="300">
        <v>0.8</v>
      </c>
      <c r="AY143" s="296" t="e">
        <f>Tabla3[[#This Row],[Monto Colegiatura ]]*Tabla3[[#This Row],[% Beca UNAM 17-18]]</f>
        <v>#N/A</v>
      </c>
      <c r="AZ143" s="295">
        <v>0.8</v>
      </c>
      <c r="BA143" s="303">
        <f>3200*Tabla3[[#This Row],[% Beca Reinscripciones UNAM 17-18]]</f>
        <v>2560</v>
      </c>
      <c r="BB143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43" s="318"/>
      <c r="BD143" s="293" t="e">
        <f>Tabla3[[#This Row],[Monto Colegiatura ]]*Tabla3[[#This Row],[% Beca Comunidad 17-18]]</f>
        <v>#N/A</v>
      </c>
      <c r="BE143" s="293" t="e">
        <f>Tabla3[[#This Row],[Cantidad Beca Comunidad Colegiatura 17-18]]*75%</f>
        <v>#N/A</v>
      </c>
      <c r="BF143" s="295"/>
      <c r="BG143" s="293" t="e">
        <f>Tabla3[[#This Row],[Reinscripción]]*Tabla3[[#This Row],[% Beca Reinscripciones Comunidad 18-19]]</f>
        <v>#N/A</v>
      </c>
      <c r="BH143" s="293" t="e">
        <f>Tabla3[[#This Row],[Cantidad Beca Reinscripciones Comunidad 18-19]]*70%</f>
        <v>#N/A</v>
      </c>
      <c r="BI143" s="303" t="e">
        <f>Tabla3[[#This Row],[75% Cantidad Beca Comunidad Colegiatura 17-18]]+Tabla3[[#This Row],[70% Cantidad Beca Reinscripciones 18-19]]</f>
        <v>#N/A</v>
      </c>
      <c r="BJ143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43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43" s="293"/>
      <c r="BM143" s="291"/>
      <c r="BN143" s="306"/>
      <c r="BO143" s="307"/>
      <c r="BP143" s="307">
        <f>Tabla3[[#This Row],[% AutorizadoBeca Colegiatura 17-18]]+Tabla3[[#This Row],[% Beca Prestacion 17-18]]+Tabla3[[#This Row],[% Beca UNAM 17-18]]</f>
        <v>0.8</v>
      </c>
      <c r="BQ143" s="308">
        <f t="shared" si="6"/>
        <v>917.6</v>
      </c>
      <c r="BR143" s="307">
        <f>Tabla3[[#This Row],[% Beca Comunidad 17-18]]</f>
        <v>0</v>
      </c>
      <c r="BS143" s="308">
        <f t="shared" si="7"/>
        <v>0</v>
      </c>
      <c r="BT143" s="308">
        <f t="shared" si="8"/>
        <v>0</v>
      </c>
      <c r="BU143" s="308">
        <f>Tabla3[[#This Row],[Monto3]]*75%</f>
        <v>0</v>
      </c>
      <c r="BV143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43" s="307"/>
      <c r="BX143" s="307" t="e">
        <f>VLOOKUP(Tabla3[[#This Row],[Nombre del Alumno]],[1]!Tabla1[[NOMBRE DEL ALUMNO]:[MATRIZ]],6,0)</f>
        <v>#REF!</v>
      </c>
      <c r="BY143" s="307" t="s">
        <v>881</v>
      </c>
      <c r="BZ143" s="308"/>
      <c r="CA143" s="308"/>
      <c r="CB143" s="308"/>
      <c r="CC143" s="289"/>
      <c r="CD143" s="319"/>
      <c r="CE143" s="293"/>
      <c r="CF143" s="310"/>
      <c r="CG143" s="293"/>
      <c r="CH143" s="310"/>
      <c r="CI143" s="293">
        <f>Tabla3[[#This Row],[Canasta 2018-2019]]*Tabla3[[#This Row],[% Beca Canasta 18-19]]</f>
        <v>0</v>
      </c>
      <c r="CJ143" s="310"/>
      <c r="CK143" s="293">
        <f>Tabla3[[#This Row],[Reinscripción 2019-2020]]*Tabla3[[#This Row],[% Beca Reinscripciones 19-20]]</f>
        <v>0</v>
      </c>
      <c r="CL143" s="293">
        <f>Tabla3[[#This Row],[Cantidad Beca Comunidad Colegiatura 18-19]]*25%</f>
        <v>0</v>
      </c>
      <c r="CM143" s="303">
        <f>Tabla3[[#This Row],[Cantidad Beca Reinscripciones Comunidad 19-20]]*25%</f>
        <v>0</v>
      </c>
      <c r="CN143" s="319"/>
      <c r="CO143" s="293"/>
      <c r="CP143" s="291"/>
      <c r="CQ143" s="303">
        <f>3328*Tabla3[[#This Row],[% Beca Reinscripciones UNAM 18-19]]</f>
        <v>0</v>
      </c>
      <c r="CR143" s="311">
        <f>Tabla3[[#This Row],[Cantidad Beca Colegiatura 18-19]]+Tabla3[[#This Row],[Cantidad Beca Canasta 18-19]]+Tabla3[[#This Row],[Cantidad Beca Reinscripciones 19-20]]</f>
        <v>0</v>
      </c>
      <c r="CS143" s="319"/>
      <c r="CT143" s="293"/>
      <c r="CU143" s="293">
        <f>Tabla3[[#This Row],[Cantidad Beca Comunidad Colegiatura 18-19]]*75%</f>
        <v>0</v>
      </c>
      <c r="CV143" s="310"/>
      <c r="CW143" s="293">
        <f>Tabla3[[#This Row],[Reinscripción 2019-2020]]*Tabla3[[#This Row],[% Beca Reinscripciones Comunidad 19-20]]</f>
        <v>0</v>
      </c>
      <c r="CX143" s="293">
        <f>Tabla3[[#This Row],[Cantidad Beca Reinscripciones Comunidad 19-20]]*75%</f>
        <v>0</v>
      </c>
      <c r="CY143" s="320">
        <f>Tabla3[[#This Row],[75% Cantidad Beca Comunidad Colegiatura 18-19]]+Tabla3[[#This Row],[75% Cantidad Beca Reinscripciones 19-20]]</f>
        <v>0</v>
      </c>
      <c r="CZ143" s="308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0</v>
      </c>
      <c r="DA143" s="308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0</v>
      </c>
      <c r="DB143" s="313">
        <f>1440*(Tabla3[[#This Row],[% AutorizadoBeca Colegiatura 18-19]]+Tabla3[[#This Row],[% Beca Prestacion 18-19]]+Tabla3[[#This Row],[% Beca UNAM 18-19]]+Tabla3[[#This Row],[% Beca Comunidad 18-19]])</f>
        <v>0</v>
      </c>
    </row>
    <row r="144" spans="2:106" s="314" customFormat="1" ht="22.5" hidden="1" x14ac:dyDescent="0.2">
      <c r="B144" s="289" t="s">
        <v>584</v>
      </c>
      <c r="C144" s="289" t="e">
        <f>VLOOKUP(Tabla3[[#This Row],[Nombre del Padre]],[1]!Tabla1[[PADRE]:[PADRE_CELULAR]],2,0)</f>
        <v>#REF!</v>
      </c>
      <c r="D144" s="289" t="e">
        <f>VLOOKUP(Tabla3[[#This Row],[Nombre del Padre]],[1]!Tabla1[[PADRE]:[PADRE_CELULAR]],3,0)</f>
        <v>#REF!</v>
      </c>
      <c r="E144" s="289" t="s">
        <v>585</v>
      </c>
      <c r="F144" s="289" t="e">
        <f>VLOOKUP(Tabla3[[#This Row],[Nombre de la Madre]],[1]!Tabla1[[MADRE]:[MADRE_TELEFONO]],2,0)</f>
        <v>#REF!</v>
      </c>
      <c r="G144" s="202" t="s">
        <v>904</v>
      </c>
      <c r="H144" s="315">
        <v>43</v>
      </c>
      <c r="I144" s="291">
        <v>2034</v>
      </c>
      <c r="J144" s="291" t="s">
        <v>586</v>
      </c>
      <c r="K144" s="291" t="s">
        <v>273</v>
      </c>
      <c r="L144" s="291" t="s">
        <v>905</v>
      </c>
      <c r="M144" s="292" t="s">
        <v>906</v>
      </c>
      <c r="N144" s="291" t="s">
        <v>409</v>
      </c>
      <c r="O144" s="293" t="e">
        <f>VLOOKUP(Tabla3[[#This Row],[Grado]],[2]Cuotas!$A:$E,2,0)</f>
        <v>#N/A</v>
      </c>
      <c r="P144" s="293" t="e">
        <f>VLOOKUP(Tabla3[[#This Row],[Grado]],[2]Cuotas!$A:$E,4,0)</f>
        <v>#N/A</v>
      </c>
      <c r="Q144" s="293" t="e">
        <f>VLOOKUP(Tabla3[[#This Row],[Grado]],[2]Cuotas!$A:$E,3,0)</f>
        <v>#N/A</v>
      </c>
      <c r="R144" s="294">
        <v>0.1</v>
      </c>
      <c r="S144" s="293" t="e">
        <f>Tabla3[[#This Row],[Monto Colegiatura]]*Tabla3[[#This Row],[% Beca Colegio 16-17]]</f>
        <v>#N/A</v>
      </c>
      <c r="T144" s="293"/>
      <c r="U144" s="293" t="e">
        <f>Tabla3[[#This Row],[Monto Colegiatura]]*Tabla3[[#This Row],[% Beca Prestación 16-17]]</f>
        <v>#N/A</v>
      </c>
      <c r="V144" s="295">
        <v>0.4</v>
      </c>
      <c r="W144" s="293" t="e">
        <f>Tabla3[[#This Row],[Monto Colegiatura]]*Tabla3[[#This Row],[% Beca Comunidad 16-17]]</f>
        <v>#N/A</v>
      </c>
      <c r="X144" s="293" t="e">
        <f>Tabla3[[#This Row],[Cantidad Beca Comunidad 16-17]]*25%</f>
        <v>#N/A</v>
      </c>
      <c r="Y144" s="293"/>
      <c r="Z144" s="293" t="e">
        <f>Tabla3[[#This Row],[Monto Colegiatura]]*Tabla3[[#This Row],[% Beca UNAM 16-17]]</f>
        <v>#N/A</v>
      </c>
      <c r="AA144" s="295"/>
      <c r="AB144" s="293" t="e">
        <f>Tabla3[[#This Row],[Monto Reinscripción]]*Tabla3[[#This Row],[% Beca Reinscripción 16-17]]</f>
        <v>#N/A</v>
      </c>
      <c r="AC144" s="293"/>
      <c r="AD144" s="293" t="e">
        <f>Tabla3[[#This Row],[Monto Canasta]]*Tabla3[[#This Row],[% Beca Canasta 16-17]]</f>
        <v>#N/A</v>
      </c>
      <c r="AE144" s="293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44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44" s="297" t="e">
        <f>VLOOKUP(Tabla3[[#This Row],[Nombre del Alumno]],[2]!Tabla1[[Alumno]:[Cuenta Ciclos]],2,0)</f>
        <v>#REF!</v>
      </c>
      <c r="AH144" s="298" t="s">
        <v>907</v>
      </c>
      <c r="AI144" s="298" t="s">
        <v>542</v>
      </c>
      <c r="AJ144" s="296" t="e">
        <f>VLOOKUP(Tabla3[[#This Row],[Grado 17-18]],[2]Cuotas!$H:$L,2,0)</f>
        <v>#N/A</v>
      </c>
      <c r="AK144" s="296" t="e">
        <f>VLOOKUP(Tabla3[[#This Row],[Grado 17-18]],[2]Cuotas!$H:$L,3,0)</f>
        <v>#N/A</v>
      </c>
      <c r="AL144" s="296" t="e">
        <f>VLOOKUP(Tabla3[[#This Row],[Grado 17-18]],[2]Cuotas!$H:$L,4,0)</f>
        <v>#N/A</v>
      </c>
      <c r="AM144" s="299">
        <v>0.2</v>
      </c>
      <c r="AN144" s="300">
        <v>0.1</v>
      </c>
      <c r="AO144" s="296" t="e">
        <f>Tabla3[[#This Row],[Monto Colegiatura ]]*Tabla3[[#This Row],[% AutorizadoBeca Colegiatura 17-18]]</f>
        <v>#N/A</v>
      </c>
      <c r="AP144" s="295"/>
      <c r="AQ144" s="296" t="e">
        <f>Tabla3[[#This Row],[Monto Colegiatura ]]*Tabla3[[#This Row],[% Beca Prestacion 17-18]]</f>
        <v>#N/A</v>
      </c>
      <c r="AR144" s="295"/>
      <c r="AS144" s="296" t="e">
        <f>Tabla3[[#This Row],[Canasta]]*Tabla3[[#This Row],[% Beca Canasta 17-18]]</f>
        <v>#N/A</v>
      </c>
      <c r="AT144" s="295"/>
      <c r="AU144" s="301">
        <v>0</v>
      </c>
      <c r="AV144" s="296" t="e">
        <f>Tabla3[[#This Row],[Cantidad Beca Comunidad Colegiatura 17-18]]*25%</f>
        <v>#N/A</v>
      </c>
      <c r="AW144" s="293"/>
      <c r="AX144" s="302"/>
      <c r="AY144" s="296" t="e">
        <f>Tabla3[[#This Row],[Monto Colegiatura ]]*Tabla3[[#This Row],[% Beca UNAM 17-18]]</f>
        <v>#N/A</v>
      </c>
      <c r="AZ144" s="293"/>
      <c r="BA144" s="303">
        <f>3200*Tabla3[[#This Row],[% Beca Reinscripciones UNAM 17-18]]</f>
        <v>0</v>
      </c>
      <c r="BB144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44" s="304">
        <v>0.3</v>
      </c>
      <c r="BD144" s="293" t="e">
        <f>Tabla3[[#This Row],[Monto Colegiatura ]]*Tabla3[[#This Row],[% Beca Comunidad 17-18]]</f>
        <v>#N/A</v>
      </c>
      <c r="BE144" s="293" t="e">
        <f>Tabla3[[#This Row],[Cantidad Beca Comunidad Colegiatura 17-18]]*75%</f>
        <v>#N/A</v>
      </c>
      <c r="BF144" s="295"/>
      <c r="BG144" s="293" t="e">
        <f>Tabla3[[#This Row],[Reinscripción]]*Tabla3[[#This Row],[% Beca Reinscripciones Comunidad 18-19]]</f>
        <v>#N/A</v>
      </c>
      <c r="BH144" s="293" t="e">
        <f>Tabla3[[#This Row],[Cantidad Beca Reinscripciones Comunidad 18-19]]*70%</f>
        <v>#N/A</v>
      </c>
      <c r="BI144" s="303" t="e">
        <f>Tabla3[[#This Row],[75% Cantidad Beca Comunidad Colegiatura 17-18]]+Tabla3[[#This Row],[70% Cantidad Beca Reinscripciones 18-19]]</f>
        <v>#N/A</v>
      </c>
      <c r="BJ144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44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44" s="293"/>
      <c r="BM144" s="291"/>
      <c r="BN144" s="316">
        <v>0.1</v>
      </c>
      <c r="BO144" s="307"/>
      <c r="BP144" s="307">
        <f>Tabla3[[#This Row],[% AutorizadoBeca Colegiatura 17-18]]+Tabla3[[#This Row],[% Beca Prestacion 17-18]]+Tabla3[[#This Row],[% Beca UNAM 17-18]]</f>
        <v>0.1</v>
      </c>
      <c r="BQ144" s="308">
        <f t="shared" si="6"/>
        <v>114.7</v>
      </c>
      <c r="BR144" s="307">
        <f>Tabla3[[#This Row],[% Beca Comunidad 17-18]]</f>
        <v>0.3</v>
      </c>
      <c r="BS144" s="308">
        <f t="shared" si="7"/>
        <v>344.09999999999997</v>
      </c>
      <c r="BT144" s="308">
        <f t="shared" si="8"/>
        <v>86.024999999999991</v>
      </c>
      <c r="BU144" s="308">
        <f>Tabla3[[#This Row],[Monto3]]*75%</f>
        <v>258.07499999999999</v>
      </c>
      <c r="BV144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44" s="307"/>
      <c r="BX144" s="307" t="e">
        <f>VLOOKUP(Tabla3[[#This Row],[Nombre del Alumno]],[1]!Tabla1[[NOMBRE DEL ALUMNO]:[MATRIZ]],6,0)</f>
        <v>#REF!</v>
      </c>
      <c r="BY144" s="307" t="s">
        <v>881</v>
      </c>
      <c r="BZ144" s="308"/>
      <c r="CA144" s="308"/>
      <c r="CB144" s="308"/>
      <c r="CC144" s="289"/>
      <c r="CD144" s="319"/>
      <c r="CE144" s="293"/>
      <c r="CF144" s="310"/>
      <c r="CG144" s="293"/>
      <c r="CH144" s="310"/>
      <c r="CI144" s="293">
        <f>Tabla3[[#This Row],[Canasta 2018-2019]]*Tabla3[[#This Row],[% Beca Canasta 18-19]]</f>
        <v>0</v>
      </c>
      <c r="CJ144" s="310"/>
      <c r="CK144" s="293">
        <f>Tabla3[[#This Row],[Reinscripción 2019-2020]]*Tabla3[[#This Row],[% Beca Reinscripciones 19-20]]</f>
        <v>0</v>
      </c>
      <c r="CL144" s="293">
        <f>Tabla3[[#This Row],[Cantidad Beca Comunidad Colegiatura 18-19]]*25%</f>
        <v>0</v>
      </c>
      <c r="CM144" s="303">
        <f>Tabla3[[#This Row],[Cantidad Beca Reinscripciones Comunidad 19-20]]*25%</f>
        <v>0</v>
      </c>
      <c r="CN144" s="319"/>
      <c r="CO144" s="293"/>
      <c r="CP144" s="291"/>
      <c r="CQ144" s="303">
        <f>3328*Tabla3[[#This Row],[% Beca Reinscripciones UNAM 18-19]]</f>
        <v>0</v>
      </c>
      <c r="CR144" s="311">
        <f>Tabla3[[#This Row],[Cantidad Beca Colegiatura 18-19]]+Tabla3[[#This Row],[Cantidad Beca Canasta 18-19]]+Tabla3[[#This Row],[Cantidad Beca Reinscripciones 19-20]]</f>
        <v>0</v>
      </c>
      <c r="CS144" s="319"/>
      <c r="CT144" s="293"/>
      <c r="CU144" s="293">
        <f>Tabla3[[#This Row],[Cantidad Beca Comunidad Colegiatura 18-19]]*75%</f>
        <v>0</v>
      </c>
      <c r="CV144" s="310"/>
      <c r="CW144" s="293">
        <f>Tabla3[[#This Row],[Reinscripción 2019-2020]]*Tabla3[[#This Row],[% Beca Reinscripciones Comunidad 19-20]]</f>
        <v>0</v>
      </c>
      <c r="CX144" s="293">
        <f>Tabla3[[#This Row],[Cantidad Beca Reinscripciones Comunidad 19-20]]*75%</f>
        <v>0</v>
      </c>
      <c r="CY144" s="320">
        <f>Tabla3[[#This Row],[75% Cantidad Beca Comunidad Colegiatura 18-19]]+Tabla3[[#This Row],[75% Cantidad Beca Reinscripciones 19-20]]</f>
        <v>0</v>
      </c>
      <c r="CZ144" s="308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0</v>
      </c>
      <c r="DA144" s="308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0</v>
      </c>
      <c r="DB144" s="313">
        <f>1440*(Tabla3[[#This Row],[% AutorizadoBeca Colegiatura 18-19]]+Tabla3[[#This Row],[% Beca Prestacion 18-19]]+Tabla3[[#This Row],[% Beca UNAM 18-19]]+Tabla3[[#This Row],[% Beca Comunidad 18-19]])</f>
        <v>0</v>
      </c>
    </row>
    <row r="145" spans="2:106" s="314" customFormat="1" hidden="1" x14ac:dyDescent="0.2">
      <c r="B145" s="289" t="s">
        <v>854</v>
      </c>
      <c r="C145" s="289" t="e">
        <f>VLOOKUP(Tabla3[[#This Row],[Nombre del Padre]],[1]!Tabla1[[PADRE]:[PADRE_CELULAR]],2,0)</f>
        <v>#REF!</v>
      </c>
      <c r="D145" s="289" t="e">
        <f>VLOOKUP(Tabla3[[#This Row],[Nombre del Padre]],[1]!Tabla1[[PADRE]:[PADRE_CELULAR]],3,0)</f>
        <v>#REF!</v>
      </c>
      <c r="E145" s="289" t="s">
        <v>855</v>
      </c>
      <c r="F145" s="289" t="e">
        <f>VLOOKUP(Tabla3[[#This Row],[Nombre de la Madre]],[1]!Tabla1[[MADRE]:[MADRE_TELEFONO]],2,0)</f>
        <v>#REF!</v>
      </c>
      <c r="G145" s="202" t="s">
        <v>856</v>
      </c>
      <c r="H145" s="290"/>
      <c r="I145" s="291">
        <v>1613</v>
      </c>
      <c r="J145" s="291" t="s">
        <v>857</v>
      </c>
      <c r="K145" s="291" t="s">
        <v>420</v>
      </c>
      <c r="L145" s="291" t="s">
        <v>908</v>
      </c>
      <c r="M145" s="292"/>
      <c r="N145" s="291"/>
      <c r="O145" s="293"/>
      <c r="P145" s="293"/>
      <c r="Q145" s="293"/>
      <c r="R145" s="294"/>
      <c r="S145" s="293"/>
      <c r="T145" s="293"/>
      <c r="U145" s="293"/>
      <c r="V145" s="295"/>
      <c r="W145" s="293"/>
      <c r="X145" s="293"/>
      <c r="Y145" s="293"/>
      <c r="Z145" s="293"/>
      <c r="AA145" s="295"/>
      <c r="AB145" s="293"/>
      <c r="AC145" s="293"/>
      <c r="AD145" s="293"/>
      <c r="AE145" s="293"/>
      <c r="AF145" s="296"/>
      <c r="AG145" s="317" t="s">
        <v>289</v>
      </c>
      <c r="AH145" s="298" t="s">
        <v>909</v>
      </c>
      <c r="AI145" s="298" t="s">
        <v>542</v>
      </c>
      <c r="AJ145" s="296" t="e">
        <f>VLOOKUP(Tabla3[[#This Row],[Grado 17-18]],[2]Cuotas!$H:$L,2,0)</f>
        <v>#N/A</v>
      </c>
      <c r="AK145" s="296" t="e">
        <f>VLOOKUP(Tabla3[[#This Row],[Grado 17-18]],[2]Cuotas!$H:$L,3,0)</f>
        <v>#N/A</v>
      </c>
      <c r="AL145" s="296" t="e">
        <f>VLOOKUP(Tabla3[[#This Row],[Grado 17-18]],[2]Cuotas!$H:$L,4,0)</f>
        <v>#N/A</v>
      </c>
      <c r="AM145" s="299">
        <v>0.6</v>
      </c>
      <c r="AN145" s="300">
        <v>0.3</v>
      </c>
      <c r="AO145" s="296" t="e">
        <f>Tabla3[[#This Row],[Monto Colegiatura ]]*Tabla3[[#This Row],[% AutorizadoBeca Colegiatura 17-18]]</f>
        <v>#N/A</v>
      </c>
      <c r="AP145" s="295"/>
      <c r="AQ145" s="296" t="e">
        <f>Tabla3[[#This Row],[Monto Colegiatura ]]*Tabla3[[#This Row],[% Beca Prestacion 17-18]]</f>
        <v>#N/A</v>
      </c>
      <c r="AR145" s="295"/>
      <c r="AS145" s="296" t="e">
        <f>Tabla3[[#This Row],[Canasta]]*Tabla3[[#This Row],[% Beca Canasta 17-18]]</f>
        <v>#N/A</v>
      </c>
      <c r="AT145" s="295"/>
      <c r="AU145" s="301">
        <v>0</v>
      </c>
      <c r="AV145" s="296" t="e">
        <f>Tabla3[[#This Row],[Cantidad Beca Comunidad Colegiatura 17-18]]*25%</f>
        <v>#N/A</v>
      </c>
      <c r="AW145" s="293"/>
      <c r="AX145" s="302"/>
      <c r="AY145" s="296" t="e">
        <f>Tabla3[[#This Row],[Monto Colegiatura ]]*Tabla3[[#This Row],[% Beca UNAM 17-18]]</f>
        <v>#N/A</v>
      </c>
      <c r="AZ145" s="293"/>
      <c r="BA145" s="303">
        <f>3200*Tabla3[[#This Row],[% Beca Reinscripciones UNAM 17-18]]</f>
        <v>0</v>
      </c>
      <c r="BB145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45" s="318"/>
      <c r="BD145" s="293" t="e">
        <f>Tabla3[[#This Row],[Monto Colegiatura ]]*Tabla3[[#This Row],[% Beca Comunidad 17-18]]</f>
        <v>#N/A</v>
      </c>
      <c r="BE145" s="293" t="e">
        <f>Tabla3[[#This Row],[Cantidad Beca Comunidad Colegiatura 17-18]]*75%</f>
        <v>#N/A</v>
      </c>
      <c r="BF145" s="295"/>
      <c r="BG145" s="293" t="e">
        <f>Tabla3[[#This Row],[Reinscripción]]*Tabla3[[#This Row],[% Beca Reinscripciones Comunidad 18-19]]</f>
        <v>#N/A</v>
      </c>
      <c r="BH145" s="293" t="e">
        <f>Tabla3[[#This Row],[Cantidad Beca Reinscripciones Comunidad 18-19]]*70%</f>
        <v>#N/A</v>
      </c>
      <c r="BI145" s="303" t="e">
        <f>Tabla3[[#This Row],[75% Cantidad Beca Comunidad Colegiatura 17-18]]+Tabla3[[#This Row],[70% Cantidad Beca Reinscripciones 18-19]]</f>
        <v>#N/A</v>
      </c>
      <c r="BJ145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45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45" s="293"/>
      <c r="BM145" s="291"/>
      <c r="BN145" s="306"/>
      <c r="BO145" s="307"/>
      <c r="BP145" s="307">
        <f>Tabla3[[#This Row],[% AutorizadoBeca Colegiatura 17-18]]+Tabla3[[#This Row],[% Beca Prestacion 17-18]]+Tabla3[[#This Row],[% Beca UNAM 17-18]]</f>
        <v>0.3</v>
      </c>
      <c r="BQ145" s="308">
        <f t="shared" si="6"/>
        <v>344.09999999999997</v>
      </c>
      <c r="BR145" s="307">
        <f>Tabla3[[#This Row],[% Beca Comunidad 17-18]]</f>
        <v>0</v>
      </c>
      <c r="BS145" s="308">
        <f t="shared" si="7"/>
        <v>0</v>
      </c>
      <c r="BT145" s="308">
        <f t="shared" si="8"/>
        <v>0</v>
      </c>
      <c r="BU145" s="308">
        <f>Tabla3[[#This Row],[Monto3]]*75%</f>
        <v>0</v>
      </c>
      <c r="BV145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45" s="307"/>
      <c r="BX145" s="307" t="e">
        <f>VLOOKUP(Tabla3[[#This Row],[Nombre del Alumno]],[1]!Tabla1[[NOMBRE DEL ALUMNO]:[MATRIZ]],6,0)</f>
        <v>#REF!</v>
      </c>
      <c r="BY145" s="307" t="s">
        <v>881</v>
      </c>
      <c r="BZ145" s="308"/>
      <c r="CA145" s="308"/>
      <c r="CB145" s="308"/>
      <c r="CC145" s="289"/>
      <c r="CD145" s="319"/>
      <c r="CE145" s="293"/>
      <c r="CF145" s="310"/>
      <c r="CG145" s="293"/>
      <c r="CH145" s="310"/>
      <c r="CI145" s="293">
        <f>Tabla3[[#This Row],[Canasta 2018-2019]]*Tabla3[[#This Row],[% Beca Canasta 18-19]]</f>
        <v>0</v>
      </c>
      <c r="CJ145" s="310"/>
      <c r="CK145" s="293">
        <f>Tabla3[[#This Row],[Reinscripción 2019-2020]]*Tabla3[[#This Row],[% Beca Reinscripciones 19-20]]</f>
        <v>0</v>
      </c>
      <c r="CL145" s="293">
        <f>Tabla3[[#This Row],[Cantidad Beca Comunidad Colegiatura 18-19]]*25%</f>
        <v>0</v>
      </c>
      <c r="CM145" s="303">
        <f>Tabla3[[#This Row],[Cantidad Beca Reinscripciones Comunidad 19-20]]*25%</f>
        <v>0</v>
      </c>
      <c r="CN145" s="319"/>
      <c r="CO145" s="293"/>
      <c r="CP145" s="291"/>
      <c r="CQ145" s="303">
        <f>3328*Tabla3[[#This Row],[% Beca Reinscripciones UNAM 18-19]]</f>
        <v>0</v>
      </c>
      <c r="CR145" s="311">
        <f>Tabla3[[#This Row],[Cantidad Beca Colegiatura 18-19]]+Tabla3[[#This Row],[Cantidad Beca Canasta 18-19]]+Tabla3[[#This Row],[Cantidad Beca Reinscripciones 19-20]]</f>
        <v>0</v>
      </c>
      <c r="CS145" s="319"/>
      <c r="CT145" s="293"/>
      <c r="CU145" s="293">
        <f>Tabla3[[#This Row],[Cantidad Beca Comunidad Colegiatura 18-19]]*75%</f>
        <v>0</v>
      </c>
      <c r="CV145" s="310"/>
      <c r="CW145" s="293">
        <f>Tabla3[[#This Row],[Reinscripción 2019-2020]]*Tabla3[[#This Row],[% Beca Reinscripciones Comunidad 19-20]]</f>
        <v>0</v>
      </c>
      <c r="CX145" s="293">
        <f>Tabla3[[#This Row],[Cantidad Beca Reinscripciones Comunidad 19-20]]*75%</f>
        <v>0</v>
      </c>
      <c r="CY145" s="320">
        <f>Tabla3[[#This Row],[75% Cantidad Beca Comunidad Colegiatura 18-19]]+Tabla3[[#This Row],[75% Cantidad Beca Reinscripciones 19-20]]</f>
        <v>0</v>
      </c>
      <c r="CZ145" s="308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0</v>
      </c>
      <c r="DA145" s="308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0</v>
      </c>
      <c r="DB145" s="313">
        <f>1440*(Tabla3[[#This Row],[% AutorizadoBeca Colegiatura 18-19]]+Tabla3[[#This Row],[% Beca Prestacion 18-19]]+Tabla3[[#This Row],[% Beca UNAM 18-19]]+Tabla3[[#This Row],[% Beca Comunidad 18-19]])</f>
        <v>0</v>
      </c>
    </row>
    <row r="146" spans="2:106" s="314" customFormat="1" ht="22.5" hidden="1" x14ac:dyDescent="0.2">
      <c r="B146" s="289" t="s">
        <v>820</v>
      </c>
      <c r="C146" s="289" t="e">
        <f>VLOOKUP(Tabla3[[#This Row],[Nombre del Padre]],[1]!Tabla1[[PADRE]:[PADRE_CELULAR]],2,0)</f>
        <v>#REF!</v>
      </c>
      <c r="D146" s="289" t="e">
        <f>VLOOKUP(Tabla3[[#This Row],[Nombre del Padre]],[1]!Tabla1[[PADRE]:[PADRE_CELULAR]],3,0)</f>
        <v>#REF!</v>
      </c>
      <c r="E146" s="289" t="s">
        <v>821</v>
      </c>
      <c r="F146" s="289" t="e">
        <f>VLOOKUP(Tabla3[[#This Row],[Nombre de la Madre]],[1]!Tabla1[[MADRE]:[MADRE_TELEFONO]],2,0)</f>
        <v>#REF!</v>
      </c>
      <c r="G146" s="202" t="s">
        <v>822</v>
      </c>
      <c r="H146" s="315">
        <v>56</v>
      </c>
      <c r="I146" s="291">
        <v>1614</v>
      </c>
      <c r="J146" s="291" t="s">
        <v>823</v>
      </c>
      <c r="K146" s="291" t="s">
        <v>420</v>
      </c>
      <c r="L146" s="291" t="s">
        <v>910</v>
      </c>
      <c r="M146" s="292" t="s">
        <v>911</v>
      </c>
      <c r="N146" s="291" t="s">
        <v>409</v>
      </c>
      <c r="O146" s="293" t="e">
        <f>VLOOKUP(Tabla3[[#This Row],[Grado]],[2]Cuotas!$A:$E,2,0)</f>
        <v>#N/A</v>
      </c>
      <c r="P146" s="293" t="e">
        <f>VLOOKUP(Tabla3[[#This Row],[Grado]],[2]Cuotas!$A:$E,4,0)</f>
        <v>#N/A</v>
      </c>
      <c r="Q146" s="293" t="e">
        <f>VLOOKUP(Tabla3[[#This Row],[Grado]],[2]Cuotas!$A:$E,3,0)</f>
        <v>#N/A</v>
      </c>
      <c r="R146" s="294">
        <v>0.15</v>
      </c>
      <c r="S146" s="293" t="e">
        <f>Tabla3[[#This Row],[Monto Colegiatura]]*Tabla3[[#This Row],[% Beca Colegio 16-17]]</f>
        <v>#N/A</v>
      </c>
      <c r="T146" s="293"/>
      <c r="U146" s="293" t="e">
        <f>Tabla3[[#This Row],[Monto Colegiatura]]*Tabla3[[#This Row],[% Beca Prestación 16-17]]</f>
        <v>#N/A</v>
      </c>
      <c r="V146" s="295"/>
      <c r="W146" s="293" t="e">
        <f>Tabla3[[#This Row],[Monto Colegiatura]]*Tabla3[[#This Row],[% Beca Comunidad 16-17]]</f>
        <v>#N/A</v>
      </c>
      <c r="X146" s="293" t="e">
        <f>Tabla3[[#This Row],[Cantidad Beca Comunidad 16-17]]*25%</f>
        <v>#N/A</v>
      </c>
      <c r="Y146" s="293"/>
      <c r="Z146" s="293" t="e">
        <f>Tabla3[[#This Row],[Monto Colegiatura]]*Tabla3[[#This Row],[% Beca UNAM 16-17]]</f>
        <v>#N/A</v>
      </c>
      <c r="AA146" s="295"/>
      <c r="AB146" s="293" t="e">
        <f>Tabla3[[#This Row],[Monto Reinscripción]]*Tabla3[[#This Row],[% Beca Reinscripción 16-17]]</f>
        <v>#N/A</v>
      </c>
      <c r="AC146" s="293"/>
      <c r="AD146" s="293" t="e">
        <f>Tabla3[[#This Row],[Monto Canasta]]*Tabla3[[#This Row],[% Beca Canasta 16-17]]</f>
        <v>#N/A</v>
      </c>
      <c r="AE146" s="293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46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46" s="297" t="e">
        <f>VLOOKUP(Tabla3[[#This Row],[Nombre del Alumno]],[2]!Tabla1[[Alumno]:[Cuenta Ciclos]],2,0)</f>
        <v>#REF!</v>
      </c>
      <c r="AH146" s="298" t="s">
        <v>912</v>
      </c>
      <c r="AI146" s="298" t="s">
        <v>542</v>
      </c>
      <c r="AJ146" s="296" t="e">
        <f>VLOOKUP(Tabla3[[#This Row],[Grado 17-18]],[2]Cuotas!$H:$L,2,0)</f>
        <v>#N/A</v>
      </c>
      <c r="AK146" s="296" t="e">
        <f>VLOOKUP(Tabla3[[#This Row],[Grado 17-18]],[2]Cuotas!$H:$L,3,0)</f>
        <v>#N/A</v>
      </c>
      <c r="AL146" s="296" t="e">
        <f>VLOOKUP(Tabla3[[#This Row],[Grado 17-18]],[2]Cuotas!$H:$L,4,0)</f>
        <v>#N/A</v>
      </c>
      <c r="AM146" s="299">
        <v>0.2</v>
      </c>
      <c r="AN146" s="300">
        <v>0.15</v>
      </c>
      <c r="AO146" s="296" t="e">
        <f>Tabla3[[#This Row],[Monto Colegiatura ]]*Tabla3[[#This Row],[% AutorizadoBeca Colegiatura 17-18]]</f>
        <v>#N/A</v>
      </c>
      <c r="AP146" s="295"/>
      <c r="AQ146" s="296" t="e">
        <f>Tabla3[[#This Row],[Monto Colegiatura ]]*Tabla3[[#This Row],[% Beca Prestacion 17-18]]</f>
        <v>#N/A</v>
      </c>
      <c r="AR146" s="295"/>
      <c r="AS146" s="296" t="e">
        <f>Tabla3[[#This Row],[Canasta]]*Tabla3[[#This Row],[% Beca Canasta 17-18]]</f>
        <v>#N/A</v>
      </c>
      <c r="AT146" s="295"/>
      <c r="AU146" s="301">
        <v>0</v>
      </c>
      <c r="AV146" s="296" t="e">
        <f>Tabla3[[#This Row],[Cantidad Beca Comunidad Colegiatura 17-18]]*25%</f>
        <v>#N/A</v>
      </c>
      <c r="AW146" s="293"/>
      <c r="AX146" s="302"/>
      <c r="AY146" s="296" t="e">
        <f>Tabla3[[#This Row],[Monto Colegiatura ]]*Tabla3[[#This Row],[% Beca UNAM 17-18]]</f>
        <v>#N/A</v>
      </c>
      <c r="AZ146" s="293"/>
      <c r="BA146" s="303">
        <f>3200*Tabla3[[#This Row],[% Beca Reinscripciones UNAM 17-18]]</f>
        <v>0</v>
      </c>
      <c r="BB146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46" s="304"/>
      <c r="BD146" s="293" t="e">
        <f>Tabla3[[#This Row],[Monto Colegiatura ]]*Tabla3[[#This Row],[% Beca Comunidad 17-18]]</f>
        <v>#N/A</v>
      </c>
      <c r="BE146" s="293" t="e">
        <f>Tabla3[[#This Row],[Cantidad Beca Comunidad Colegiatura 17-18]]*75%</f>
        <v>#N/A</v>
      </c>
      <c r="BF146" s="295"/>
      <c r="BG146" s="293" t="e">
        <f>Tabla3[[#This Row],[Reinscripción]]*Tabla3[[#This Row],[% Beca Reinscripciones Comunidad 18-19]]</f>
        <v>#N/A</v>
      </c>
      <c r="BH146" s="293" t="e">
        <f>Tabla3[[#This Row],[Cantidad Beca Reinscripciones Comunidad 18-19]]*70%</f>
        <v>#N/A</v>
      </c>
      <c r="BI146" s="303" t="e">
        <f>Tabla3[[#This Row],[75% Cantidad Beca Comunidad Colegiatura 17-18]]+Tabla3[[#This Row],[70% Cantidad Beca Reinscripciones 18-19]]</f>
        <v>#N/A</v>
      </c>
      <c r="BJ146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46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46" s="293"/>
      <c r="BM146" s="291"/>
      <c r="BN146" s="316">
        <v>0.15</v>
      </c>
      <c r="BO146" s="307"/>
      <c r="BP146" s="307">
        <f>Tabla3[[#This Row],[% AutorizadoBeca Colegiatura 17-18]]+Tabla3[[#This Row],[% Beca Prestacion 17-18]]+Tabla3[[#This Row],[% Beca UNAM 17-18]]</f>
        <v>0.15</v>
      </c>
      <c r="BQ146" s="308">
        <f t="shared" si="6"/>
        <v>172.04999999999998</v>
      </c>
      <c r="BR146" s="307">
        <f>Tabla3[[#This Row],[% Beca Comunidad 17-18]]</f>
        <v>0</v>
      </c>
      <c r="BS146" s="308">
        <f t="shared" si="7"/>
        <v>0</v>
      </c>
      <c r="BT146" s="308">
        <f t="shared" si="8"/>
        <v>0</v>
      </c>
      <c r="BU146" s="308">
        <f>Tabla3[[#This Row],[Monto3]]*75%</f>
        <v>0</v>
      </c>
      <c r="BV146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46" s="307"/>
      <c r="BX146" s="307" t="e">
        <f>VLOOKUP(Tabla3[[#This Row],[Nombre del Alumno]],[1]!Tabla1[[NOMBRE DEL ALUMNO]:[MATRIZ]],6,0)</f>
        <v>#REF!</v>
      </c>
      <c r="BY146" s="307" t="s">
        <v>881</v>
      </c>
      <c r="BZ146" s="308"/>
      <c r="CA146" s="308"/>
      <c r="CB146" s="308"/>
      <c r="CC146" s="289"/>
      <c r="CD146" s="319"/>
      <c r="CE146" s="293"/>
      <c r="CF146" s="310"/>
      <c r="CG146" s="293"/>
      <c r="CH146" s="310"/>
      <c r="CI146" s="293">
        <f>Tabla3[[#This Row],[Canasta 2018-2019]]*Tabla3[[#This Row],[% Beca Canasta 18-19]]</f>
        <v>0</v>
      </c>
      <c r="CJ146" s="310"/>
      <c r="CK146" s="293">
        <f>Tabla3[[#This Row],[Reinscripción 2019-2020]]*Tabla3[[#This Row],[% Beca Reinscripciones 19-20]]</f>
        <v>0</v>
      </c>
      <c r="CL146" s="293">
        <f>Tabla3[[#This Row],[Cantidad Beca Comunidad Colegiatura 18-19]]*25%</f>
        <v>0</v>
      </c>
      <c r="CM146" s="303">
        <f>Tabla3[[#This Row],[Cantidad Beca Reinscripciones Comunidad 19-20]]*25%</f>
        <v>0</v>
      </c>
      <c r="CN146" s="319"/>
      <c r="CO146" s="293"/>
      <c r="CP146" s="291"/>
      <c r="CQ146" s="303">
        <f>3328*Tabla3[[#This Row],[% Beca Reinscripciones UNAM 18-19]]</f>
        <v>0</v>
      </c>
      <c r="CR146" s="311">
        <f>Tabla3[[#This Row],[Cantidad Beca Colegiatura 18-19]]+Tabla3[[#This Row],[Cantidad Beca Canasta 18-19]]+Tabla3[[#This Row],[Cantidad Beca Reinscripciones 19-20]]</f>
        <v>0</v>
      </c>
      <c r="CS146" s="319"/>
      <c r="CT146" s="293"/>
      <c r="CU146" s="293">
        <f>Tabla3[[#This Row],[Cantidad Beca Comunidad Colegiatura 18-19]]*75%</f>
        <v>0</v>
      </c>
      <c r="CV146" s="310"/>
      <c r="CW146" s="293">
        <f>Tabla3[[#This Row],[Reinscripción 2019-2020]]*Tabla3[[#This Row],[% Beca Reinscripciones Comunidad 19-20]]</f>
        <v>0</v>
      </c>
      <c r="CX146" s="293">
        <f>Tabla3[[#This Row],[Cantidad Beca Reinscripciones Comunidad 19-20]]*75%</f>
        <v>0</v>
      </c>
      <c r="CY146" s="320">
        <f>Tabla3[[#This Row],[75% Cantidad Beca Comunidad Colegiatura 18-19]]+Tabla3[[#This Row],[75% Cantidad Beca Reinscripciones 19-20]]</f>
        <v>0</v>
      </c>
      <c r="CZ146" s="308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0</v>
      </c>
      <c r="DA146" s="308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0</v>
      </c>
      <c r="DB146" s="313">
        <f>1440*(Tabla3[[#This Row],[% AutorizadoBeca Colegiatura 18-19]]+Tabla3[[#This Row],[% Beca Prestacion 18-19]]+Tabla3[[#This Row],[% Beca UNAM 18-19]]+Tabla3[[#This Row],[% Beca Comunidad 18-19]])</f>
        <v>0</v>
      </c>
    </row>
    <row r="147" spans="2:106" s="314" customFormat="1" hidden="1" x14ac:dyDescent="0.2">
      <c r="B147" s="289" t="s">
        <v>684</v>
      </c>
      <c r="C147" s="289" t="e">
        <f>VLOOKUP(Tabla3[[#This Row],[Nombre del Padre]],[1]!Tabla1[[PADRE]:[PADRE_CELULAR]],2,0)</f>
        <v>#REF!</v>
      </c>
      <c r="D147" s="289" t="e">
        <f>VLOOKUP(Tabla3[[#This Row],[Nombre del Padre]],[1]!Tabla1[[PADRE]:[PADRE_CELULAR]],3,0)</f>
        <v>#REF!</v>
      </c>
      <c r="E147" s="289" t="s">
        <v>685</v>
      </c>
      <c r="F147" s="289" t="e">
        <f>VLOOKUP(Tabla3[[#This Row],[Nombre de la Madre]],[1]!Tabla1[[MADRE]:[MADRE_TELEFONO]],2,0)</f>
        <v>#REF!</v>
      </c>
      <c r="G147" s="202">
        <v>45938235</v>
      </c>
      <c r="H147" s="315"/>
      <c r="I147" s="291">
        <v>1387</v>
      </c>
      <c r="J147" s="291" t="s">
        <v>686</v>
      </c>
      <c r="K147" s="291" t="s">
        <v>420</v>
      </c>
      <c r="L147" s="291" t="s">
        <v>913</v>
      </c>
      <c r="M147" s="292" t="s">
        <v>460</v>
      </c>
      <c r="N147" s="291" t="s">
        <v>409</v>
      </c>
      <c r="O147" s="293" t="e">
        <f>VLOOKUP(Tabla3[[#This Row],[Grado]],[2]Cuotas!$A:$E,2,0)</f>
        <v>#N/A</v>
      </c>
      <c r="P147" s="293" t="e">
        <f>VLOOKUP(Tabla3[[#This Row],[Grado]],[2]Cuotas!$A:$E,4,0)</f>
        <v>#N/A</v>
      </c>
      <c r="Q147" s="293" t="e">
        <f>VLOOKUP(Tabla3[[#This Row],[Grado]],[2]Cuotas!$A:$E,3,0)</f>
        <v>#N/A</v>
      </c>
      <c r="R147" s="294"/>
      <c r="S147" s="293" t="e">
        <f>Tabla3[[#This Row],[Monto Colegiatura]]*Tabla3[[#This Row],[% Beca Colegio 16-17]]</f>
        <v>#N/A</v>
      </c>
      <c r="T147" s="295"/>
      <c r="U147" s="293" t="e">
        <f>Tabla3[[#This Row],[Monto Colegiatura]]*Tabla3[[#This Row],[% Beca Prestación 16-17]]</f>
        <v>#N/A</v>
      </c>
      <c r="V147" s="295"/>
      <c r="W147" s="293" t="e">
        <f>Tabla3[[#This Row],[Monto Colegiatura]]*Tabla3[[#This Row],[% Beca Comunidad 16-17]]</f>
        <v>#N/A</v>
      </c>
      <c r="X147" s="293" t="e">
        <f>Tabla3[[#This Row],[Cantidad Beca Comunidad 16-17]]*25%</f>
        <v>#N/A</v>
      </c>
      <c r="Y147" s="295">
        <v>0.8</v>
      </c>
      <c r="Z147" s="301" t="e">
        <f>Tabla3[[#This Row],[Monto Colegiatura]]*Tabla3[[#This Row],[% Beca UNAM 16-17]]</f>
        <v>#N/A</v>
      </c>
      <c r="AA147" s="295" t="e">
        <f>VLOOKUP(Tabla3[[#This Row],[Nombre del Alumno]],'[4]BECAS REINSCRIPCIONES'!$B$9:$D$31,3,0)</f>
        <v>#N/A</v>
      </c>
      <c r="AB147" s="301" t="e">
        <f>Tabla3[[#This Row],[Monto Reinscripción]]*Tabla3[[#This Row],[% Beca Reinscripción 16-17]]</f>
        <v>#N/A</v>
      </c>
      <c r="AC147" s="301"/>
      <c r="AD147" s="301" t="e">
        <f>Tabla3[[#This Row],[Monto Canasta]]*Tabla3[[#This Row],[% Beca Canasta 16-17]]</f>
        <v>#N/A</v>
      </c>
      <c r="AE147" s="301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47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47" s="297" t="e">
        <f>VLOOKUP(Tabla3[[#This Row],[Nombre del Alumno]],[2]!Tabla1[[Alumno]:[Cuenta Ciclos]],2,0)</f>
        <v>#REF!</v>
      </c>
      <c r="AH147" s="298" t="s">
        <v>914</v>
      </c>
      <c r="AI147" s="298" t="s">
        <v>717</v>
      </c>
      <c r="AJ147" s="296"/>
      <c r="AK147" s="296"/>
      <c r="AL147" s="296"/>
      <c r="AM147" s="299">
        <v>0.3</v>
      </c>
      <c r="AN147" s="300"/>
      <c r="AO147" s="296">
        <f>Tabla3[[#This Row],[Monto Colegiatura ]]*Tabla3[[#This Row],[% AutorizadoBeca Colegiatura 17-18]]</f>
        <v>0</v>
      </c>
      <c r="AP147" s="295"/>
      <c r="AQ147" s="296">
        <f>Tabla3[[#This Row],[Monto Colegiatura ]]*Tabla3[[#This Row],[% Beca Prestacion 17-18]]</f>
        <v>0</v>
      </c>
      <c r="AR147" s="295"/>
      <c r="AS147" s="296">
        <f>Tabla3[[#This Row],[Canasta]]*Tabla3[[#This Row],[% Beca Canasta 17-18]]</f>
        <v>0</v>
      </c>
      <c r="AT147" s="295"/>
      <c r="AU147" s="301">
        <v>0</v>
      </c>
      <c r="AV147" s="296">
        <f>Tabla3[[#This Row],[Cantidad Beca Comunidad Colegiatura 17-18]]*25%</f>
        <v>0</v>
      </c>
      <c r="AW147" s="293"/>
      <c r="AX147" s="302"/>
      <c r="AY147" s="296">
        <f>Tabla3[[#This Row],[Monto Colegiatura ]]*Tabla3[[#This Row],[% Beca UNAM 17-18]]</f>
        <v>0</v>
      </c>
      <c r="AZ147" s="293"/>
      <c r="BA147" s="303">
        <f>3200*Tabla3[[#This Row],[% Beca Reinscripciones UNAM 17-18]]</f>
        <v>0</v>
      </c>
      <c r="BB147" s="293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0</v>
      </c>
      <c r="BC147" s="304"/>
      <c r="BD147" s="293">
        <f>Tabla3[[#This Row],[Monto Colegiatura ]]*Tabla3[[#This Row],[% Beca Comunidad 17-18]]</f>
        <v>0</v>
      </c>
      <c r="BE147" s="293">
        <f>Tabla3[[#This Row],[Cantidad Beca Comunidad Colegiatura 17-18]]*75%</f>
        <v>0</v>
      </c>
      <c r="BF147" s="295"/>
      <c r="BG147" s="293">
        <f>Tabla3[[#This Row],[Reinscripción]]*Tabla3[[#This Row],[% Beca Reinscripciones Comunidad 18-19]]</f>
        <v>0</v>
      </c>
      <c r="BH147" s="293">
        <f>Tabla3[[#This Row],[Cantidad Beca Reinscripciones Comunidad 18-19]]*70%</f>
        <v>0</v>
      </c>
      <c r="BI147" s="303">
        <f>Tabla3[[#This Row],[75% Cantidad Beca Comunidad Colegiatura 17-18]]+Tabla3[[#This Row],[70% Cantidad Beca Reinscripciones 18-19]]</f>
        <v>0</v>
      </c>
      <c r="BJ147" s="305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0</v>
      </c>
      <c r="BK147" s="296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0</v>
      </c>
      <c r="BL147" s="293"/>
      <c r="BM147" s="291"/>
      <c r="BN147" s="316">
        <v>0.1</v>
      </c>
      <c r="BO147" s="307"/>
      <c r="BP147" s="307">
        <f>Tabla3[[#This Row],[% AutorizadoBeca Colegiatura 17-18]]+Tabla3[[#This Row],[% Beca Prestacion 17-18]]+Tabla3[[#This Row],[% Beca UNAM 17-18]]</f>
        <v>0</v>
      </c>
      <c r="BQ147" s="308">
        <f t="shared" si="6"/>
        <v>0</v>
      </c>
      <c r="BR147" s="307">
        <f>Tabla3[[#This Row],[% Beca Comunidad 17-18]]</f>
        <v>0</v>
      </c>
      <c r="BS147" s="308">
        <f t="shared" si="7"/>
        <v>0</v>
      </c>
      <c r="BT147" s="308">
        <f t="shared" si="8"/>
        <v>0</v>
      </c>
      <c r="BU147" s="308">
        <f>Tabla3[[#This Row],[Monto3]]*75%</f>
        <v>0</v>
      </c>
      <c r="BV147" s="307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0</v>
      </c>
      <c r="BW147" s="307"/>
      <c r="BX147" s="307" t="e">
        <f>VLOOKUP(Tabla3[[#This Row],[Nombre del Alumno]],[1]!Tabla1[[NOMBRE DEL ALUMNO]:[MATRIZ]],6,0)</f>
        <v>#REF!</v>
      </c>
      <c r="BY147" s="307" t="s">
        <v>881</v>
      </c>
      <c r="BZ147" s="308"/>
      <c r="CA147" s="308"/>
      <c r="CB147" s="308"/>
      <c r="CC147" s="289"/>
      <c r="CD147" s="319"/>
      <c r="CE147" s="293"/>
      <c r="CF147" s="310"/>
      <c r="CG147" s="293"/>
      <c r="CH147" s="310"/>
      <c r="CI147" s="293">
        <f>Tabla3[[#This Row],[Canasta 2018-2019]]*Tabla3[[#This Row],[% Beca Canasta 18-19]]</f>
        <v>0</v>
      </c>
      <c r="CJ147" s="310"/>
      <c r="CK147" s="293">
        <f>Tabla3[[#This Row],[Reinscripción 2019-2020]]*Tabla3[[#This Row],[% Beca Reinscripciones 19-20]]</f>
        <v>0</v>
      </c>
      <c r="CL147" s="293">
        <f>Tabla3[[#This Row],[Cantidad Beca Comunidad Colegiatura 18-19]]*25%</f>
        <v>0</v>
      </c>
      <c r="CM147" s="303">
        <f>Tabla3[[#This Row],[Cantidad Beca Reinscripciones Comunidad 19-20]]*25%</f>
        <v>0</v>
      </c>
      <c r="CN147" s="319"/>
      <c r="CO147" s="293"/>
      <c r="CP147" s="291"/>
      <c r="CQ147" s="303">
        <f>3328*Tabla3[[#This Row],[% Beca Reinscripciones UNAM 18-19]]</f>
        <v>0</v>
      </c>
      <c r="CR147" s="311">
        <f>Tabla3[[#This Row],[Cantidad Beca Colegiatura 18-19]]+Tabla3[[#This Row],[Cantidad Beca Canasta 18-19]]+Tabla3[[#This Row],[Cantidad Beca Reinscripciones 19-20]]</f>
        <v>0</v>
      </c>
      <c r="CS147" s="319"/>
      <c r="CT147" s="293"/>
      <c r="CU147" s="293">
        <f>Tabla3[[#This Row],[Cantidad Beca Comunidad Colegiatura 18-19]]*75%</f>
        <v>0</v>
      </c>
      <c r="CV147" s="310"/>
      <c r="CW147" s="293">
        <f>Tabla3[[#This Row],[Reinscripción 2019-2020]]*Tabla3[[#This Row],[% Beca Reinscripciones Comunidad 19-20]]</f>
        <v>0</v>
      </c>
      <c r="CX147" s="293">
        <f>Tabla3[[#This Row],[Cantidad Beca Reinscripciones Comunidad 19-20]]*75%</f>
        <v>0</v>
      </c>
      <c r="CY147" s="320">
        <f>Tabla3[[#This Row],[75% Cantidad Beca Comunidad Colegiatura 18-19]]+Tabla3[[#This Row],[75% Cantidad Beca Reinscripciones 19-20]]</f>
        <v>0</v>
      </c>
      <c r="CZ147" s="308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0</v>
      </c>
      <c r="DA147" s="308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0</v>
      </c>
      <c r="DB147" s="313">
        <f>1440*(Tabla3[[#This Row],[% AutorizadoBeca Colegiatura 18-19]]+Tabla3[[#This Row],[% Beca Prestacion 18-19]]+Tabla3[[#This Row],[% Beca UNAM 18-19]]+Tabla3[[#This Row],[% Beca Comunidad 18-19]])</f>
        <v>0</v>
      </c>
    </row>
    <row r="148" spans="2:106" s="314" customFormat="1" hidden="1" x14ac:dyDescent="0.2">
      <c r="B148" s="289" t="s">
        <v>767</v>
      </c>
      <c r="C148" s="289" t="e">
        <f>VLOOKUP(Tabla3[[#This Row],[Nombre del Padre]],[1]!Tabla1[[PADRE]:[PADRE_CELULAR]],2,0)</f>
        <v>#REF!</v>
      </c>
      <c r="D148" s="289" t="e">
        <f>VLOOKUP(Tabla3[[#This Row],[Nombre del Padre]],[1]!Tabla1[[PADRE]:[PADRE_CELULAR]],3,0)</f>
        <v>#REF!</v>
      </c>
      <c r="E148" s="289" t="s">
        <v>768</v>
      </c>
      <c r="F148" s="289" t="e">
        <f>VLOOKUP(Tabla3[[#This Row],[Nombre de la Madre]],[1]!Tabla1[[MADRE]:[MADRE_TELEFONO]],2,0)</f>
        <v>#REF!</v>
      </c>
      <c r="G148" s="202" t="s">
        <v>915</v>
      </c>
      <c r="H148" s="315"/>
      <c r="I148" s="291">
        <v>1571</v>
      </c>
      <c r="J148" s="291" t="s">
        <v>156</v>
      </c>
      <c r="K148" s="291" t="s">
        <v>312</v>
      </c>
      <c r="L148" s="291" t="s">
        <v>916</v>
      </c>
      <c r="M148" s="292" t="s">
        <v>917</v>
      </c>
      <c r="N148" s="291" t="s">
        <v>409</v>
      </c>
      <c r="O148" s="293" t="e">
        <f>VLOOKUP(Tabla3[[#This Row],[Grado]],[2]Cuotas!$A:$E,2,0)</f>
        <v>#N/A</v>
      </c>
      <c r="P148" s="293" t="e">
        <f>VLOOKUP(Tabla3[[#This Row],[Grado]],[2]Cuotas!$A:$E,4,0)</f>
        <v>#N/A</v>
      </c>
      <c r="Q148" s="293" t="e">
        <f>VLOOKUP(Tabla3[[#This Row],[Grado]],[2]Cuotas!$A:$E,3,0)</f>
        <v>#N/A</v>
      </c>
      <c r="R148" s="294">
        <v>0.5</v>
      </c>
      <c r="S148" s="293" t="e">
        <f>Tabla3[[#This Row],[Monto Colegiatura]]*Tabla3[[#This Row],[% Beca Colegio 16-17]]</f>
        <v>#N/A</v>
      </c>
      <c r="T148" s="293"/>
      <c r="U148" s="293" t="e">
        <f>Tabla3[[#This Row],[Monto Colegiatura]]*Tabla3[[#This Row],[% Beca Prestación 16-17]]</f>
        <v>#N/A</v>
      </c>
      <c r="V148" s="295"/>
      <c r="W148" s="293" t="e">
        <f>Tabla3[[#This Row],[Monto Colegiatura]]*Tabla3[[#This Row],[% Beca Comunidad 16-17]]</f>
        <v>#N/A</v>
      </c>
      <c r="X148" s="293" t="e">
        <f>Tabla3[[#This Row],[Cantidad Beca Comunidad 16-17]]*25%</f>
        <v>#N/A</v>
      </c>
      <c r="Y148" s="293"/>
      <c r="Z148" s="293" t="e">
        <f>Tabla3[[#This Row],[Monto Colegiatura]]*Tabla3[[#This Row],[% Beca UNAM 16-17]]</f>
        <v>#N/A</v>
      </c>
      <c r="AA148" s="295"/>
      <c r="AB148" s="293" t="e">
        <f>Tabla3[[#This Row],[Monto Reinscripción]]*Tabla3[[#This Row],[% Beca Reinscripción 16-17]]</f>
        <v>#N/A</v>
      </c>
      <c r="AC148" s="293"/>
      <c r="AD148" s="293" t="e">
        <f>Tabla3[[#This Row],[Monto Canasta]]*Tabla3[[#This Row],[% Beca Canasta 16-17]]</f>
        <v>#N/A</v>
      </c>
      <c r="AE148" s="293" t="e">
        <f>Tabla3[[#This Row],[Cantidad Beca Colegio 16-17]]+Tabla3[[#This Row],[Cantidad Beca Prestación 16-17]]+Tabla3[[#This Row],[25% Beca Comunidad 16-18]]+Tabla3[[#This Row],[Cantidad Beca UNAM 16-18]]+Tabla3[[#This Row],[Cantidad Reinscripción 16-17]]+Tabla3[[#This Row],[Cantidad Beca Canasta 16-17]]</f>
        <v>#N/A</v>
      </c>
      <c r="AF148" s="296" t="e">
        <f>Tabla3[[#This Row],[Monto Colegiatura]]+Tabla3[[#This Row],[Monto Reinscripción]]+Tabla3[[#This Row],[Monto Canasta]]-Tabla3[[#This Row],[Cantidad Beca Colegio 16-17]]-Tabla3[[#This Row],[Cantidad Beca Prestación 16-17]]-Tabla3[[#This Row],[Cantidad Beca Comunidad 16-17]]-Tabla3[[#This Row],[Cantidad Beca UNAM 16-18]]-Tabla3[[#This Row],[Cantidad Reinscripción 16-17]]-Tabla3[[#This Row],[Cantidad Beca Canasta 16-17]]</f>
        <v>#N/A</v>
      </c>
      <c r="AG148" s="297" t="e">
        <f>VLOOKUP(Tabla3[[#This Row],[Nombre del Alumno]],[2]!Tabla1[[Alumno]:[Cuenta Ciclos]],2,0)</f>
        <v>#REF!</v>
      </c>
      <c r="AH148" s="298" t="s">
        <v>918</v>
      </c>
      <c r="AI148" s="298" t="s">
        <v>542</v>
      </c>
      <c r="AJ148" s="296" t="e">
        <f>VLOOKUP(Tabla3[[#This Row],[Grado 17-18]],[2]Cuotas!$H:$L,2,0)</f>
        <v>#N/A</v>
      </c>
      <c r="AK148" s="296" t="e">
        <f>VLOOKUP(Tabla3[[#This Row],[Grado 17-18]],[2]Cuotas!$H:$L,3,0)</f>
        <v>#N/A</v>
      </c>
      <c r="AL148" s="296" t="e">
        <f>VLOOKUP(Tabla3[[#This Row],[Grado 17-18]],[2]Cuotas!$H:$L,4,0)</f>
        <v>#N/A</v>
      </c>
      <c r="AM148" s="299">
        <v>0.6</v>
      </c>
      <c r="AN148" s="300">
        <v>0.7</v>
      </c>
      <c r="AO148" s="296" t="e">
        <f>Tabla3[[#This Row],[Monto Colegiatura ]]*Tabla3[[#This Row],[% AutorizadoBeca Colegiatura 17-18]]</f>
        <v>#N/A</v>
      </c>
      <c r="AP148" s="295"/>
      <c r="AQ148" s="296" t="e">
        <f>Tabla3[[#This Row],[Monto Colegiatura ]]*Tabla3[[#This Row],[% Beca Prestacion 17-18]]</f>
        <v>#N/A</v>
      </c>
      <c r="AR148" s="295"/>
      <c r="AS148" s="296" t="e">
        <f>Tabla3[[#This Row],[Canasta]]*Tabla3[[#This Row],[% Beca Canasta 17-18]]</f>
        <v>#N/A</v>
      </c>
      <c r="AT148" s="295"/>
      <c r="AU148" s="301">
        <v>0</v>
      </c>
      <c r="AV148" s="296" t="e">
        <f>Tabla3[[#This Row],[Cantidad Beca Comunidad Colegiatura 17-18]]*25%</f>
        <v>#N/A</v>
      </c>
      <c r="AW148" s="293"/>
      <c r="AX148" s="302"/>
      <c r="AY148" s="296" t="e">
        <f>Tabla3[[#This Row],[Monto Colegiatura ]]*Tabla3[[#This Row],[% Beca UNAM 17-18]]</f>
        <v>#N/A</v>
      </c>
      <c r="AZ148" s="293"/>
      <c r="BA148" s="303">
        <f>3200*Tabla3[[#This Row],[% Beca Reinscripciones UNAM 17-18]]</f>
        <v>0</v>
      </c>
      <c r="BB148" s="293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C148" s="304"/>
      <c r="BD148" s="293" t="e">
        <f>Tabla3[[#This Row],[Monto Colegiatura ]]*Tabla3[[#This Row],[% Beca Comunidad 17-18]]</f>
        <v>#N/A</v>
      </c>
      <c r="BE148" s="293" t="e">
        <f>Tabla3[[#This Row],[Cantidad Beca Comunidad Colegiatura 17-18]]*75%</f>
        <v>#N/A</v>
      </c>
      <c r="BF148" s="295"/>
      <c r="BG148" s="293" t="e">
        <f>Tabla3[[#This Row],[Reinscripción]]*Tabla3[[#This Row],[% Beca Reinscripciones Comunidad 18-19]]</f>
        <v>#N/A</v>
      </c>
      <c r="BH148" s="293" t="e">
        <f>Tabla3[[#This Row],[Cantidad Beca Reinscripciones Comunidad 18-19]]*70%</f>
        <v>#N/A</v>
      </c>
      <c r="BI148" s="303" t="e">
        <f>Tabla3[[#This Row],[75% Cantidad Beca Comunidad Colegiatura 17-18]]+Tabla3[[#This Row],[70% Cantidad Beca Reinscripciones 18-19]]</f>
        <v>#N/A</v>
      </c>
      <c r="BJ148" s="305" t="e">
        <f>Tabla3[[#This Row],[Cantidad Beca Colegiatura 17-18]]+Tabla3[[#This Row],[Cantidad Beca Prestacion 17-18]]+Tabla3[[#This Row],[Cantidad Beca Canasta 17-18]]+Tabla3[[#This Row],[Cantidad Beca Reinscripciones 18-19]]+Tabla3[[#This Row],[25 % Cantidad Beca Comunidad Colegiatura 17-18]]+Tabla3[[#This Row],[30% Cantidad Beca Reinscripciones Comunidad 18-19]]+Tabla3[[#This Row],[Cantidad Beca UNAM Colegiatura17-18]]+Tabla3[[#This Row],[Cantidad Beca Reinscripciones UNAM 17-18]]</f>
        <v>#N/A</v>
      </c>
      <c r="BK148" s="296" t="e">
        <f>Tabla3[[#This Row],[Monto Colegiatura ]]+Tabla3[[#This Row],[Reinscripción]]+Tabla3[[#This Row],[Canasta]]-Tabla3[[#This Row],[Cantidad Beca Colegiatura 17-18]]-Tabla3[[#This Row],[Cantidad Beca Prestacion 17-18]]-Tabla3[[#This Row],[Cantidad Beca Canasta 17-18]]-Tabla3[[#This Row],[Cantidad Beca Reinscripciones 18-19]]-Tabla3[[#This Row],[Cantidad Beca UNAM Colegiatura17-18]]-Tabla3[[#This Row],[Cantidad Beca Reinscripciones UNAM 17-18]]-Tabla3[[#This Row],[Cantidad Beca Comunidad Colegiatura 17-18]]</f>
        <v>#N/A</v>
      </c>
      <c r="BL148" s="293"/>
      <c r="BM148" s="291"/>
      <c r="BN148" s="306"/>
      <c r="BO148" s="307"/>
      <c r="BP148" s="307">
        <f>Tabla3[[#This Row],[% AutorizadoBeca Colegiatura 17-18]]+Tabla3[[#This Row],[% Beca Prestacion 17-18]]+Tabla3[[#This Row],[% Beca UNAM 17-18]]</f>
        <v>0.7</v>
      </c>
      <c r="BQ148" s="308">
        <f t="shared" si="6"/>
        <v>802.9</v>
      </c>
      <c r="BR148" s="307">
        <f>Tabla3[[#This Row],[% Beca Comunidad 17-18]]</f>
        <v>0</v>
      </c>
      <c r="BS148" s="308">
        <f t="shared" si="7"/>
        <v>0</v>
      </c>
      <c r="BT148" s="308">
        <f t="shared" si="8"/>
        <v>0</v>
      </c>
      <c r="BU148" s="308">
        <f>Tabla3[[#This Row],[Monto3]]*75%</f>
        <v>0</v>
      </c>
      <c r="BV148" s="307" t="e">
        <f>Tabla3[[#This Row],[Cantidad Beca Colegiatura 17-18]]+Tabla3[[#This Row],[Cantidad Beca Prestacion 17-18]]+Tabla3[[#This Row],[Cantidad Beca Canasta 17-18]]+Tabla3[[#This Row],[Cantidad Beca Reinscripciones 18-19]]+Tabla3[[#This Row],[Cantidad Beca UNAM Colegiatura17-18]]+Tabla3[[#This Row],[Cantidad Beca Comunidad Colegiatura 17-18]]+Tabla3[[#This Row],[Cantidad Beca Reinscripciones Comunidad 18-19]]</f>
        <v>#N/A</v>
      </c>
      <c r="BW148" s="307"/>
      <c r="BX148" s="307" t="e">
        <f>VLOOKUP(Tabla3[[#This Row],[Nombre del Alumno]],[1]!Tabla1[[NOMBRE DEL ALUMNO]:[MATRIZ]],6,0)</f>
        <v>#REF!</v>
      </c>
      <c r="BY148" s="307" t="s">
        <v>881</v>
      </c>
      <c r="BZ148" s="308"/>
      <c r="CA148" s="308"/>
      <c r="CB148" s="308"/>
      <c r="CC148" s="289"/>
      <c r="CD148" s="319"/>
      <c r="CE148" s="293"/>
      <c r="CF148" s="310"/>
      <c r="CG148" s="293"/>
      <c r="CH148" s="310"/>
      <c r="CI148" s="293">
        <f>Tabla3[[#This Row],[Canasta 2018-2019]]*Tabla3[[#This Row],[% Beca Canasta 18-19]]</f>
        <v>0</v>
      </c>
      <c r="CJ148" s="310"/>
      <c r="CK148" s="293">
        <f>Tabla3[[#This Row],[Reinscripción 2019-2020]]*Tabla3[[#This Row],[% Beca Reinscripciones 19-20]]</f>
        <v>0</v>
      </c>
      <c r="CL148" s="293">
        <f>Tabla3[[#This Row],[Cantidad Beca Comunidad Colegiatura 18-19]]*25%</f>
        <v>0</v>
      </c>
      <c r="CM148" s="303">
        <f>Tabla3[[#This Row],[Cantidad Beca Reinscripciones Comunidad 19-20]]*25%</f>
        <v>0</v>
      </c>
      <c r="CN148" s="319"/>
      <c r="CO148" s="293"/>
      <c r="CP148" s="291"/>
      <c r="CQ148" s="303">
        <f>3328*Tabla3[[#This Row],[% Beca Reinscripciones UNAM 18-19]]</f>
        <v>0</v>
      </c>
      <c r="CR148" s="311">
        <f>Tabla3[[#This Row],[Cantidad Beca Colegiatura 18-19]]+Tabla3[[#This Row],[Cantidad Beca Canasta 18-19]]+Tabla3[[#This Row],[Cantidad Beca Reinscripciones 19-20]]</f>
        <v>0</v>
      </c>
      <c r="CS148" s="319"/>
      <c r="CT148" s="293"/>
      <c r="CU148" s="293">
        <f>Tabla3[[#This Row],[Cantidad Beca Comunidad Colegiatura 18-19]]*75%</f>
        <v>0</v>
      </c>
      <c r="CV148" s="310"/>
      <c r="CW148" s="293">
        <f>Tabla3[[#This Row],[Reinscripción 2019-2020]]*Tabla3[[#This Row],[% Beca Reinscripciones Comunidad 19-20]]</f>
        <v>0</v>
      </c>
      <c r="CX148" s="293">
        <f>Tabla3[[#This Row],[Cantidad Beca Reinscripciones Comunidad 19-20]]*75%</f>
        <v>0</v>
      </c>
      <c r="CY148" s="320">
        <f>Tabla3[[#This Row],[75% Cantidad Beca Comunidad Colegiatura 18-19]]+Tabla3[[#This Row],[75% Cantidad Beca Reinscripciones 19-20]]</f>
        <v>0</v>
      </c>
      <c r="CZ148" s="308">
        <f>Tabla3[[#This Row],[Cantidad Beca Colegiatura 18-19]]+Tabla3[[#This Row],[Cantidad Beca Prestacion 18-19]]+Tabla3[[#This Row],[Cantidad Beca Canasta 18-19]]+Tabla3[[#This Row],[25 % Cantidad Beca Comunidad Colegiatura 19-20]]+Tabla3[[#This Row],[25% Cantidad Beca Reinscripciones Comunidad 19-20]]+Tabla3[[#This Row],[Cantidad Beca UNAM Colegiatura 18-19]]</f>
        <v>0</v>
      </c>
      <c r="DA148" s="308">
        <f>Tabla3[[#This Row],[Cantidad Beca Colegiatura 18-19]]+Tabla3[[#This Row],[Cantidad Beca Prestacion 18-19]]+Tabla3[[#This Row],[Cantidad Beca Canasta 18-19]]+Tabla3[[#This Row],[Cantidad Beca Reinscripciones 19-20]]+Tabla3[[#This Row],[Cantidad Beca UNAM Colegiatura 18-19]]+Tabla3[[#This Row],[Cantidad Beca Comunidad Colegiatura 18-19]]+Tabla3[[#This Row],[Cantidad Beca Reinscripciones Comunidad 19-20]]</f>
        <v>0</v>
      </c>
      <c r="DB148" s="313">
        <f>1440*(Tabla3[[#This Row],[% AutorizadoBeca Colegiatura 18-19]]+Tabla3[[#This Row],[% Beca Prestacion 18-19]]+Tabla3[[#This Row],[% Beca UNAM 18-19]]+Tabla3[[#This Row],[% Beca Comunidad 18-19]])</f>
        <v>0</v>
      </c>
    </row>
    <row r="149" spans="2:106" s="351" customFormat="1" ht="31.5" customHeight="1" thickBot="1" x14ac:dyDescent="0.3">
      <c r="B149" s="322"/>
      <c r="C149" s="322"/>
      <c r="D149" s="322"/>
      <c r="E149" s="322"/>
      <c r="F149" s="322"/>
      <c r="G149" s="323"/>
      <c r="H149" s="324">
        <f>H123</f>
        <v>0</v>
      </c>
      <c r="I149" s="322"/>
      <c r="J149" s="325">
        <f>'[2]Conte de familias'!B3</f>
        <v>69</v>
      </c>
      <c r="K149" s="326"/>
      <c r="L149" s="325">
        <f>SUBTOTAL(103,Tabla3[Nombre del Alumno])</f>
        <v>117</v>
      </c>
      <c r="M149" s="327">
        <f>SUBTOTAL(103,Tabla3[Matriz2016-2017])</f>
        <v>84</v>
      </c>
      <c r="N149" s="327"/>
      <c r="O149" s="328" t="e">
        <f>SUBTOTAL(109,Tabla3[Monto Colegiatura])</f>
        <v>#N/A</v>
      </c>
      <c r="P149" s="328" t="e">
        <f>SUBTOTAL(109,Tabla3[Monto Reinscripción])</f>
        <v>#N/A</v>
      </c>
      <c r="Q149" s="328" t="e">
        <f>SUBTOTAL(109,Tabla3[Monto Canasta])</f>
        <v>#N/A</v>
      </c>
      <c r="R149" s="329">
        <f>SUBTOTAL(103,Tabla3[% Beca Colegio 16-17])</f>
        <v>52</v>
      </c>
      <c r="S149" s="328" t="e">
        <f>SUBTOTAL(109,Tabla3[Cantidad Beca Colegio 16-17])</f>
        <v>#N/A</v>
      </c>
      <c r="T149" s="329">
        <f>SUBTOTAL(103,Tabla3[% Beca Prestación 16-17])</f>
        <v>14</v>
      </c>
      <c r="U149" s="328" t="e">
        <f>SUBTOTAL(109,Tabla3[Cantidad Beca Prestación 16-17])</f>
        <v>#N/A</v>
      </c>
      <c r="V149" s="329">
        <f>SUBTOTAL(103,Tabla3[% Beca Comunidad 16-17])</f>
        <v>47</v>
      </c>
      <c r="W149" s="328" t="e">
        <f>SUBTOTAL(109,Tabla3[Cantidad Beca Comunidad 16-17])</f>
        <v>#N/A</v>
      </c>
      <c r="X149" s="328" t="e">
        <f>SUBTOTAL(109,Tabla3[25% Beca Comunidad 16-18])</f>
        <v>#N/A</v>
      </c>
      <c r="Y149" s="329">
        <f>SUBTOTAL(103,Tabla3[% Beca UNAM 16-17])</f>
        <v>2</v>
      </c>
      <c r="Z149" s="328" t="e">
        <f>SUBTOTAL(109,Tabla3[Cantidad Beca UNAM 16-18])</f>
        <v>#N/A</v>
      </c>
      <c r="AA149" s="329">
        <f>SUBTOTAL(103,Tabla3[% Beca Reinscripción 16-17])</f>
        <v>27</v>
      </c>
      <c r="AB149" s="328" t="e">
        <f>SUBTOTAL(109,Tabla3[Cantidad Reinscripción 16-17])</f>
        <v>#N/A</v>
      </c>
      <c r="AC149" s="329">
        <f>SUBTOTAL(103,Tabla3[% Beca Canasta 16-17])</f>
        <v>20</v>
      </c>
      <c r="AD149" s="328" t="e">
        <f>SUBTOTAL(109,Tabla3[Cantidad Beca Canasta 16-17])</f>
        <v>#N/A</v>
      </c>
      <c r="AE149" s="328" t="e">
        <f>SUBTOTAL(109,Tabla3[Monto Becado 16-17])</f>
        <v>#N/A</v>
      </c>
      <c r="AF149" s="328" t="e">
        <f>SUBTOTAL(109,Tabla3[Monto Pagado X Alumno 16-17])</f>
        <v>#N/A</v>
      </c>
      <c r="AG149" s="330"/>
      <c r="AH149" s="329">
        <f>SUBTOTAL(103,Tabla3[Matriz 2017-2018])</f>
        <v>110</v>
      </c>
      <c r="AI149" s="331"/>
      <c r="AJ149" s="332" t="e">
        <f>SUBTOTAL(109,Tabla3[[Monto Colegiatura ]])</f>
        <v>#N/A</v>
      </c>
      <c r="AK149" s="332" t="e">
        <f>SUBTOTAL(109,Tabla3[Reinscripción])</f>
        <v>#N/A</v>
      </c>
      <c r="AL149" s="332" t="e">
        <f>SUBTOTAL(109,Tabla3[Canasta])</f>
        <v>#N/A</v>
      </c>
      <c r="AM149" s="333">
        <f>SUBTOTAL(103,Tabla3[% Solicitado Beca Colegio])</f>
        <v>67</v>
      </c>
      <c r="AN149" s="334">
        <f>SUBTOTAL(103,Tabla3[% AutorizadoBeca Colegiatura 17-18])</f>
        <v>65</v>
      </c>
      <c r="AO149" s="335" t="e">
        <f>SUBTOTAL(109,Tabla3[Cantidad Beca Colegiatura 17-18])</f>
        <v>#N/A</v>
      </c>
      <c r="AP149" s="336">
        <f>SUBTOTAL(103,Tabla3[% Beca Prestacion 17-18])</f>
        <v>14</v>
      </c>
      <c r="AQ149" s="335" t="e">
        <f>SUBTOTAL(109,Tabla3[Cantidad Beca Prestacion 17-18])</f>
        <v>#N/A</v>
      </c>
      <c r="AR149" s="336">
        <f>SUBTOTAL(103,Tabla3[% Beca Canasta 17-18])</f>
        <v>4</v>
      </c>
      <c r="AS149" s="335" t="e">
        <f>SUBTOTAL(109,Tabla3[Cantidad Beca Canasta 17-18])</f>
        <v>#N/A</v>
      </c>
      <c r="AT149" s="336">
        <f>SUBTOTAL(103,Tabla3[% Beca Reinscripciones 18-19])</f>
        <v>11</v>
      </c>
      <c r="AU149" s="337" t="e">
        <f>SUBTOTAL(109,Tabla3[Cantidad Beca Reinscripciones 18-19])</f>
        <v>#N/A</v>
      </c>
      <c r="AV149" s="337" t="e">
        <f>SUBTOTAL(109,Tabla3[25 % Cantidad Beca Comunidad Colegiatura 17-18])</f>
        <v>#N/A</v>
      </c>
      <c r="AW149" s="337" t="e">
        <f>SUBTOTAL(109,Tabla3[30% Cantidad Beca Reinscripciones Comunidad 18-19])</f>
        <v>#N/A</v>
      </c>
      <c r="AX149" s="334">
        <f>SUBTOTAL(103,Tabla3[% Beca UNAM 17-18])</f>
        <v>8</v>
      </c>
      <c r="AY149" s="335" t="e">
        <f>SUBTOTAL(109,Tabla3[Cantidad Beca UNAM Colegiatura17-18])</f>
        <v>#N/A</v>
      </c>
      <c r="AZ149" s="336">
        <f>SUBTOTAL(103,Tabla3[% Beca Reinscripciones UNAM 17-18])</f>
        <v>8</v>
      </c>
      <c r="BA149" s="338">
        <f>SUBTOTAL(109,Tabla3[Cantidad Beca Reinscripciones UNAM 17-18])</f>
        <v>20480</v>
      </c>
      <c r="BB149" s="335" t="e">
        <f>SUBTOTAL(109,Tabla3[Cantidad Becada por el Colegio])</f>
        <v>#N/A</v>
      </c>
      <c r="BC149" s="339">
        <f>SUBTOTAL(103,Tabla3[% Beca Comunidad 17-18])</f>
        <v>56</v>
      </c>
      <c r="BD149" s="340" t="e">
        <f>SUBTOTAL(109,Tabla3[Cantidad Beca Comunidad Colegiatura 17-18])</f>
        <v>#N/A</v>
      </c>
      <c r="BE149" s="340" t="e">
        <f>SUBTOTAL(109,Tabla3[75% Cantidad Beca Comunidad Colegiatura 17-18])</f>
        <v>#N/A</v>
      </c>
      <c r="BF149" s="341">
        <f>SUBTOTAL(103,Tabla3[% Beca Reinscripciones Comunidad 18-19])</f>
        <v>11</v>
      </c>
      <c r="BG149" s="340" t="e">
        <f>SUBTOTAL(109,Tabla3[Cantidad Beca Reinscripciones Comunidad 18-19])</f>
        <v>#N/A</v>
      </c>
      <c r="BH149" s="340" t="e">
        <f>SUBTOTAL(109,Tabla3[70% Cantidad Beca Reinscripciones 18-19])</f>
        <v>#N/A</v>
      </c>
      <c r="BI149" s="338" t="e">
        <f>SUBTOTAL(109,Tabla3[Cantidad  a recibir de la Comunidad])</f>
        <v>#N/A</v>
      </c>
      <c r="BJ149" s="332" t="e">
        <f>SUBTOTAL(109,Tabla3[Monto Becado 17-18 (no percibe el Colegio)])</f>
        <v>#N/A</v>
      </c>
      <c r="BK149" s="332" t="e">
        <f>SUBTOTAL(109,Tabla3[Monto Pagado X Alumno 17-18])</f>
        <v>#N/A</v>
      </c>
      <c r="BL149" s="326"/>
      <c r="BM149" s="326"/>
      <c r="BN149" s="342"/>
      <c r="BO149" s="322"/>
      <c r="BP149" s="322"/>
      <c r="BQ149" s="343">
        <f>SUM(BQ10:BQ148)</f>
        <v>54195.75</v>
      </c>
      <c r="BR149" s="343"/>
      <c r="BS149" s="343">
        <f>SUM(BS10:BS148)</f>
        <v>37678.94999999999</v>
      </c>
      <c r="BT149" s="343">
        <f t="shared" si="8"/>
        <v>9419.7374999999975</v>
      </c>
      <c r="BU149" s="343"/>
      <c r="BV149" s="322" t="e">
        <f>SUBTOTAL(109,Tabla3[especial])</f>
        <v>#N/A</v>
      </c>
      <c r="BW149" s="322"/>
      <c r="BX149" s="322"/>
      <c r="BY149" s="322"/>
      <c r="BZ149" s="343"/>
      <c r="CA149" s="343"/>
      <c r="CB149" s="343"/>
      <c r="CC149" s="322"/>
      <c r="CD149" s="344"/>
      <c r="CE149" s="340" t="e">
        <f>SUBTOTAL(109,Tabla3[Cantidad Beca Colegiatura 18-19])</f>
        <v>#N/A</v>
      </c>
      <c r="CF149" s="345"/>
      <c r="CG149" s="340" t="e">
        <f>SUBTOTAL(109,Tabla3[Cantidad Beca Prestacion 18-19])</f>
        <v>#N/A</v>
      </c>
      <c r="CH149" s="346"/>
      <c r="CI149" s="340" t="e">
        <f>SUBTOTAL(109,Tabla3[Cantidad Beca Canasta 18-19])</f>
        <v>#N/A</v>
      </c>
      <c r="CJ149" s="345"/>
      <c r="CK149" s="340" t="e">
        <f>SUBTOTAL(109,Tabla3[Cantidad Beca Reinscripciones 19-20])</f>
        <v>#N/A</v>
      </c>
      <c r="CL149" s="340" t="e">
        <f>SUBTOTAL(109,Tabla3[25 % Cantidad Beca Comunidad Colegiatura 19-20])</f>
        <v>#N/A</v>
      </c>
      <c r="CM149" s="340" t="e">
        <f>SUBTOTAL(109,Tabla3[25% Cantidad Beca Reinscripciones Comunidad 19-20])</f>
        <v>#N/A</v>
      </c>
      <c r="CN149" s="347"/>
      <c r="CO149" s="340" t="e">
        <f>SUBTOTAL(109,Tabla3[Cantidad Beca UNAM Colegiatura 18-19])</f>
        <v>#N/A</v>
      </c>
      <c r="CP149" s="345"/>
      <c r="CQ149" s="348">
        <f>SUBTOTAL(109,Tabla3[Cantidad Beca Reinscripciones UNAM 18-19])</f>
        <v>26624.000000000004</v>
      </c>
      <c r="CR149" s="349" t="e">
        <f>SUBTOTAL(109,Tabla3[Cantidad Becada por el Colegio sin Prestaciones])</f>
        <v>#N/A</v>
      </c>
      <c r="CS149" s="347"/>
      <c r="CT149" s="340" t="e">
        <f>SUBTOTAL(109,Tabla3[Cantidad Beca Comunidad Colegiatura 18-19])</f>
        <v>#N/A</v>
      </c>
      <c r="CU149" s="340" t="e">
        <f>SUBTOTAL(109,Tabla3[75% Cantidad Beca Comunidad Colegiatura 18-19])</f>
        <v>#N/A</v>
      </c>
      <c r="CV149" s="346"/>
      <c r="CW149" s="340" t="e">
        <f>SUBTOTAL(109,Tabla3[Cantidad Beca Reinscripciones Comunidad 19-20])</f>
        <v>#N/A</v>
      </c>
      <c r="CX149" s="340" t="e">
        <f>SUBTOTAL(109,Tabla3[75% Cantidad Beca Reinscripciones 19-20])</f>
        <v>#N/A</v>
      </c>
      <c r="CY149" s="350" t="e">
        <f>SUBTOTAL(109,Tabla3[[Cantidad  a recibir de la Comunidad ]])</f>
        <v>#N/A</v>
      </c>
      <c r="CZ149" s="343" t="e">
        <f>SUBTOTAL(109,Tabla3[Monto Becado 18-19 (no percibe el Colegio)])</f>
        <v>#N/A</v>
      </c>
      <c r="DA149" s="343" t="e">
        <f>SUBTOTAL(109,Tabla3[Monto Becado X Alumno 18-19])</f>
        <v>#N/A</v>
      </c>
      <c r="DB149" s="343">
        <f>SUBTOTAL(109,Tabla3[Trasporte])</f>
        <v>108832.75199999999</v>
      </c>
    </row>
    <row r="150" spans="2:106" ht="21.75" customHeight="1" x14ac:dyDescent="0.2">
      <c r="AK150" s="225"/>
      <c r="AL150" s="225"/>
      <c r="AM150" s="218"/>
      <c r="AN150" s="218"/>
      <c r="AO150" s="218"/>
      <c r="AP150" s="225"/>
      <c r="AQ150" s="219"/>
      <c r="AR150" s="218"/>
      <c r="AS150" s="218"/>
      <c r="AT150" s="218"/>
      <c r="AU150" s="219"/>
      <c r="AV150" s="218"/>
      <c r="AW150" s="219"/>
      <c r="AX150" s="253"/>
      <c r="AY150" s="219"/>
      <c r="AZ150" s="219"/>
      <c r="BA150" s="218"/>
      <c r="BB150" s="218"/>
      <c r="BC150" s="219"/>
      <c r="BD150" s="218"/>
      <c r="BE150" s="218"/>
      <c r="BF150" s="225"/>
      <c r="BG150" s="218"/>
      <c r="BH150" s="218"/>
      <c r="BI150" s="219"/>
      <c r="BJ150" s="218"/>
      <c r="BK150" s="218">
        <v>775985.45137499925</v>
      </c>
      <c r="BL150" s="218"/>
      <c r="BM150" s="218"/>
      <c r="BN150" s="218"/>
      <c r="BO150" s="352"/>
      <c r="BW150" s="104">
        <v>1064256.7494999992</v>
      </c>
      <c r="CQ150" s="353"/>
    </row>
    <row r="151" spans="2:106" ht="15.75" customHeight="1" thickBot="1" x14ac:dyDescent="0.25">
      <c r="I151" s="225"/>
      <c r="J151" s="469"/>
      <c r="K151" s="469"/>
      <c r="L151" s="469"/>
      <c r="M151" s="225"/>
      <c r="N151" s="225"/>
      <c r="O151" s="225"/>
      <c r="P151" s="218"/>
      <c r="Q151" s="218"/>
      <c r="R151" s="218"/>
      <c r="S151" s="247"/>
      <c r="T151" s="218"/>
      <c r="U151" s="218"/>
      <c r="V151" s="218"/>
      <c r="W151" s="219"/>
      <c r="X151" s="218"/>
      <c r="Y151" s="218"/>
      <c r="Z151" s="218"/>
      <c r="AA151" s="218"/>
      <c r="AB151" s="219"/>
      <c r="AC151" s="218"/>
      <c r="AD151" s="218"/>
      <c r="AE151" s="218"/>
      <c r="AF151" s="218"/>
      <c r="AG151" s="218"/>
      <c r="AH151" s="354"/>
      <c r="BK151" s="138"/>
      <c r="BL151" s="355" t="s">
        <v>919</v>
      </c>
      <c r="BM151" s="144">
        <f>6765008.925/10</f>
        <v>676500.89249999996</v>
      </c>
      <c r="BW151" s="104" t="e">
        <f>Tabla3[[#Totals],[especial]]-BW150</f>
        <v>#N/A</v>
      </c>
      <c r="CE151" s="356"/>
      <c r="CL151" s="105" t="s">
        <v>920</v>
      </c>
      <c r="CM151" s="115" t="e">
        <f>Tabla3[[#Totals],[Cantidad Beca Colegiatura 18-19]]+Tabla3[[#Totals],[Cantidad Beca Canasta 18-19]]+Tabla3[[#Totals],[Cantidad Beca Reinscripciones 19-20]]</f>
        <v>#N/A</v>
      </c>
      <c r="CQ151" s="353" t="s">
        <v>921</v>
      </c>
      <c r="CR151" s="115" t="e">
        <f>Tabla3[[#Totals],[Cantidad Becada por el Colegio sin Prestaciones]]+Tabla3[[#Totals],[Cantidad Beca Prestacion 18-19]]</f>
        <v>#N/A</v>
      </c>
      <c r="CV151" s="353" t="s">
        <v>922</v>
      </c>
      <c r="CW151" s="357" t="e">
        <f>Tabla3[[#Totals],[Cantidad Beca Comunidad Colegiatura 18-19]]+Tabla3[[#Totals],[Cantidad Beca Reinscripciones Comunidad 19-20]]</f>
        <v>#N/A</v>
      </c>
      <c r="CZ151" s="358" t="s">
        <v>923</v>
      </c>
      <c r="DA151" s="115" t="e">
        <f>Tabla3[[#Totals],[Monto Becado X Alumno 18-19]]-Tabla3[[#Totals],[Cantidad Beca Reinscripciones Comunidad 19-20]]-Tabla3[[#Totals],[Cantidad Beca Canasta 18-19]]-Tabla3[[#Totals],[Cantidad Beca Reinscripciones 19-20]]</f>
        <v>#N/A</v>
      </c>
      <c r="DB151" s="115"/>
    </row>
    <row r="152" spans="2:106" ht="15.75" thickBot="1" x14ac:dyDescent="0.25">
      <c r="I152" s="225"/>
      <c r="J152" s="470"/>
      <c r="K152" s="470"/>
      <c r="L152" s="470"/>
      <c r="M152" s="359"/>
      <c r="N152" s="225"/>
      <c r="O152" s="225"/>
      <c r="P152" s="218"/>
      <c r="Q152" s="218"/>
      <c r="R152" s="218"/>
      <c r="S152" s="247"/>
      <c r="T152" s="218"/>
      <c r="U152" s="218"/>
      <c r="V152" s="218"/>
      <c r="W152" s="219"/>
      <c r="X152" s="218"/>
      <c r="Y152" s="218"/>
      <c r="Z152" s="218"/>
      <c r="AA152" s="218"/>
      <c r="AB152" s="219"/>
      <c r="AC152" s="218"/>
      <c r="AD152" s="218"/>
      <c r="AE152" s="218"/>
      <c r="AF152" s="218"/>
      <c r="AG152" s="218"/>
      <c r="AH152" s="354"/>
      <c r="BL152" s="355" t="s">
        <v>924</v>
      </c>
      <c r="BM152" s="360" t="e">
        <f>BM151-Tabla3[[#Totals],[Monto Becado 17-18 (no percibe el Colegio)]]</f>
        <v>#N/A</v>
      </c>
      <c r="CE152" s="361"/>
      <c r="CL152" s="353" t="s">
        <v>925</v>
      </c>
      <c r="CM152" s="115" t="e">
        <f>Tabla3[[#Totals],[Cantidad Beca Prestacion 18-19]]</f>
        <v>#N/A</v>
      </c>
      <c r="CW152" s="357" t="e">
        <f>CW151*75%</f>
        <v>#N/A</v>
      </c>
      <c r="CZ152" s="358" t="s">
        <v>926</v>
      </c>
      <c r="DA152" s="115" t="e">
        <f>Tabla3[[#Totals],[Cantidad Beca Canasta 18-19]]</f>
        <v>#N/A</v>
      </c>
      <c r="DB152" s="115"/>
    </row>
    <row r="153" spans="2:106" ht="15.75" x14ac:dyDescent="0.25">
      <c r="AI153" s="362"/>
      <c r="AJ153" s="362"/>
      <c r="AK153" s="289"/>
      <c r="AL153" s="289"/>
      <c r="AM153" s="313"/>
      <c r="AN153" s="313"/>
      <c r="AO153" s="313"/>
      <c r="AP153" s="289"/>
      <c r="AQ153" s="363"/>
      <c r="AR153" s="313"/>
      <c r="AS153" s="313"/>
      <c r="AT153" s="313"/>
      <c r="AU153" s="363"/>
      <c r="AV153" s="313"/>
      <c r="AW153" s="363"/>
      <c r="AX153" s="364"/>
      <c r="AY153" s="363"/>
      <c r="AZ153" s="363"/>
      <c r="BA153" s="313"/>
      <c r="BB153" s="313"/>
      <c r="BC153" s="363"/>
      <c r="BD153" s="313"/>
      <c r="BE153" s="313"/>
      <c r="BF153" s="289"/>
      <c r="BG153" s="313"/>
      <c r="BH153" s="313"/>
      <c r="BI153" s="363"/>
      <c r="BJ153" s="313"/>
      <c r="BK153" s="313"/>
      <c r="BL153" s="313"/>
      <c r="BM153" s="365"/>
      <c r="BN153" s="313"/>
      <c r="BP153" s="289"/>
      <c r="BQ153" s="289"/>
      <c r="BR153" s="366"/>
      <c r="BS153" s="314"/>
      <c r="BT153" s="366"/>
      <c r="BU153" s="366"/>
      <c r="BV153" s="366"/>
      <c r="BW153" s="314"/>
      <c r="BX153" s="367" t="s">
        <v>927</v>
      </c>
      <c r="BY153" s="368"/>
      <c r="BZ153" s="369" t="s">
        <v>928</v>
      </c>
      <c r="CA153" s="370" t="s">
        <v>929</v>
      </c>
      <c r="CB153"/>
      <c r="CC153"/>
      <c r="CD153"/>
      <c r="CE153"/>
      <c r="CF153"/>
      <c r="CG153"/>
      <c r="CH153"/>
      <c r="CI153"/>
      <c r="CJ153"/>
      <c r="CK153"/>
      <c r="CL153"/>
      <c r="CM153" s="371" t="e">
        <f>SUM(CM151:CM152)</f>
        <v>#N/A</v>
      </c>
      <c r="CN153"/>
      <c r="CO153"/>
      <c r="CP153"/>
      <c r="CQ153"/>
      <c r="CR153"/>
      <c r="CS153"/>
      <c r="CT153"/>
      <c r="CZ153" s="358" t="s">
        <v>930</v>
      </c>
      <c r="DA153" s="115" t="e">
        <f>Tabla3[[#Totals],[Cantidad Beca Reinscripciones Comunidad 19-20]]+Tabla3[[#Totals],[Cantidad Beca Reinscripciones 19-20]]</f>
        <v>#N/A</v>
      </c>
    </row>
    <row r="154" spans="2:106" ht="15" customHeight="1" x14ac:dyDescent="0.25">
      <c r="AI154" s="362"/>
      <c r="AJ154" s="362"/>
      <c r="AK154" s="289"/>
      <c r="AL154" s="289"/>
      <c r="AM154" s="313"/>
      <c r="AN154" s="313"/>
      <c r="AO154" s="313"/>
      <c r="AP154" s="289"/>
      <c r="AQ154" s="363"/>
      <c r="AR154" s="313"/>
      <c r="AS154" s="313"/>
      <c r="AT154" s="313"/>
      <c r="AU154" s="363"/>
      <c r="AV154" s="313"/>
      <c r="AW154" s="363"/>
      <c r="AX154" s="364"/>
      <c r="AY154" s="363"/>
      <c r="AZ154" s="363"/>
      <c r="BA154" s="313"/>
      <c r="BB154" s="313"/>
      <c r="BC154" s="363"/>
      <c r="BD154" s="313"/>
      <c r="BE154" s="313"/>
      <c r="BF154" s="289"/>
      <c r="BG154" s="313"/>
      <c r="BH154" s="313"/>
      <c r="BI154" s="363"/>
      <c r="BJ154" s="313"/>
      <c r="BK154" s="313"/>
      <c r="BL154" s="313"/>
      <c r="BM154" s="365"/>
      <c r="BN154" s="313"/>
      <c r="BP154" s="289"/>
      <c r="BQ154" s="289"/>
      <c r="BR154" s="366"/>
      <c r="BS154" s="314"/>
      <c r="BT154" s="366"/>
      <c r="BU154" s="366"/>
      <c r="BV154" s="366"/>
      <c r="BW154" s="314"/>
      <c r="BX154" s="372" t="s">
        <v>931</v>
      </c>
      <c r="BY154" s="373"/>
      <c r="BZ154" s="374">
        <v>8500</v>
      </c>
      <c r="CA154" s="375" t="s">
        <v>932</v>
      </c>
      <c r="CB154"/>
      <c r="CC154"/>
      <c r="CD154"/>
      <c r="CE154"/>
      <c r="CF154"/>
      <c r="CG154"/>
      <c r="CH154"/>
      <c r="CI154"/>
      <c r="CJ154"/>
      <c r="CK154"/>
      <c r="CL154"/>
      <c r="CM154" s="371"/>
      <c r="CN154"/>
      <c r="CO154"/>
      <c r="CP154"/>
      <c r="CQ154"/>
      <c r="CR154"/>
      <c r="CS154"/>
      <c r="CT154"/>
      <c r="DA154" s="115" t="e">
        <f>SUM(DA151:DA153)</f>
        <v>#N/A</v>
      </c>
    </row>
    <row r="155" spans="2:106" s="314" customFormat="1" ht="15.75" x14ac:dyDescent="0.25">
      <c r="H155" s="105"/>
      <c r="I155" s="289"/>
      <c r="AI155" s="362"/>
      <c r="AJ155" s="362"/>
      <c r="AK155" s="289"/>
      <c r="AL155" s="289"/>
      <c r="AM155" s="313"/>
      <c r="AN155" s="313"/>
      <c r="AO155" s="313"/>
      <c r="AP155" s="289"/>
      <c r="AQ155" s="363"/>
      <c r="AR155" s="313"/>
      <c r="AS155" s="313"/>
      <c r="AT155" s="313"/>
      <c r="AU155" s="363"/>
      <c r="AV155" s="313"/>
      <c r="AW155" s="363"/>
      <c r="AX155" s="364"/>
      <c r="AY155" s="363"/>
      <c r="AZ155" s="363"/>
      <c r="BA155" s="313"/>
      <c r="BB155" s="313"/>
      <c r="BC155" s="363"/>
      <c r="BD155" s="313"/>
      <c r="BE155" s="313"/>
      <c r="BF155" s="289"/>
      <c r="BG155" s="313"/>
      <c r="BH155" s="313"/>
      <c r="BI155" s="363"/>
      <c r="BJ155" s="313"/>
      <c r="BK155" s="313"/>
      <c r="BL155" s="313"/>
      <c r="BM155" s="365"/>
      <c r="BN155" s="313"/>
      <c r="BO155" s="114"/>
      <c r="BP155" s="289"/>
      <c r="BQ155" s="289"/>
      <c r="BR155" s="366"/>
      <c r="BT155" s="366"/>
      <c r="BU155" s="366"/>
      <c r="BV155" s="366"/>
      <c r="BX155" s="376" t="s">
        <v>933</v>
      </c>
      <c r="BY155" s="377"/>
      <c r="BZ155" s="374">
        <v>12723</v>
      </c>
      <c r="CA155" s="378" t="s">
        <v>934</v>
      </c>
      <c r="CB155"/>
      <c r="CC155"/>
      <c r="CD155"/>
      <c r="CE155"/>
      <c r="CF155"/>
      <c r="CG155"/>
      <c r="CH155"/>
      <c r="CI155"/>
      <c r="CJ155"/>
      <c r="CK155"/>
      <c r="CL155"/>
      <c r="CM155" s="371"/>
      <c r="CN155"/>
      <c r="CO155"/>
      <c r="CP155"/>
      <c r="CQ155"/>
      <c r="CR155"/>
      <c r="CS155"/>
      <c r="CT155"/>
      <c r="CU155" s="366"/>
      <c r="CV155" s="366"/>
      <c r="CW155" s="379"/>
      <c r="CX155" s="366"/>
      <c r="CY155" s="366"/>
      <c r="CZ155" s="366"/>
      <c r="DA155" s="366" t="e">
        <f>DA154-CW151</f>
        <v>#N/A</v>
      </c>
    </row>
    <row r="156" spans="2:106" ht="15" customHeight="1" x14ac:dyDescent="0.25">
      <c r="AI156" s="362"/>
      <c r="AJ156" s="362"/>
      <c r="AK156" s="289"/>
      <c r="AL156" s="289"/>
      <c r="AM156" s="313"/>
      <c r="AN156" s="313"/>
      <c r="AO156" s="313"/>
      <c r="AP156" s="289"/>
      <c r="AQ156" s="363"/>
      <c r="AR156" s="313"/>
      <c r="AS156" s="313"/>
      <c r="AT156" s="313"/>
      <c r="AU156" s="363"/>
      <c r="AV156" s="313"/>
      <c r="AW156" s="363"/>
      <c r="AX156" s="364"/>
      <c r="AY156" s="363"/>
      <c r="AZ156" s="363"/>
      <c r="BA156" s="313"/>
      <c r="BB156" s="313"/>
      <c r="BC156" s="363"/>
      <c r="BD156" s="313"/>
      <c r="BE156" s="313"/>
      <c r="BF156" s="289"/>
      <c r="BG156" s="313"/>
      <c r="BH156" s="313"/>
      <c r="BI156" s="363"/>
      <c r="BJ156" s="313"/>
      <c r="BK156" s="313"/>
      <c r="BL156" s="313"/>
      <c r="BM156" s="365"/>
      <c r="BN156" s="313"/>
      <c r="BP156" s="289"/>
      <c r="BQ156" s="289"/>
      <c r="BR156" s="366"/>
      <c r="BS156" s="314"/>
      <c r="BT156" s="366"/>
      <c r="BU156" s="366"/>
      <c r="BV156" s="366"/>
      <c r="BW156" s="314"/>
      <c r="BX156" s="372" t="s">
        <v>935</v>
      </c>
      <c r="BY156" s="373"/>
      <c r="BZ156" s="374">
        <f>6000</f>
        <v>6000</v>
      </c>
      <c r="CA156" s="375" t="s">
        <v>936</v>
      </c>
      <c r="CB156"/>
      <c r="CC156"/>
      <c r="CD156"/>
      <c r="CE156"/>
      <c r="CF156"/>
      <c r="CG156"/>
      <c r="CH156"/>
      <c r="CI156"/>
      <c r="CJ156"/>
      <c r="CK156"/>
      <c r="CL156"/>
      <c r="CM156" s="371"/>
      <c r="CN156"/>
      <c r="CO156"/>
      <c r="CP156"/>
      <c r="CQ156"/>
      <c r="CR156"/>
      <c r="CS156"/>
      <c r="CT156"/>
    </row>
    <row r="157" spans="2:106" ht="15" customHeight="1" x14ac:dyDescent="0.25">
      <c r="AI157" s="362"/>
      <c r="AJ157" s="362"/>
      <c r="AK157" s="289"/>
      <c r="AL157" s="289"/>
      <c r="AM157" s="313"/>
      <c r="AN157" s="313"/>
      <c r="AO157" s="313"/>
      <c r="AP157" s="289"/>
      <c r="AQ157" s="363"/>
      <c r="AR157" s="313"/>
      <c r="AS157" s="313"/>
      <c r="AT157" s="313"/>
      <c r="AU157" s="363"/>
      <c r="AV157" s="313"/>
      <c r="AW157" s="363"/>
      <c r="AX157" s="364"/>
      <c r="AY157" s="363"/>
      <c r="AZ157" s="363"/>
      <c r="BA157" s="313"/>
      <c r="BB157" s="313"/>
      <c r="BC157" s="363"/>
      <c r="BD157" s="313"/>
      <c r="BE157" s="313"/>
      <c r="BF157" s="289"/>
      <c r="BG157" s="313"/>
      <c r="BH157" s="313"/>
      <c r="BI157" s="363"/>
      <c r="BJ157" s="313"/>
      <c r="BK157" s="313"/>
      <c r="BL157" s="313"/>
      <c r="BM157" s="365"/>
      <c r="BN157" s="313"/>
      <c r="BP157" s="289"/>
      <c r="BQ157" s="289"/>
      <c r="BR157" s="366"/>
      <c r="BS157" s="314"/>
      <c r="BT157" s="366"/>
      <c r="BU157" s="366"/>
      <c r="BV157" s="366"/>
      <c r="BW157" s="314"/>
      <c r="BX157" s="372"/>
      <c r="BY157" s="373"/>
      <c r="BZ157" s="374"/>
      <c r="CA157" s="375"/>
      <c r="CB157"/>
      <c r="CC157"/>
      <c r="CD157"/>
      <c r="CE157"/>
      <c r="CF157"/>
      <c r="CG157"/>
      <c r="CH157"/>
      <c r="CI157"/>
      <c r="CJ157"/>
      <c r="CK157"/>
      <c r="CL157"/>
      <c r="CM157" s="371"/>
      <c r="CN157"/>
      <c r="CO157"/>
      <c r="CP157"/>
      <c r="CQ157"/>
      <c r="CR157"/>
      <c r="CS157"/>
      <c r="CT157"/>
    </row>
    <row r="158" spans="2:106" ht="15" customHeight="1" x14ac:dyDescent="0.25">
      <c r="AI158" s="362"/>
      <c r="AJ158" s="362"/>
      <c r="AK158" s="289"/>
      <c r="AL158" s="289"/>
      <c r="AM158" s="313"/>
      <c r="AN158" s="313"/>
      <c r="AO158" s="313"/>
      <c r="AP158" s="289"/>
      <c r="AQ158" s="363"/>
      <c r="AR158" s="313"/>
      <c r="AS158" s="313"/>
      <c r="AT158" s="313"/>
      <c r="AU158" s="363"/>
      <c r="AV158" s="313"/>
      <c r="AW158" s="363"/>
      <c r="AX158" s="364"/>
      <c r="AY158" s="363"/>
      <c r="AZ158" s="363"/>
      <c r="BA158" s="313"/>
      <c r="BB158" s="313"/>
      <c r="BC158" s="363"/>
      <c r="BD158" s="313"/>
      <c r="BE158" s="313"/>
      <c r="BF158" s="289"/>
      <c r="BG158" s="313"/>
      <c r="BH158" s="313"/>
      <c r="BI158" s="363"/>
      <c r="BJ158" s="313"/>
      <c r="BK158" s="313"/>
      <c r="BL158" s="313"/>
      <c r="BM158" s="365"/>
      <c r="BN158" s="313"/>
      <c r="BP158" s="289"/>
      <c r="BQ158" s="289"/>
      <c r="BR158" s="366"/>
      <c r="BS158" s="314"/>
      <c r="BT158" s="366"/>
      <c r="BU158" s="366"/>
      <c r="BV158" s="366"/>
      <c r="BW158" s="314"/>
      <c r="BX158" s="372"/>
      <c r="BY158" s="373"/>
      <c r="BZ158" s="374"/>
      <c r="CA158" s="375"/>
      <c r="CB158"/>
      <c r="CC158"/>
      <c r="CD158"/>
      <c r="CE158"/>
      <c r="CF158"/>
      <c r="CG158"/>
      <c r="CH158"/>
      <c r="CI158"/>
      <c r="CJ158"/>
      <c r="CK158"/>
      <c r="CL158"/>
      <c r="CM158" s="371"/>
      <c r="CN158"/>
      <c r="CO158"/>
      <c r="CP158"/>
      <c r="CQ158"/>
      <c r="CR158"/>
      <c r="CS158"/>
      <c r="CT158"/>
    </row>
    <row r="159" spans="2:106" ht="15" customHeight="1" x14ac:dyDescent="0.25">
      <c r="AI159" s="362"/>
      <c r="AJ159" s="362"/>
      <c r="AK159" s="289"/>
      <c r="AL159" s="289"/>
      <c r="AM159" s="313"/>
      <c r="AN159" s="313"/>
      <c r="AO159" s="313"/>
      <c r="AP159" s="289"/>
      <c r="AQ159" s="363"/>
      <c r="AR159" s="313"/>
      <c r="AS159" s="313"/>
      <c r="AT159" s="313"/>
      <c r="AU159" s="363"/>
      <c r="AV159" s="313"/>
      <c r="AW159" s="363"/>
      <c r="AX159" s="364"/>
      <c r="AY159" s="363"/>
      <c r="AZ159" s="363"/>
      <c r="BA159" s="313"/>
      <c r="BB159" s="313"/>
      <c r="BC159" s="363"/>
      <c r="BD159" s="313"/>
      <c r="BE159" s="313"/>
      <c r="BF159" s="289"/>
      <c r="BG159" s="313"/>
      <c r="BH159" s="313"/>
      <c r="BI159" s="363"/>
      <c r="BJ159" s="313"/>
      <c r="BK159" s="313"/>
      <c r="BL159" s="313"/>
      <c r="BM159" s="365"/>
      <c r="BN159" s="313"/>
      <c r="BP159" s="289"/>
      <c r="BQ159" s="289"/>
      <c r="BR159" s="366"/>
      <c r="BS159" s="314"/>
      <c r="BT159" s="366"/>
      <c r="BU159" s="366"/>
      <c r="BV159" s="366"/>
      <c r="BW159" s="314"/>
      <c r="BX159" s="380" t="s">
        <v>937</v>
      </c>
      <c r="BY159" s="381"/>
      <c r="BZ159" s="382">
        <f>SUM(BZ154:BZ158)</f>
        <v>27223</v>
      </c>
      <c r="CA159" s="383"/>
      <c r="CB159"/>
      <c r="CC159"/>
      <c r="CD159"/>
      <c r="CE159"/>
      <c r="CF159"/>
      <c r="CG159"/>
      <c r="CH159"/>
      <c r="CI159"/>
      <c r="CJ159"/>
      <c r="CK159"/>
      <c r="CL159"/>
      <c r="CM159" s="371"/>
      <c r="CN159"/>
      <c r="CO159"/>
      <c r="CP159"/>
      <c r="CQ159"/>
      <c r="CR159"/>
      <c r="CS159"/>
      <c r="CT159"/>
    </row>
    <row r="160" spans="2:106" ht="15" customHeight="1" x14ac:dyDescent="0.2">
      <c r="AI160" s="362"/>
      <c r="AJ160" s="362"/>
      <c r="AK160" s="289"/>
      <c r="AL160" s="289"/>
      <c r="AM160" s="313"/>
      <c r="AN160" s="313"/>
      <c r="AO160" s="313"/>
      <c r="AP160" s="289"/>
      <c r="AQ160" s="363"/>
      <c r="AR160" s="313"/>
      <c r="AS160" s="313"/>
      <c r="AT160" s="313"/>
      <c r="AU160" s="363"/>
      <c r="AV160" s="313"/>
      <c r="AW160" s="363"/>
      <c r="AX160" s="364"/>
      <c r="AY160" s="363"/>
      <c r="AZ160" s="363"/>
      <c r="BA160" s="313"/>
      <c r="BB160" s="313"/>
      <c r="BC160" s="363"/>
      <c r="BD160" s="313"/>
      <c r="BE160" s="313"/>
      <c r="BF160" s="289"/>
      <c r="BG160" s="313"/>
      <c r="BH160" s="313"/>
      <c r="BI160" s="363"/>
      <c r="BJ160" s="313"/>
      <c r="BK160" s="313"/>
      <c r="BL160" s="313"/>
      <c r="BM160" s="365"/>
      <c r="BN160" s="313"/>
      <c r="BP160" s="289"/>
      <c r="BQ160" s="289"/>
      <c r="BR160" s="366"/>
      <c r="BS160" s="314"/>
      <c r="BT160" s="366"/>
      <c r="BU160" s="366"/>
      <c r="BV160" s="366"/>
      <c r="BW160" s="314"/>
      <c r="BX160" s="289"/>
      <c r="BY160" s="289"/>
      <c r="BZ160" s="289"/>
      <c r="CA160" s="111"/>
      <c r="CB160" s="289"/>
      <c r="CC160" s="313"/>
      <c r="CD160" s="313"/>
      <c r="CE160" s="313"/>
      <c r="CF160" s="384"/>
      <c r="CG160" s="313"/>
      <c r="CH160" s="313"/>
      <c r="CI160" s="313"/>
      <c r="CJ160" s="363"/>
      <c r="CK160" s="313"/>
      <c r="CL160" s="313"/>
      <c r="CM160" s="313"/>
      <c r="CN160" s="313"/>
      <c r="CO160" s="363"/>
      <c r="CP160" s="313"/>
      <c r="CQ160" s="313"/>
      <c r="CR160" s="313"/>
      <c r="CS160" s="313"/>
      <c r="CT160" s="313"/>
    </row>
    <row r="161" spans="10:98" ht="15" customHeight="1" x14ac:dyDescent="0.2">
      <c r="AI161" s="362"/>
      <c r="AJ161" s="362"/>
      <c r="AK161" s="289"/>
      <c r="AL161" s="289"/>
      <c r="AM161" s="313"/>
      <c r="AN161" s="313"/>
      <c r="AO161" s="313"/>
      <c r="AP161" s="289"/>
      <c r="AQ161" s="363"/>
      <c r="AR161" s="313"/>
      <c r="AS161" s="313"/>
      <c r="AT161" s="313"/>
      <c r="AU161" s="363"/>
      <c r="AV161" s="313"/>
      <c r="AW161" s="363"/>
      <c r="AX161" s="364"/>
      <c r="AY161" s="363"/>
      <c r="AZ161" s="363"/>
      <c r="BA161" s="313"/>
      <c r="BB161" s="313"/>
      <c r="BC161" s="363"/>
      <c r="BD161" s="313"/>
      <c r="BE161" s="313"/>
      <c r="BF161" s="289"/>
      <c r="BG161" s="313"/>
      <c r="BH161" s="313"/>
      <c r="BI161" s="363"/>
      <c r="BJ161" s="313"/>
      <c r="BK161" s="313"/>
      <c r="BL161" s="313"/>
      <c r="BM161" s="365"/>
      <c r="BN161" s="313"/>
      <c r="BP161" s="289"/>
      <c r="BQ161" s="289"/>
      <c r="BR161" s="366"/>
      <c r="BS161" s="314"/>
      <c r="BT161" s="366"/>
      <c r="BU161" s="366"/>
      <c r="BV161" s="366"/>
      <c r="BW161" s="314"/>
      <c r="BX161" s="289"/>
      <c r="BY161" s="289"/>
      <c r="BZ161" s="289"/>
      <c r="CA161" s="111"/>
      <c r="CB161" s="289"/>
      <c r="CC161" s="313"/>
      <c r="CD161" s="313"/>
      <c r="CE161" s="313"/>
      <c r="CF161" s="384"/>
      <c r="CG161" s="313"/>
      <c r="CH161" s="313"/>
      <c r="CI161" s="313"/>
      <c r="CJ161" s="363"/>
      <c r="CK161" s="313"/>
      <c r="CL161" s="313"/>
      <c r="CM161" s="313"/>
      <c r="CN161" s="313"/>
      <c r="CO161" s="363"/>
      <c r="CP161" s="313"/>
      <c r="CQ161" s="313"/>
      <c r="CR161" s="313"/>
      <c r="CS161" s="313"/>
      <c r="CT161" s="313"/>
    </row>
    <row r="162" spans="10:98" x14ac:dyDescent="0.2">
      <c r="AI162" s="362"/>
      <c r="AJ162" s="362"/>
      <c r="AK162" s="289"/>
      <c r="AL162" s="289"/>
      <c r="AM162" s="313"/>
      <c r="AN162" s="313"/>
      <c r="AO162" s="313"/>
      <c r="AP162" s="289"/>
      <c r="AQ162" s="363"/>
      <c r="AR162" s="313"/>
      <c r="AS162" s="313"/>
      <c r="AT162" s="313"/>
      <c r="AU162" s="363"/>
      <c r="AV162" s="313"/>
      <c r="AW162" s="363"/>
      <c r="AX162" s="364"/>
      <c r="AY162" s="363"/>
      <c r="AZ162" s="363"/>
      <c r="BA162" s="313"/>
      <c r="BB162" s="313"/>
      <c r="BC162" s="363"/>
      <c r="BD162" s="313"/>
      <c r="BE162" s="313"/>
      <c r="BF162" s="289"/>
      <c r="BG162" s="313"/>
      <c r="BH162" s="313"/>
      <c r="BI162" s="363"/>
      <c r="BJ162" s="313"/>
      <c r="BK162" s="313"/>
      <c r="BL162" s="313"/>
      <c r="BM162" s="313"/>
      <c r="BN162" s="313"/>
      <c r="BP162" s="289"/>
      <c r="BQ162" s="289"/>
      <c r="BR162" s="366"/>
      <c r="BS162" s="314"/>
      <c r="BT162" s="366"/>
      <c r="BU162" s="366"/>
      <c r="BV162" s="366"/>
      <c r="BW162" s="314"/>
      <c r="BX162" s="289"/>
      <c r="BY162" s="289"/>
      <c r="BZ162" s="289"/>
      <c r="CA162" s="111"/>
      <c r="CB162" s="289"/>
      <c r="CC162" s="313"/>
      <c r="CD162" s="313"/>
      <c r="CE162" s="313"/>
      <c r="CF162" s="384"/>
      <c r="CG162" s="313"/>
      <c r="CH162" s="313"/>
      <c r="CI162" s="313"/>
      <c r="CJ162" s="363"/>
      <c r="CK162" s="313"/>
      <c r="CL162" s="313"/>
      <c r="CM162" s="313"/>
      <c r="CN162" s="313"/>
      <c r="CO162" s="363"/>
      <c r="CP162" s="313"/>
      <c r="CQ162" s="313"/>
      <c r="CR162" s="313"/>
      <c r="CS162" s="313"/>
      <c r="CT162" s="313"/>
    </row>
    <row r="163" spans="10:98" ht="15" customHeight="1" x14ac:dyDescent="0.2">
      <c r="AI163" s="362"/>
      <c r="AJ163" s="362"/>
      <c r="AK163" s="289"/>
      <c r="AL163" s="289"/>
      <c r="AM163" s="313"/>
      <c r="AN163" s="313"/>
      <c r="AO163" s="313"/>
      <c r="AP163" s="289"/>
      <c r="AQ163" s="363"/>
      <c r="AR163" s="313"/>
      <c r="AS163" s="313"/>
      <c r="AT163" s="313"/>
      <c r="AU163" s="363"/>
      <c r="AV163" s="313"/>
      <c r="AW163" s="363"/>
      <c r="AX163" s="364"/>
      <c r="AY163" s="363"/>
      <c r="AZ163" s="363"/>
      <c r="BA163" s="313"/>
      <c r="BB163" s="313"/>
      <c r="BC163" s="363"/>
      <c r="BD163" s="313"/>
      <c r="BE163" s="313"/>
      <c r="BF163" s="289"/>
      <c r="BG163" s="313"/>
      <c r="BH163" s="313"/>
      <c r="BI163" s="363"/>
      <c r="BJ163" s="313"/>
      <c r="BK163" s="313"/>
      <c r="BL163" s="313"/>
      <c r="BM163" s="313"/>
      <c r="BN163" s="313"/>
      <c r="BP163" s="289"/>
      <c r="BQ163" s="289"/>
      <c r="BR163" s="366"/>
      <c r="BS163" s="314"/>
      <c r="BT163" s="366"/>
      <c r="BU163" s="366"/>
      <c r="BV163" s="366"/>
      <c r="BW163" s="314"/>
      <c r="BX163" s="385" t="s">
        <v>938</v>
      </c>
      <c r="BY163" s="386"/>
      <c r="BZ163" s="387" t="s">
        <v>928</v>
      </c>
      <c r="CA163" s="383" t="s">
        <v>929</v>
      </c>
      <c r="CB163" s="289"/>
      <c r="CC163" s="313"/>
      <c r="CD163" s="313"/>
      <c r="CE163" s="313"/>
      <c r="CF163" s="384"/>
      <c r="CG163" s="313"/>
      <c r="CH163" s="313"/>
      <c r="CI163" s="313"/>
      <c r="CJ163" s="363"/>
      <c r="CK163" s="313"/>
      <c r="CL163" s="313"/>
      <c r="CM163" s="313"/>
      <c r="CN163" s="313"/>
      <c r="CO163" s="363"/>
      <c r="CP163" s="313"/>
      <c r="CQ163" s="313"/>
      <c r="CR163" s="313"/>
      <c r="CS163" s="313"/>
      <c r="CT163" s="313"/>
    </row>
    <row r="164" spans="10:98" ht="15" customHeight="1" x14ac:dyDescent="0.2">
      <c r="AI164" s="362"/>
      <c r="AJ164" s="362"/>
      <c r="AK164" s="289"/>
      <c r="AL164" s="289"/>
      <c r="AM164" s="313"/>
      <c r="AN164" s="313"/>
      <c r="AO164" s="313"/>
      <c r="AP164" s="289"/>
      <c r="AQ164" s="363"/>
      <c r="AR164" s="313"/>
      <c r="AS164" s="313"/>
      <c r="AT164" s="313"/>
      <c r="AU164" s="363"/>
      <c r="AV164" s="313"/>
      <c r="AW164" s="363"/>
      <c r="AX164" s="364"/>
      <c r="AY164" s="363"/>
      <c r="AZ164" s="363"/>
      <c r="BA164" s="313"/>
      <c r="BB164" s="313"/>
      <c r="BC164" s="363"/>
      <c r="BD164" s="313"/>
      <c r="BE164" s="313"/>
      <c r="BF164" s="289"/>
      <c r="BG164" s="313"/>
      <c r="BH164" s="313"/>
      <c r="BI164" s="363"/>
      <c r="BJ164" s="313"/>
      <c r="BK164" s="313"/>
      <c r="BL164" s="313"/>
      <c r="BM164" s="313"/>
      <c r="BN164" s="313"/>
      <c r="BP164" s="289"/>
      <c r="BQ164" s="289"/>
      <c r="BR164" s="366"/>
      <c r="BS164" s="314"/>
      <c r="BT164" s="366"/>
      <c r="BU164" s="366"/>
      <c r="BV164" s="366"/>
      <c r="BW164" s="314"/>
      <c r="BX164" s="372" t="s">
        <v>939</v>
      </c>
      <c r="BY164" s="373"/>
      <c r="BZ164" s="374">
        <f>13000-585</f>
        <v>12415</v>
      </c>
      <c r="CA164" s="375" t="s">
        <v>936</v>
      </c>
      <c r="CB164" s="289"/>
      <c r="CC164" s="313"/>
      <c r="CD164" s="313"/>
      <c r="CE164" s="313"/>
      <c r="CF164" s="384"/>
      <c r="CG164" s="313"/>
      <c r="CH164" s="313"/>
      <c r="CI164" s="313"/>
      <c r="CJ164" s="363"/>
      <c r="CK164" s="313"/>
      <c r="CL164" s="313"/>
      <c r="CM164" s="313"/>
      <c r="CN164" s="313"/>
      <c r="CO164" s="363"/>
      <c r="CP164" s="313"/>
      <c r="CQ164" s="313"/>
      <c r="CR164" s="313"/>
      <c r="CS164" s="313"/>
      <c r="CT164" s="313"/>
    </row>
    <row r="165" spans="10:98" ht="15" customHeight="1" x14ac:dyDescent="0.2">
      <c r="AI165" s="362"/>
      <c r="AJ165" s="362"/>
      <c r="AK165" s="289"/>
      <c r="AL165" s="289"/>
      <c r="AM165" s="313"/>
      <c r="AN165" s="313"/>
      <c r="AO165" s="313"/>
      <c r="AP165" s="289"/>
      <c r="AQ165" s="363"/>
      <c r="AR165" s="313"/>
      <c r="AS165" s="313"/>
      <c r="AT165" s="313"/>
      <c r="AU165" s="363"/>
      <c r="AV165" s="313"/>
      <c r="AW165" s="363"/>
      <c r="AX165" s="364"/>
      <c r="AY165" s="363"/>
      <c r="AZ165" s="363"/>
      <c r="BA165" s="313"/>
      <c r="BB165" s="313"/>
      <c r="BC165" s="363"/>
      <c r="BD165" s="313"/>
      <c r="BE165" s="313"/>
      <c r="BF165" s="289"/>
      <c r="BG165" s="313"/>
      <c r="BH165" s="313"/>
      <c r="BI165" s="363"/>
      <c r="BJ165" s="313"/>
      <c r="BK165" s="313"/>
      <c r="BL165" s="313"/>
      <c r="BM165" s="313"/>
      <c r="BN165" s="313"/>
      <c r="BP165" s="289"/>
      <c r="BQ165" s="289"/>
      <c r="BR165" s="366"/>
      <c r="BS165" s="314"/>
      <c r="BT165" s="366"/>
      <c r="BU165" s="366"/>
      <c r="BV165" s="366"/>
      <c r="BW165" s="314"/>
      <c r="BX165" s="372" t="s">
        <v>940</v>
      </c>
      <c r="BY165" s="373"/>
      <c r="BZ165" s="374">
        <f>5000</f>
        <v>5000</v>
      </c>
      <c r="CA165" s="375" t="s">
        <v>941</v>
      </c>
      <c r="CB165" s="289"/>
      <c r="CC165" s="313"/>
      <c r="CD165" s="313"/>
      <c r="CE165" s="313"/>
      <c r="CF165" s="384"/>
      <c r="CG165" s="313"/>
      <c r="CH165" s="313"/>
      <c r="CI165" s="313"/>
      <c r="CJ165" s="363"/>
      <c r="CK165" s="313"/>
      <c r="CL165" s="313"/>
      <c r="CM165" s="313"/>
      <c r="CN165" s="313"/>
      <c r="CO165" s="363"/>
      <c r="CP165" s="313"/>
      <c r="CQ165" s="313"/>
      <c r="CR165" s="313"/>
      <c r="CS165" s="313"/>
      <c r="CT165" s="313"/>
    </row>
    <row r="166" spans="10:98" ht="15" customHeight="1" x14ac:dyDescent="0.2">
      <c r="AI166" s="362"/>
      <c r="AJ166" s="362"/>
      <c r="AK166" s="289"/>
      <c r="AL166" s="289"/>
      <c r="AM166" s="313"/>
      <c r="AN166" s="313"/>
      <c r="AO166" s="313"/>
      <c r="AP166" s="289"/>
      <c r="AQ166" s="363"/>
      <c r="AR166" s="313"/>
      <c r="AS166" s="313"/>
      <c r="AT166" s="313"/>
      <c r="AU166" s="363"/>
      <c r="AV166" s="313"/>
      <c r="AW166" s="363"/>
      <c r="AX166" s="364"/>
      <c r="AY166" s="363"/>
      <c r="AZ166" s="363"/>
      <c r="BA166" s="313"/>
      <c r="BB166" s="313"/>
      <c r="BC166" s="363"/>
      <c r="BD166" s="313"/>
      <c r="BE166" s="313"/>
      <c r="BF166" s="289"/>
      <c r="BG166" s="313"/>
      <c r="BH166" s="313"/>
      <c r="BI166" s="363"/>
      <c r="BJ166" s="313"/>
      <c r="BK166" s="313"/>
      <c r="BL166" s="313"/>
      <c r="BM166" s="313"/>
      <c r="BN166" s="313"/>
      <c r="BP166" s="289"/>
      <c r="BQ166" s="289"/>
      <c r="BR166" s="366"/>
      <c r="BS166" s="314"/>
      <c r="BT166" s="366"/>
      <c r="BU166" s="366"/>
      <c r="BV166" s="366"/>
      <c r="BW166" s="314"/>
      <c r="BX166" s="372"/>
      <c r="BY166" s="373"/>
      <c r="BZ166" s="374"/>
      <c r="CA166" s="375"/>
      <c r="CB166" s="289"/>
      <c r="CC166" s="313"/>
      <c r="CD166" s="313"/>
      <c r="CE166" s="313"/>
      <c r="CF166" s="384"/>
      <c r="CG166" s="313"/>
      <c r="CH166" s="313"/>
      <c r="CI166" s="313"/>
      <c r="CJ166" s="363"/>
      <c r="CK166" s="313"/>
      <c r="CL166" s="313"/>
      <c r="CM166" s="313"/>
      <c r="CN166" s="313"/>
      <c r="CO166" s="363"/>
      <c r="CP166" s="313"/>
      <c r="CQ166" s="313"/>
      <c r="CR166" s="313"/>
      <c r="CS166" s="313"/>
      <c r="CT166" s="313"/>
    </row>
    <row r="167" spans="10:98" ht="15" customHeight="1" x14ac:dyDescent="0.2">
      <c r="AI167" s="289"/>
      <c r="AJ167" s="289"/>
      <c r="AK167" s="289"/>
      <c r="AL167" s="289"/>
      <c r="AM167" s="313"/>
      <c r="AN167" s="313"/>
      <c r="AO167" s="313"/>
      <c r="AP167" s="289"/>
      <c r="AQ167" s="363"/>
      <c r="AR167" s="313"/>
      <c r="AS167" s="313"/>
      <c r="AT167" s="313"/>
      <c r="AU167" s="363"/>
      <c r="AV167" s="313"/>
      <c r="AW167" s="363"/>
      <c r="AX167" s="364"/>
      <c r="AY167" s="363"/>
      <c r="AZ167" s="363"/>
      <c r="BA167" s="313"/>
      <c r="BB167" s="313"/>
      <c r="BC167" s="363"/>
      <c r="BD167" s="313"/>
      <c r="BE167" s="313"/>
      <c r="BF167" s="289"/>
      <c r="BG167" s="313"/>
      <c r="BH167" s="313"/>
      <c r="BI167" s="363"/>
      <c r="BJ167" s="313"/>
      <c r="BK167" s="313"/>
      <c r="BL167" s="313"/>
      <c r="BM167" s="313"/>
      <c r="BN167" s="313"/>
      <c r="BP167" s="289"/>
      <c r="BQ167" s="289"/>
      <c r="BR167" s="366"/>
      <c r="BS167" s="314"/>
      <c r="BT167" s="366"/>
      <c r="BU167" s="366"/>
      <c r="BV167" s="366"/>
      <c r="BW167" s="314"/>
      <c r="BX167" s="372"/>
      <c r="BY167" s="373"/>
      <c r="BZ167" s="374"/>
      <c r="CA167" s="375"/>
      <c r="CB167" s="289"/>
      <c r="CC167" s="313"/>
      <c r="CD167" s="313"/>
      <c r="CE167" s="313"/>
      <c r="CF167" s="384"/>
      <c r="CG167" s="313"/>
      <c r="CH167" s="313"/>
      <c r="CI167" s="313"/>
      <c r="CJ167" s="363"/>
      <c r="CK167" s="313"/>
      <c r="CL167" s="313"/>
      <c r="CM167" s="313"/>
      <c r="CN167" s="313"/>
      <c r="CO167" s="363"/>
      <c r="CP167" s="313"/>
      <c r="CQ167" s="313"/>
      <c r="CR167" s="313"/>
      <c r="CS167" s="313"/>
      <c r="CT167" s="313"/>
    </row>
    <row r="168" spans="10:98" ht="15" customHeight="1" x14ac:dyDescent="0.2">
      <c r="AI168" s="289"/>
      <c r="AJ168" s="289"/>
      <c r="AK168" s="289"/>
      <c r="AL168" s="289"/>
      <c r="AM168" s="313"/>
      <c r="AN168" s="313"/>
      <c r="AO168" s="313"/>
      <c r="AP168" s="289"/>
      <c r="AQ168" s="363"/>
      <c r="AR168" s="313"/>
      <c r="AS168" s="313"/>
      <c r="AT168" s="313"/>
      <c r="AU168" s="363"/>
      <c r="AV168" s="313"/>
      <c r="AW168" s="363"/>
      <c r="AX168" s="364"/>
      <c r="AY168" s="363"/>
      <c r="AZ168" s="363"/>
      <c r="BA168" s="313"/>
      <c r="BB168" s="313"/>
      <c r="BC168" s="363"/>
      <c r="BD168" s="313"/>
      <c r="BE168" s="313"/>
      <c r="BF168" s="289"/>
      <c r="BG168" s="313"/>
      <c r="BH168" s="313"/>
      <c r="BI168" s="363"/>
      <c r="BJ168" s="313"/>
      <c r="BK168" s="313"/>
      <c r="BL168" s="313"/>
      <c r="BM168" s="313"/>
      <c r="BN168" s="313"/>
      <c r="BP168" s="289"/>
      <c r="BQ168" s="289"/>
      <c r="BR168" s="366"/>
      <c r="BS168" s="314"/>
      <c r="BT168" s="366"/>
      <c r="BU168" s="366"/>
      <c r="BV168" s="366"/>
      <c r="BW168" s="314"/>
      <c r="BX168" s="372"/>
      <c r="BY168" s="373"/>
      <c r="BZ168" s="374"/>
      <c r="CA168" s="375"/>
      <c r="CB168" s="289"/>
      <c r="CC168" s="313"/>
      <c r="CD168" s="313"/>
      <c r="CE168" s="313"/>
      <c r="CF168" s="384"/>
      <c r="CG168" s="313"/>
      <c r="CH168" s="313"/>
      <c r="CI168" s="313"/>
      <c r="CJ168" s="363"/>
      <c r="CK168" s="313"/>
      <c r="CL168" s="313"/>
      <c r="CM168" s="313"/>
      <c r="CN168" s="313"/>
      <c r="CO168" s="363"/>
      <c r="CP168" s="313"/>
      <c r="CQ168" s="313"/>
      <c r="CR168" s="313"/>
      <c r="CS168" s="313"/>
      <c r="CT168" s="313"/>
    </row>
    <row r="169" spans="10:98" ht="15" customHeight="1" x14ac:dyDescent="0.2">
      <c r="AI169" s="289"/>
      <c r="AJ169" s="289"/>
      <c r="AK169" s="289"/>
      <c r="AL169" s="289"/>
      <c r="AM169" s="313"/>
      <c r="AN169" s="313"/>
      <c r="AO169" s="313"/>
      <c r="AP169" s="289"/>
      <c r="AQ169" s="363"/>
      <c r="AR169" s="313"/>
      <c r="AS169" s="313"/>
      <c r="AT169" s="313"/>
      <c r="AU169" s="363"/>
      <c r="AV169" s="313"/>
      <c r="AW169" s="363"/>
      <c r="AX169" s="364"/>
      <c r="AY169" s="363"/>
      <c r="AZ169" s="363"/>
      <c r="BA169" s="313"/>
      <c r="BB169" s="313"/>
      <c r="BC169" s="363"/>
      <c r="BD169" s="313"/>
      <c r="BE169" s="313"/>
      <c r="BF169" s="289"/>
      <c r="BG169" s="313"/>
      <c r="BH169" s="313"/>
      <c r="BI169" s="363"/>
      <c r="BJ169" s="313"/>
      <c r="BK169" s="313"/>
      <c r="BL169" s="313"/>
      <c r="BM169" s="313"/>
      <c r="BN169" s="313"/>
      <c r="BP169" s="289"/>
      <c r="BQ169" s="289"/>
      <c r="BR169" s="366"/>
      <c r="BS169" s="314"/>
      <c r="BT169" s="366"/>
      <c r="BU169" s="366"/>
      <c r="BV169" s="366"/>
      <c r="BW169" s="314"/>
      <c r="BX169" s="380" t="s">
        <v>937</v>
      </c>
      <c r="BY169" s="381"/>
      <c r="BZ169" s="382">
        <f>SUM(BZ164:BZ168)</f>
        <v>17415</v>
      </c>
      <c r="CA169" s="383"/>
      <c r="CB169" s="289"/>
      <c r="CC169" s="313"/>
      <c r="CD169" s="313"/>
      <c r="CE169" s="313"/>
      <c r="CF169" s="384"/>
      <c r="CG169" s="313"/>
      <c r="CH169" s="313"/>
      <c r="CI169" s="313"/>
      <c r="CJ169" s="363"/>
      <c r="CK169" s="313"/>
      <c r="CL169" s="313"/>
      <c r="CM169" s="313"/>
      <c r="CN169" s="313"/>
      <c r="CO169" s="363"/>
      <c r="CP169" s="313"/>
      <c r="CQ169" s="313"/>
      <c r="CR169" s="313"/>
      <c r="CS169" s="313"/>
      <c r="CT169" s="313"/>
    </row>
    <row r="170" spans="10:98" x14ac:dyDescent="0.2">
      <c r="J170" s="289"/>
      <c r="K170" s="289"/>
      <c r="L170" s="388"/>
      <c r="M170" s="289"/>
      <c r="N170" s="289"/>
      <c r="O170" s="289"/>
      <c r="P170" s="313"/>
      <c r="Q170" s="313"/>
      <c r="R170" s="313"/>
      <c r="S170" s="384"/>
      <c r="T170" s="313"/>
      <c r="U170" s="313"/>
      <c r="V170" s="313"/>
      <c r="W170" s="363"/>
      <c r="X170" s="313"/>
      <c r="Y170" s="313"/>
      <c r="Z170" s="313"/>
      <c r="AA170" s="313"/>
      <c r="AB170" s="363"/>
      <c r="AC170" s="313"/>
      <c r="AD170" s="313"/>
      <c r="AE170" s="313"/>
      <c r="AF170" s="313"/>
      <c r="AG170" s="313"/>
      <c r="AI170" s="289"/>
      <c r="AJ170" s="289"/>
      <c r="AK170" s="289"/>
      <c r="AL170" s="289"/>
      <c r="AM170" s="313"/>
      <c r="AN170" s="313"/>
      <c r="AO170" s="313"/>
      <c r="AP170" s="289"/>
      <c r="AQ170" s="363"/>
      <c r="AR170" s="313"/>
      <c r="AS170" s="313"/>
      <c r="AT170" s="313"/>
      <c r="AU170" s="363"/>
      <c r="AV170" s="313"/>
      <c r="AW170" s="363"/>
      <c r="AX170" s="364"/>
      <c r="AY170" s="363"/>
      <c r="AZ170" s="363"/>
      <c r="BA170" s="313"/>
      <c r="BB170" s="313"/>
      <c r="BC170" s="363"/>
      <c r="BD170" s="313"/>
      <c r="BE170" s="313"/>
      <c r="BF170" s="289"/>
      <c r="BG170" s="313"/>
      <c r="BH170" s="313"/>
      <c r="BI170" s="363"/>
      <c r="BJ170" s="313"/>
      <c r="BK170" s="313"/>
      <c r="BL170" s="313"/>
      <c r="BM170" s="313"/>
      <c r="BN170" s="313"/>
      <c r="BP170" s="289"/>
      <c r="BQ170" s="289"/>
      <c r="BR170" s="366"/>
      <c r="BS170" s="314"/>
      <c r="BT170" s="366"/>
      <c r="BU170" s="366"/>
      <c r="BV170" s="366"/>
      <c r="BW170" s="314"/>
      <c r="BX170" s="314"/>
    </row>
    <row r="171" spans="10:98" x14ac:dyDescent="0.2">
      <c r="AI171" s="107"/>
      <c r="AJ171" s="107"/>
    </row>
    <row r="172" spans="10:98" x14ac:dyDescent="0.2">
      <c r="AI172" s="107"/>
      <c r="AJ172" s="107"/>
    </row>
    <row r="173" spans="10:98" x14ac:dyDescent="0.2">
      <c r="AI173" s="107"/>
      <c r="AJ173" s="107"/>
    </row>
    <row r="174" spans="10:98" x14ac:dyDescent="0.2">
      <c r="AH174" s="228"/>
      <c r="AI174" s="107"/>
      <c r="AJ174" s="107"/>
    </row>
    <row r="175" spans="10:98" x14ac:dyDescent="0.2">
      <c r="AH175" s="228"/>
      <c r="AI175" s="107"/>
      <c r="AJ175" s="107"/>
    </row>
    <row r="176" spans="10:98" x14ac:dyDescent="0.2">
      <c r="AH176" s="228"/>
      <c r="AI176" s="107"/>
      <c r="AJ176" s="107"/>
    </row>
    <row r="177" spans="34:36" x14ac:dyDescent="0.2">
      <c r="AH177" s="228"/>
      <c r="AI177" s="107"/>
      <c r="AJ177" s="107"/>
    </row>
    <row r="178" spans="34:36" x14ac:dyDescent="0.2">
      <c r="AH178" s="228"/>
      <c r="AI178" s="107"/>
      <c r="AJ178" s="107"/>
    </row>
    <row r="179" spans="34:36" x14ac:dyDescent="0.2">
      <c r="AH179" s="228"/>
      <c r="AI179" s="107"/>
      <c r="AJ179" s="107"/>
    </row>
    <row r="180" spans="34:36" x14ac:dyDescent="0.2">
      <c r="AH180" s="228"/>
      <c r="AI180" s="107"/>
      <c r="AJ180" s="107"/>
    </row>
    <row r="181" spans="34:36" x14ac:dyDescent="0.2">
      <c r="AH181" s="228"/>
      <c r="AI181" s="107"/>
      <c r="AJ181" s="107"/>
    </row>
    <row r="182" spans="34:36" x14ac:dyDescent="0.2">
      <c r="AH182" s="228"/>
      <c r="AI182" s="107"/>
      <c r="AJ182" s="107"/>
    </row>
    <row r="183" spans="34:36" x14ac:dyDescent="0.2">
      <c r="AH183" s="228"/>
      <c r="AI183" s="107"/>
      <c r="AJ183" s="107"/>
    </row>
    <row r="184" spans="34:36" x14ac:dyDescent="0.2">
      <c r="AH184" s="228"/>
      <c r="AI184" s="107"/>
      <c r="AJ184" s="107"/>
    </row>
    <row r="185" spans="34:36" x14ac:dyDescent="0.2">
      <c r="AH185" s="228"/>
      <c r="AI185" s="107"/>
      <c r="AJ185" s="107"/>
    </row>
    <row r="186" spans="34:36" x14ac:dyDescent="0.2">
      <c r="AH186" s="228"/>
      <c r="AI186" s="107"/>
      <c r="AJ186" s="107"/>
    </row>
    <row r="187" spans="34:36" x14ac:dyDescent="0.2">
      <c r="AH187" s="228"/>
      <c r="AI187" s="107"/>
      <c r="AJ187" s="107"/>
    </row>
    <row r="188" spans="34:36" x14ac:dyDescent="0.2">
      <c r="AH188" s="228"/>
      <c r="AI188" s="107"/>
      <c r="AJ188" s="107"/>
    </row>
    <row r="189" spans="34:36" x14ac:dyDescent="0.2">
      <c r="AH189" s="228"/>
      <c r="AI189" s="107"/>
      <c r="AJ189" s="107"/>
    </row>
    <row r="190" spans="34:36" x14ac:dyDescent="0.2">
      <c r="AH190" s="228"/>
      <c r="AI190" s="107"/>
      <c r="AJ190" s="107"/>
    </row>
    <row r="191" spans="34:36" x14ac:dyDescent="0.2">
      <c r="AH191" s="228"/>
      <c r="AI191" s="107"/>
      <c r="AJ191" s="107"/>
    </row>
    <row r="192" spans="34:36" x14ac:dyDescent="0.2">
      <c r="AH192" s="228"/>
      <c r="AI192" s="107"/>
      <c r="AJ192" s="107"/>
    </row>
    <row r="193" spans="34:36" x14ac:dyDescent="0.2">
      <c r="AH193" s="228"/>
      <c r="AI193" s="107"/>
      <c r="AJ193" s="107"/>
    </row>
    <row r="194" spans="34:36" x14ac:dyDescent="0.2">
      <c r="AH194" s="228"/>
      <c r="AI194" s="107"/>
      <c r="AJ194" s="107"/>
    </row>
  </sheetData>
  <mergeCells count="11">
    <mergeCell ref="M4:BQ4"/>
    <mergeCell ref="AO7:AX8"/>
    <mergeCell ref="AY7:BB8"/>
    <mergeCell ref="BC7:BC8"/>
    <mergeCell ref="BD7:BI8"/>
    <mergeCell ref="BK7:BK8"/>
    <mergeCell ref="CD7:CE8"/>
    <mergeCell ref="CN7:CO8"/>
    <mergeCell ref="CS7:CT8"/>
    <mergeCell ref="J151:L151"/>
    <mergeCell ref="J152:L152"/>
  </mergeCells>
  <printOptions horizontalCentered="1"/>
  <pageMargins left="0.70866141732283472" right="0.70866141732283472" top="0.74803149606299213" bottom="0.74803149606299213" header="0.31496062992125984" footer="0.31496062992125984"/>
  <pageSetup paperSize="5" scale="45" fitToHeight="8" orientation="landscape" r:id="rId1"/>
  <headerFooter alignWithMargins="0">
    <oddHeader>&amp;R&amp;14&amp;D</oddHeader>
    <oddFooter>Página &amp;P</oddFooter>
  </headerFooter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8"/>
  <sheetViews>
    <sheetView topLeftCell="A67" workbookViewId="0">
      <selection activeCell="D80" sqref="D80"/>
    </sheetView>
  </sheetViews>
  <sheetFormatPr baseColWidth="10" defaultRowHeight="15" x14ac:dyDescent="0.25"/>
  <cols>
    <col min="2" max="2" width="32.7109375" bestFit="1" customWidth="1"/>
    <col min="3" max="3" width="21.85546875" bestFit="1" customWidth="1"/>
    <col min="5" max="5" width="11.85546875" bestFit="1" customWidth="1"/>
  </cols>
  <sheetData>
    <row r="2" spans="1:6" x14ac:dyDescent="0.25">
      <c r="A2" t="s">
        <v>12</v>
      </c>
      <c r="B2" s="77" t="s">
        <v>1100</v>
      </c>
      <c r="C2" t="s">
        <v>1101</v>
      </c>
      <c r="D2" t="s">
        <v>1339</v>
      </c>
      <c r="E2" t="s">
        <v>1340</v>
      </c>
      <c r="F2" t="s">
        <v>1341</v>
      </c>
    </row>
    <row r="3" spans="1:6" x14ac:dyDescent="0.25">
      <c r="A3" s="77" t="s">
        <v>1106</v>
      </c>
      <c r="B3" t="s">
        <v>1107</v>
      </c>
      <c r="C3" t="s">
        <v>1342</v>
      </c>
    </row>
    <row r="4" spans="1:6" x14ac:dyDescent="0.25">
      <c r="A4" s="77" t="s">
        <v>1106</v>
      </c>
      <c r="B4" t="s">
        <v>1109</v>
      </c>
      <c r="C4" t="s">
        <v>1343</v>
      </c>
    </row>
    <row r="5" spans="1:6" x14ac:dyDescent="0.25">
      <c r="A5" s="77" t="s">
        <v>1106</v>
      </c>
      <c r="B5" t="s">
        <v>1113</v>
      </c>
      <c r="C5" t="s">
        <v>1344</v>
      </c>
      <c r="F5" t="s">
        <v>1345</v>
      </c>
    </row>
    <row r="6" spans="1:6" x14ac:dyDescent="0.25">
      <c r="A6" s="77" t="s">
        <v>1106</v>
      </c>
      <c r="B6" t="s">
        <v>1116</v>
      </c>
      <c r="C6" t="s">
        <v>1346</v>
      </c>
    </row>
    <row r="7" spans="1:6" x14ac:dyDescent="0.25">
      <c r="A7" s="77" t="s">
        <v>1106</v>
      </c>
      <c r="B7" t="s">
        <v>1120</v>
      </c>
      <c r="C7" t="s">
        <v>1347</v>
      </c>
    </row>
    <row r="8" spans="1:6" x14ac:dyDescent="0.25">
      <c r="A8" s="77" t="s">
        <v>1106</v>
      </c>
      <c r="B8" t="s">
        <v>1123</v>
      </c>
      <c r="C8" t="s">
        <v>1348</v>
      </c>
    </row>
    <row r="9" spans="1:6" x14ac:dyDescent="0.25">
      <c r="A9" s="77" t="s">
        <v>1106</v>
      </c>
      <c r="B9" t="s">
        <v>1125</v>
      </c>
      <c r="C9" t="s">
        <v>1349</v>
      </c>
    </row>
    <row r="10" spans="1:6" x14ac:dyDescent="0.25">
      <c r="A10" s="77" t="s">
        <v>1106</v>
      </c>
      <c r="B10" t="s">
        <v>1128</v>
      </c>
      <c r="C10" t="s">
        <v>1350</v>
      </c>
    </row>
    <row r="11" spans="1:6" x14ac:dyDescent="0.25">
      <c r="A11" s="77" t="s">
        <v>1106</v>
      </c>
      <c r="B11" t="s">
        <v>1130</v>
      </c>
      <c r="C11" t="s">
        <v>1351</v>
      </c>
    </row>
    <row r="12" spans="1:6" x14ac:dyDescent="0.25">
      <c r="A12" s="77" t="s">
        <v>1106</v>
      </c>
      <c r="B12" t="s">
        <v>1132</v>
      </c>
      <c r="C12" t="s">
        <v>1352</v>
      </c>
    </row>
    <row r="13" spans="1:6" x14ac:dyDescent="0.25">
      <c r="A13" s="77" t="s">
        <v>1106</v>
      </c>
      <c r="B13" t="s">
        <v>1138</v>
      </c>
      <c r="C13" t="s">
        <v>1353</v>
      </c>
    </row>
    <row r="14" spans="1:6" x14ac:dyDescent="0.25">
      <c r="A14" s="77" t="s">
        <v>1106</v>
      </c>
      <c r="B14" t="s">
        <v>1143</v>
      </c>
      <c r="C14" t="s">
        <v>1354</v>
      </c>
    </row>
    <row r="15" spans="1:6" x14ac:dyDescent="0.25">
      <c r="A15" s="77" t="s">
        <v>1106</v>
      </c>
      <c r="B15" t="s">
        <v>1144</v>
      </c>
      <c r="C15" t="s">
        <v>1355</v>
      </c>
    </row>
    <row r="16" spans="1:6" x14ac:dyDescent="0.25">
      <c r="A16" s="77" t="s">
        <v>1106</v>
      </c>
      <c r="B16" t="s">
        <v>1146</v>
      </c>
      <c r="C16" t="s">
        <v>1356</v>
      </c>
    </row>
    <row r="17" spans="1:3" x14ac:dyDescent="0.25">
      <c r="A17" s="77" t="s">
        <v>1106</v>
      </c>
      <c r="B17" t="s">
        <v>1148</v>
      </c>
      <c r="C17" t="s">
        <v>1357</v>
      </c>
    </row>
    <row r="18" spans="1:3" x14ac:dyDescent="0.25">
      <c r="A18" s="77" t="s">
        <v>1106</v>
      </c>
      <c r="B18" t="s">
        <v>1151</v>
      </c>
      <c r="C18" t="s">
        <v>1358</v>
      </c>
    </row>
    <row r="19" spans="1:3" x14ac:dyDescent="0.25">
      <c r="A19" s="77" t="s">
        <v>1106</v>
      </c>
      <c r="B19" t="s">
        <v>1152</v>
      </c>
      <c r="C19" t="s">
        <v>1359</v>
      </c>
    </row>
    <row r="20" spans="1:3" x14ac:dyDescent="0.25">
      <c r="A20" s="77" t="s">
        <v>1106</v>
      </c>
      <c r="B20" t="s">
        <v>1154</v>
      </c>
      <c r="C20" t="s">
        <v>1360</v>
      </c>
    </row>
    <row r="21" spans="1:3" x14ac:dyDescent="0.25">
      <c r="A21" s="77" t="s">
        <v>1106</v>
      </c>
      <c r="B21" t="s">
        <v>1157</v>
      </c>
      <c r="C21" t="s">
        <v>1361</v>
      </c>
    </row>
    <row r="22" spans="1:3" x14ac:dyDescent="0.25">
      <c r="A22" s="77" t="s">
        <v>1159</v>
      </c>
      <c r="B22" t="s">
        <v>1160</v>
      </c>
      <c r="C22" t="s">
        <v>1362</v>
      </c>
    </row>
    <row r="23" spans="1:3" x14ac:dyDescent="0.25">
      <c r="A23" s="77" t="s">
        <v>1159</v>
      </c>
      <c r="B23" t="s">
        <v>1165</v>
      </c>
      <c r="C23" t="s">
        <v>1363</v>
      </c>
    </row>
    <row r="24" spans="1:3" x14ac:dyDescent="0.25">
      <c r="A24" s="77" t="s">
        <v>1159</v>
      </c>
      <c r="B24" t="s">
        <v>1166</v>
      </c>
      <c r="C24" t="s">
        <v>1364</v>
      </c>
    </row>
    <row r="25" spans="1:3" x14ac:dyDescent="0.25">
      <c r="A25" s="77" t="s">
        <v>1159</v>
      </c>
      <c r="B25" t="s">
        <v>1168</v>
      </c>
      <c r="C25" t="s">
        <v>1365</v>
      </c>
    </row>
    <row r="26" spans="1:3" x14ac:dyDescent="0.25">
      <c r="A26" s="77" t="s">
        <v>1159</v>
      </c>
      <c r="B26" t="s">
        <v>1173</v>
      </c>
      <c r="C26" t="s">
        <v>1366</v>
      </c>
    </row>
    <row r="27" spans="1:3" x14ac:dyDescent="0.25">
      <c r="A27" s="77" t="s">
        <v>1159</v>
      </c>
      <c r="B27" t="s">
        <v>1175</v>
      </c>
      <c r="C27" t="s">
        <v>1367</v>
      </c>
    </row>
    <row r="28" spans="1:3" x14ac:dyDescent="0.25">
      <c r="A28" s="77" t="s">
        <v>1159</v>
      </c>
      <c r="B28" t="s">
        <v>1177</v>
      </c>
      <c r="C28" t="s">
        <v>1368</v>
      </c>
    </row>
    <row r="29" spans="1:3" x14ac:dyDescent="0.25">
      <c r="A29" s="77" t="s">
        <v>1159</v>
      </c>
      <c r="B29" t="s">
        <v>1181</v>
      </c>
      <c r="C29" t="s">
        <v>1369</v>
      </c>
    </row>
    <row r="30" spans="1:3" x14ac:dyDescent="0.25">
      <c r="A30" s="77" t="s">
        <v>1159</v>
      </c>
      <c r="B30" s="405" t="s">
        <v>1182</v>
      </c>
      <c r="C30" t="s">
        <v>1370</v>
      </c>
    </row>
    <row r="31" spans="1:3" x14ac:dyDescent="0.25">
      <c r="A31" s="77" t="s">
        <v>1159</v>
      </c>
      <c r="B31" t="s">
        <v>1184</v>
      </c>
      <c r="C31" t="s">
        <v>1371</v>
      </c>
    </row>
    <row r="32" spans="1:3" x14ac:dyDescent="0.25">
      <c r="A32" s="77" t="s">
        <v>1159</v>
      </c>
      <c r="B32" t="s">
        <v>1189</v>
      </c>
      <c r="C32" t="s">
        <v>1372</v>
      </c>
    </row>
    <row r="33" spans="1:5" x14ac:dyDescent="0.25">
      <c r="A33" s="77" t="s">
        <v>1159</v>
      </c>
      <c r="B33" t="s">
        <v>1193</v>
      </c>
      <c r="C33" t="s">
        <v>1373</v>
      </c>
    </row>
    <row r="34" spans="1:5" x14ac:dyDescent="0.25">
      <c r="A34" s="77" t="s">
        <v>1159</v>
      </c>
      <c r="B34" t="s">
        <v>1194</v>
      </c>
      <c r="C34" t="s">
        <v>1374</v>
      </c>
    </row>
    <row r="35" spans="1:5" x14ac:dyDescent="0.25">
      <c r="A35" s="77" t="s">
        <v>1159</v>
      </c>
      <c r="B35" t="s">
        <v>1198</v>
      </c>
      <c r="C35" t="s">
        <v>1375</v>
      </c>
    </row>
    <row r="36" spans="1:5" x14ac:dyDescent="0.25">
      <c r="A36" s="77" t="s">
        <v>1159</v>
      </c>
      <c r="B36" t="s">
        <v>1202</v>
      </c>
      <c r="C36" t="s">
        <v>1376</v>
      </c>
    </row>
    <row r="37" spans="1:5" x14ac:dyDescent="0.25">
      <c r="A37" s="77" t="s">
        <v>1159</v>
      </c>
      <c r="B37" t="s">
        <v>1203</v>
      </c>
      <c r="C37" t="s">
        <v>1377</v>
      </c>
    </row>
    <row r="38" spans="1:5" x14ac:dyDescent="0.25">
      <c r="A38" s="77" t="s">
        <v>1159</v>
      </c>
      <c r="B38" t="s">
        <v>1205</v>
      </c>
      <c r="C38" t="s">
        <v>1378</v>
      </c>
    </row>
    <row r="39" spans="1:5" x14ac:dyDescent="0.25">
      <c r="A39" s="77" t="s">
        <v>1159</v>
      </c>
      <c r="B39" t="s">
        <v>1207</v>
      </c>
      <c r="C39" t="s">
        <v>1379</v>
      </c>
    </row>
    <row r="40" spans="1:5" x14ac:dyDescent="0.25">
      <c r="A40" s="77" t="s">
        <v>1159</v>
      </c>
      <c r="B40" t="s">
        <v>1209</v>
      </c>
      <c r="C40" t="s">
        <v>1380</v>
      </c>
    </row>
    <row r="41" spans="1:5" x14ac:dyDescent="0.25">
      <c r="A41" s="77" t="s">
        <v>1159</v>
      </c>
      <c r="B41" t="s">
        <v>1214</v>
      </c>
      <c r="C41" t="s">
        <v>1381</v>
      </c>
    </row>
    <row r="42" spans="1:5" x14ac:dyDescent="0.25">
      <c r="A42" s="77" t="s">
        <v>1159</v>
      </c>
      <c r="B42" t="s">
        <v>1217</v>
      </c>
      <c r="C42" t="s">
        <v>1382</v>
      </c>
    </row>
    <row r="43" spans="1:5" x14ac:dyDescent="0.25">
      <c r="A43" s="77" t="s">
        <v>1159</v>
      </c>
      <c r="B43" t="s">
        <v>1218</v>
      </c>
      <c r="C43" t="s">
        <v>1383</v>
      </c>
    </row>
    <row r="44" spans="1:5" x14ac:dyDescent="0.25">
      <c r="A44" s="77" t="s">
        <v>1159</v>
      </c>
      <c r="B44" t="s">
        <v>1220</v>
      </c>
      <c r="C44" t="s">
        <v>1384</v>
      </c>
    </row>
    <row r="45" spans="1:5" x14ac:dyDescent="0.25">
      <c r="A45" s="77" t="s">
        <v>1222</v>
      </c>
      <c r="B45" s="406" t="s">
        <v>1223</v>
      </c>
      <c r="C45" t="s">
        <v>1385</v>
      </c>
      <c r="D45" s="400">
        <v>1750</v>
      </c>
      <c r="E45" t="s">
        <v>1386</v>
      </c>
    </row>
    <row r="46" spans="1:5" x14ac:dyDescent="0.25">
      <c r="A46" s="77" t="s">
        <v>1222</v>
      </c>
      <c r="B46" t="s">
        <v>1227</v>
      </c>
      <c r="C46" t="s">
        <v>1387</v>
      </c>
    </row>
    <row r="47" spans="1:5" x14ac:dyDescent="0.25">
      <c r="A47" s="77" t="s">
        <v>1222</v>
      </c>
      <c r="B47" t="s">
        <v>1229</v>
      </c>
      <c r="C47" t="s">
        <v>1388</v>
      </c>
    </row>
    <row r="48" spans="1:5" x14ac:dyDescent="0.25">
      <c r="A48" s="77" t="s">
        <v>1222</v>
      </c>
      <c r="B48" t="s">
        <v>1233</v>
      </c>
      <c r="C48" t="s">
        <v>1389</v>
      </c>
    </row>
    <row r="49" spans="1:5" x14ac:dyDescent="0.25">
      <c r="A49" s="77" t="s">
        <v>1222</v>
      </c>
      <c r="B49" t="s">
        <v>1237</v>
      </c>
      <c r="C49" t="s">
        <v>1390</v>
      </c>
    </row>
    <row r="50" spans="1:5" x14ac:dyDescent="0.25">
      <c r="A50" s="77" t="s">
        <v>1222</v>
      </c>
      <c r="B50" t="s">
        <v>1239</v>
      </c>
      <c r="C50" t="s">
        <v>1391</v>
      </c>
    </row>
    <row r="51" spans="1:5" x14ac:dyDescent="0.25">
      <c r="A51" s="77" t="s">
        <v>1222</v>
      </c>
      <c r="B51" t="s">
        <v>1241</v>
      </c>
      <c r="C51" t="s">
        <v>1392</v>
      </c>
    </row>
    <row r="52" spans="1:5" x14ac:dyDescent="0.25">
      <c r="A52" s="77" t="s">
        <v>1222</v>
      </c>
      <c r="B52" t="s">
        <v>1244</v>
      </c>
      <c r="C52" t="s">
        <v>1393</v>
      </c>
    </row>
    <row r="53" spans="1:5" x14ac:dyDescent="0.25">
      <c r="A53" s="77" t="s">
        <v>1222</v>
      </c>
      <c r="B53" t="s">
        <v>1246</v>
      </c>
      <c r="C53" t="s">
        <v>1394</v>
      </c>
    </row>
    <row r="54" spans="1:5" x14ac:dyDescent="0.25">
      <c r="A54" s="77" t="s">
        <v>1222</v>
      </c>
      <c r="B54" t="s">
        <v>1248</v>
      </c>
      <c r="C54" t="s">
        <v>1395</v>
      </c>
    </row>
    <row r="55" spans="1:5" x14ac:dyDescent="0.25">
      <c r="A55" s="77" t="s">
        <v>1222</v>
      </c>
      <c r="B55" t="s">
        <v>1250</v>
      </c>
      <c r="C55" t="s">
        <v>1396</v>
      </c>
    </row>
    <row r="56" spans="1:5" x14ac:dyDescent="0.25">
      <c r="A56" s="77" t="s">
        <v>1222</v>
      </c>
      <c r="B56" t="s">
        <v>1254</v>
      </c>
      <c r="C56" t="s">
        <v>1397</v>
      </c>
      <c r="D56" s="400">
        <v>350</v>
      </c>
      <c r="E56" s="401">
        <v>43530</v>
      </c>
    </row>
    <row r="57" spans="1:5" x14ac:dyDescent="0.25">
      <c r="A57" s="77" t="s">
        <v>1222</v>
      </c>
      <c r="B57" t="s">
        <v>1257</v>
      </c>
      <c r="C57" t="s">
        <v>1398</v>
      </c>
    </row>
    <row r="58" spans="1:5" x14ac:dyDescent="0.25">
      <c r="A58" s="77" t="s">
        <v>1222</v>
      </c>
      <c r="B58" t="s">
        <v>1261</v>
      </c>
      <c r="C58" t="s">
        <v>1399</v>
      </c>
    </row>
    <row r="59" spans="1:5" x14ac:dyDescent="0.25">
      <c r="A59" s="77" t="s">
        <v>1222</v>
      </c>
      <c r="B59" t="s">
        <v>1263</v>
      </c>
      <c r="C59" t="s">
        <v>1400</v>
      </c>
    </row>
    <row r="60" spans="1:5" x14ac:dyDescent="0.25">
      <c r="A60" s="77" t="s">
        <v>1222</v>
      </c>
      <c r="B60" t="s">
        <v>1401</v>
      </c>
      <c r="C60" t="s">
        <v>1402</v>
      </c>
    </row>
    <row r="61" spans="1:5" x14ac:dyDescent="0.25">
      <c r="A61" s="77" t="s">
        <v>1222</v>
      </c>
      <c r="B61" t="s">
        <v>1267</v>
      </c>
      <c r="C61" t="s">
        <v>1403</v>
      </c>
    </row>
    <row r="62" spans="1:5" x14ac:dyDescent="0.25">
      <c r="A62" s="77" t="s">
        <v>1222</v>
      </c>
      <c r="B62" t="s">
        <v>1269</v>
      </c>
      <c r="C62" t="s">
        <v>1404</v>
      </c>
    </row>
    <row r="63" spans="1:5" x14ac:dyDescent="0.25">
      <c r="A63" s="77" t="s">
        <v>1222</v>
      </c>
      <c r="B63" t="s">
        <v>1273</v>
      </c>
      <c r="C63" t="s">
        <v>1405</v>
      </c>
    </row>
    <row r="64" spans="1:5" x14ac:dyDescent="0.25">
      <c r="A64" s="77" t="s">
        <v>1222</v>
      </c>
      <c r="B64" t="s">
        <v>1275</v>
      </c>
      <c r="C64" t="s">
        <v>1406</v>
      </c>
    </row>
    <row r="65" spans="1:5" x14ac:dyDescent="0.25">
      <c r="A65" s="77" t="s">
        <v>1222</v>
      </c>
      <c r="B65" t="s">
        <v>1277</v>
      </c>
      <c r="C65" t="s">
        <v>1407</v>
      </c>
    </row>
    <row r="66" spans="1:5" x14ac:dyDescent="0.25">
      <c r="A66" s="77" t="s">
        <v>1279</v>
      </c>
      <c r="B66" t="s">
        <v>1280</v>
      </c>
      <c r="C66" t="s">
        <v>1408</v>
      </c>
    </row>
    <row r="67" spans="1:5" x14ac:dyDescent="0.25">
      <c r="A67" s="77" t="s">
        <v>1279</v>
      </c>
      <c r="B67" t="s">
        <v>1282</v>
      </c>
      <c r="C67" t="s">
        <v>1409</v>
      </c>
    </row>
    <row r="68" spans="1:5" x14ac:dyDescent="0.25">
      <c r="A68" s="77" t="s">
        <v>1279</v>
      </c>
      <c r="B68" t="s">
        <v>1284</v>
      </c>
      <c r="C68" t="s">
        <v>1410</v>
      </c>
    </row>
    <row r="69" spans="1:5" x14ac:dyDescent="0.25">
      <c r="A69" s="77" t="s">
        <v>1279</v>
      </c>
      <c r="B69" t="s">
        <v>1287</v>
      </c>
      <c r="C69" t="s">
        <v>1411</v>
      </c>
    </row>
    <row r="70" spans="1:5" x14ac:dyDescent="0.25">
      <c r="A70" s="77" t="s">
        <v>1279</v>
      </c>
      <c r="B70" t="s">
        <v>1289</v>
      </c>
      <c r="C70" t="s">
        <v>1412</v>
      </c>
    </row>
    <row r="71" spans="1:5" x14ac:dyDescent="0.25">
      <c r="A71" s="77" t="s">
        <v>1279</v>
      </c>
      <c r="B71" s="406" t="s">
        <v>1291</v>
      </c>
      <c r="C71" t="s">
        <v>1413</v>
      </c>
      <c r="D71">
        <f>350*6</f>
        <v>2100</v>
      </c>
      <c r="E71" s="401">
        <v>43497</v>
      </c>
    </row>
    <row r="72" spans="1:5" x14ac:dyDescent="0.25">
      <c r="A72" s="77" t="s">
        <v>1279</v>
      </c>
      <c r="B72" t="s">
        <v>1295</v>
      </c>
      <c r="C72" t="s">
        <v>1414</v>
      </c>
    </row>
    <row r="73" spans="1:5" x14ac:dyDescent="0.25">
      <c r="A73" s="77" t="s">
        <v>1279</v>
      </c>
      <c r="B73" t="s">
        <v>1297</v>
      </c>
      <c r="C73" t="s">
        <v>1415</v>
      </c>
    </row>
    <row r="74" spans="1:5" x14ac:dyDescent="0.25">
      <c r="A74" s="77" t="s">
        <v>1279</v>
      </c>
      <c r="B74" s="406" t="s">
        <v>1299</v>
      </c>
      <c r="C74" t="s">
        <v>1416</v>
      </c>
      <c r="D74">
        <v>350</v>
      </c>
      <c r="E74" s="401">
        <v>43496</v>
      </c>
    </row>
    <row r="75" spans="1:5" x14ac:dyDescent="0.25">
      <c r="A75" s="77" t="s">
        <v>1279</v>
      </c>
      <c r="B75" t="s">
        <v>1302</v>
      </c>
      <c r="C75" t="s">
        <v>1417</v>
      </c>
    </row>
    <row r="76" spans="1:5" x14ac:dyDescent="0.25">
      <c r="A76" s="77" t="s">
        <v>1279</v>
      </c>
      <c r="B76" t="s">
        <v>1306</v>
      </c>
      <c r="C76" t="s">
        <v>1418</v>
      </c>
    </row>
    <row r="77" spans="1:5" x14ac:dyDescent="0.25">
      <c r="A77" s="77" t="s">
        <v>1279</v>
      </c>
      <c r="B77" t="s">
        <v>1309</v>
      </c>
      <c r="C77" t="s">
        <v>1419</v>
      </c>
    </row>
    <row r="78" spans="1:5" x14ac:dyDescent="0.25">
      <c r="A78" s="77" t="s">
        <v>1279</v>
      </c>
      <c r="B78" t="s">
        <v>1311</v>
      </c>
      <c r="C78" t="s">
        <v>1420</v>
      </c>
    </row>
    <row r="79" spans="1:5" x14ac:dyDescent="0.25">
      <c r="A79" s="77" t="s">
        <v>1279</v>
      </c>
      <c r="B79" t="s">
        <v>1314</v>
      </c>
      <c r="C79" t="s">
        <v>1421</v>
      </c>
    </row>
    <row r="80" spans="1:5" x14ac:dyDescent="0.25">
      <c r="A80" s="77" t="s">
        <v>1279</v>
      </c>
      <c r="B80" s="406" t="s">
        <v>1316</v>
      </c>
      <c r="C80" t="s">
        <v>1422</v>
      </c>
      <c r="D80">
        <v>2100</v>
      </c>
      <c r="E80" s="401">
        <v>43501</v>
      </c>
    </row>
    <row r="81" spans="1:4" x14ac:dyDescent="0.25">
      <c r="A81" s="77" t="s">
        <v>1279</v>
      </c>
      <c r="B81" t="s">
        <v>1320</v>
      </c>
      <c r="C81" t="s">
        <v>1423</v>
      </c>
    </row>
    <row r="82" spans="1:4" x14ac:dyDescent="0.25">
      <c r="A82" s="77" t="s">
        <v>1279</v>
      </c>
      <c r="B82" t="s">
        <v>1322</v>
      </c>
      <c r="C82" t="s">
        <v>1424</v>
      </c>
    </row>
    <row r="83" spans="1:4" x14ac:dyDescent="0.25">
      <c r="A83" s="77" t="s">
        <v>1279</v>
      </c>
      <c r="B83" t="s">
        <v>1324</v>
      </c>
      <c r="C83" t="s">
        <v>1425</v>
      </c>
    </row>
    <row r="84" spans="1:4" x14ac:dyDescent="0.25">
      <c r="A84" s="77" t="s">
        <v>1279</v>
      </c>
      <c r="B84" t="s">
        <v>1326</v>
      </c>
      <c r="C84" t="s">
        <v>1426</v>
      </c>
    </row>
    <row r="85" spans="1:4" x14ac:dyDescent="0.25">
      <c r="A85" s="77" t="s">
        <v>1279</v>
      </c>
      <c r="B85" t="s">
        <v>1328</v>
      </c>
      <c r="C85" t="s">
        <v>1427</v>
      </c>
    </row>
    <row r="86" spans="1:4" x14ac:dyDescent="0.25">
      <c r="A86" s="77" t="s">
        <v>1279</v>
      </c>
      <c r="B86" t="s">
        <v>1332</v>
      </c>
      <c r="C86" t="s">
        <v>1428</v>
      </c>
    </row>
    <row r="87" spans="1:4" x14ac:dyDescent="0.25">
      <c r="A87" s="77" t="s">
        <v>1279</v>
      </c>
      <c r="B87" t="s">
        <v>1334</v>
      </c>
      <c r="C87" t="s">
        <v>1429</v>
      </c>
    </row>
    <row r="88" spans="1:4" x14ac:dyDescent="0.25">
      <c r="D88">
        <f>SUM(D3:D87)</f>
        <v>6650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K61"/>
  <sheetViews>
    <sheetView topLeftCell="A38" zoomScale="130" zoomScaleNormal="130" zoomScalePageLayoutView="130" workbookViewId="0">
      <selection activeCell="H51" sqref="H51"/>
    </sheetView>
  </sheetViews>
  <sheetFormatPr baseColWidth="10" defaultRowHeight="15" x14ac:dyDescent="0.25"/>
  <cols>
    <col min="2" max="2" width="4.7109375" customWidth="1"/>
    <col min="3" max="3" width="11.7109375" customWidth="1"/>
    <col min="4" max="4" width="25.7109375" customWidth="1"/>
    <col min="5" max="7" width="14" customWidth="1"/>
    <col min="11" max="11" width="3.7109375" customWidth="1"/>
  </cols>
  <sheetData>
    <row r="1" spans="2:11" ht="18" customHeight="1" thickBot="1" x14ac:dyDescent="0.3"/>
    <row r="2" spans="2:11" x14ac:dyDescent="0.25">
      <c r="B2" s="46"/>
      <c r="C2" s="47"/>
      <c r="D2" s="47"/>
      <c r="E2" s="47"/>
      <c r="F2" s="47"/>
      <c r="G2" s="47"/>
      <c r="H2" s="47"/>
      <c r="I2" s="47"/>
      <c r="J2" s="47"/>
      <c r="K2" s="48"/>
    </row>
    <row r="3" spans="2:11" ht="30.75" customHeight="1" x14ac:dyDescent="0.25">
      <c r="B3" s="49"/>
      <c r="C3" s="456" t="s">
        <v>119</v>
      </c>
      <c r="D3" s="456"/>
      <c r="E3" s="456"/>
      <c r="F3" s="456"/>
      <c r="G3" s="456"/>
      <c r="H3" s="456"/>
      <c r="I3" s="456"/>
      <c r="J3" s="456"/>
      <c r="K3" s="50"/>
    </row>
    <row r="4" spans="2:11" x14ac:dyDescent="0.25">
      <c r="B4" s="49"/>
      <c r="C4" s="51"/>
      <c r="D4" s="51"/>
      <c r="E4" s="51"/>
      <c r="F4" s="51"/>
      <c r="G4" s="51"/>
      <c r="H4" s="51"/>
      <c r="I4" s="51"/>
      <c r="J4" s="51"/>
      <c r="K4" s="50"/>
    </row>
    <row r="5" spans="2:11" x14ac:dyDescent="0.25">
      <c r="B5" s="49"/>
      <c r="C5" s="51"/>
      <c r="D5" s="52"/>
      <c r="E5" s="52"/>
      <c r="F5" s="52"/>
      <c r="G5" s="52"/>
      <c r="H5" s="51"/>
      <c r="I5" s="51"/>
      <c r="J5" s="51"/>
      <c r="K5" s="50"/>
    </row>
    <row r="6" spans="2:11" x14ac:dyDescent="0.25">
      <c r="B6" s="49"/>
      <c r="C6" s="51"/>
      <c r="D6" s="53"/>
      <c r="E6" s="53" t="s">
        <v>120</v>
      </c>
      <c r="F6" s="53"/>
      <c r="G6" s="53"/>
      <c r="H6" s="51"/>
      <c r="I6" s="51"/>
      <c r="J6" s="51"/>
      <c r="K6" s="50"/>
    </row>
    <row r="7" spans="2:11" x14ac:dyDescent="0.25">
      <c r="B7" s="49"/>
      <c r="C7" s="54" t="s">
        <v>121</v>
      </c>
      <c r="D7" s="55" t="s">
        <v>122</v>
      </c>
      <c r="E7" s="56">
        <v>43087</v>
      </c>
      <c r="F7" s="56">
        <v>43235</v>
      </c>
      <c r="G7" s="55" t="s">
        <v>3</v>
      </c>
      <c r="H7" s="55" t="s">
        <v>123</v>
      </c>
      <c r="I7" s="55" t="s">
        <v>124</v>
      </c>
      <c r="J7" s="51"/>
      <c r="K7" s="50"/>
    </row>
    <row r="8" spans="2:11" x14ac:dyDescent="0.25">
      <c r="B8" s="49"/>
      <c r="C8" s="57">
        <v>43087</v>
      </c>
      <c r="D8" s="58" t="s">
        <v>125</v>
      </c>
      <c r="E8" s="59">
        <f>'[6]Hafrashat Jalá '!E89</f>
        <v>32430.000000000004</v>
      </c>
      <c r="F8" s="60">
        <f>0</f>
        <v>0</v>
      </c>
      <c r="G8" s="59">
        <f>E8+F8</f>
        <v>32430.000000000004</v>
      </c>
      <c r="H8" s="61">
        <v>34420</v>
      </c>
      <c r="I8" s="61"/>
      <c r="J8" s="51">
        <v>1</v>
      </c>
      <c r="K8" s="50"/>
    </row>
    <row r="9" spans="2:11" x14ac:dyDescent="0.25">
      <c r="B9" s="49"/>
      <c r="C9" s="62"/>
      <c r="D9" s="58" t="s">
        <v>126</v>
      </c>
      <c r="E9" s="59">
        <f>'[6]Jalá Hagulá '!F76</f>
        <v>13400</v>
      </c>
      <c r="F9" s="60">
        <f>0</f>
        <v>0</v>
      </c>
      <c r="G9" s="59">
        <f t="shared" ref="G9:G19" si="0">E9+F9</f>
        <v>13400</v>
      </c>
      <c r="H9" s="61">
        <v>13400</v>
      </c>
      <c r="I9" s="61"/>
      <c r="J9" s="51">
        <v>2</v>
      </c>
      <c r="K9" s="50"/>
    </row>
    <row r="10" spans="2:11" x14ac:dyDescent="0.25">
      <c r="B10" s="49"/>
      <c r="C10" s="62"/>
      <c r="D10" s="58" t="s">
        <v>127</v>
      </c>
      <c r="E10" s="59">
        <f>'[6]Venta de Jalot '!F70</f>
        <v>4770</v>
      </c>
      <c r="F10" s="59">
        <f>'[6]Venta de Jalot v_f '!F13+'[6]Venta de Jalot v_f '!F14+'[6]Venta de Jalot v_f '!F15+'[6]Venta de Jalot v_f '!F16</f>
        <v>6250</v>
      </c>
      <c r="G10" s="59">
        <f t="shared" si="0"/>
        <v>11020</v>
      </c>
      <c r="H10" s="61">
        <f>4700+6250</f>
        <v>10950</v>
      </c>
      <c r="I10" s="61"/>
      <c r="J10" s="51">
        <v>3</v>
      </c>
      <c r="K10" s="50"/>
    </row>
    <row r="11" spans="2:11" x14ac:dyDescent="0.25">
      <c r="B11" s="49"/>
      <c r="C11" s="62"/>
      <c r="D11" s="58" t="s">
        <v>128</v>
      </c>
      <c r="E11" s="59">
        <f>[6]PISTA!G68</f>
        <v>67000.3</v>
      </c>
      <c r="F11" s="60">
        <f>0</f>
        <v>0</v>
      </c>
      <c r="G11" s="59">
        <f t="shared" si="0"/>
        <v>67000.3</v>
      </c>
      <c r="H11" s="61">
        <f>67000</f>
        <v>67000</v>
      </c>
      <c r="I11" s="61"/>
      <c r="J11" s="63">
        <v>4</v>
      </c>
      <c r="K11" s="50"/>
    </row>
    <row r="12" spans="2:11" x14ac:dyDescent="0.25">
      <c r="B12" s="49"/>
      <c r="C12" s="62"/>
      <c r="D12" s="58" t="s">
        <v>129</v>
      </c>
      <c r="E12" s="59">
        <f>[6]DONATIVOS!F57</f>
        <v>4150</v>
      </c>
      <c r="F12" s="60">
        <f>'[6]DONATIVOS v_f'!F12+'[6]DONATIVOS v_f'!F14+'[6]DONATIVOS v_f'!F15</f>
        <v>5630</v>
      </c>
      <c r="G12" s="60">
        <f t="shared" si="0"/>
        <v>9780</v>
      </c>
      <c r="H12" s="61">
        <f>4150+5430-50</f>
        <v>9530</v>
      </c>
      <c r="I12" s="61"/>
      <c r="J12" s="63">
        <v>5</v>
      </c>
      <c r="K12" s="50"/>
    </row>
    <row r="13" spans="2:11" x14ac:dyDescent="0.25">
      <c r="B13" s="49"/>
      <c r="C13" s="62"/>
      <c r="D13" s="58" t="s">
        <v>130</v>
      </c>
      <c r="E13" s="59">
        <f>7000-2500</f>
        <v>4500</v>
      </c>
      <c r="F13" s="60">
        <f>'[6]DONATIVOS v_f'!F13</f>
        <v>11000</v>
      </c>
      <c r="G13" s="59">
        <f t="shared" si="0"/>
        <v>15500</v>
      </c>
      <c r="H13" s="61">
        <f>4500+11000</f>
        <v>15500</v>
      </c>
      <c r="I13" s="61"/>
      <c r="J13" s="63">
        <v>6</v>
      </c>
      <c r="K13" s="50"/>
    </row>
    <row r="14" spans="2:11" x14ac:dyDescent="0.25">
      <c r="B14" s="49"/>
      <c r="C14" s="57">
        <v>43454</v>
      </c>
      <c r="D14" s="58" t="s">
        <v>131</v>
      </c>
      <c r="E14" s="59">
        <f>35000-17500</f>
        <v>17500</v>
      </c>
      <c r="F14" s="60"/>
      <c r="G14" s="59">
        <f t="shared" si="0"/>
        <v>17500</v>
      </c>
      <c r="H14" s="61">
        <f>17500</f>
        <v>17500</v>
      </c>
      <c r="I14" s="61">
        <f>17500</f>
        <v>17500</v>
      </c>
      <c r="J14" s="63">
        <v>7</v>
      </c>
      <c r="K14" s="50"/>
    </row>
    <row r="15" spans="2:11" x14ac:dyDescent="0.25">
      <c r="B15" s="49"/>
      <c r="C15" s="57">
        <v>43235</v>
      </c>
      <c r="D15" s="64" t="s">
        <v>132</v>
      </c>
      <c r="E15" s="65"/>
      <c r="F15" s="66">
        <f>'[6]Carrera v_f'!F67</f>
        <v>40550</v>
      </c>
      <c r="G15" s="59">
        <f t="shared" si="0"/>
        <v>40550</v>
      </c>
      <c r="H15" s="61">
        <f>40550</f>
        <v>40550</v>
      </c>
      <c r="I15" s="61"/>
      <c r="J15" s="63">
        <v>8</v>
      </c>
      <c r="K15" s="50"/>
    </row>
    <row r="16" spans="2:11" x14ac:dyDescent="0.25">
      <c r="B16" s="49"/>
      <c r="C16" s="62"/>
      <c r="D16" s="67" t="s">
        <v>133</v>
      </c>
      <c r="E16" s="65"/>
      <c r="F16" s="68">
        <f>'[6]KERMESSE v_f'!E84</f>
        <v>219820</v>
      </c>
      <c r="G16" s="69">
        <f t="shared" si="0"/>
        <v>219820</v>
      </c>
      <c r="H16" s="61">
        <f>46280+27760-10000</f>
        <v>64040</v>
      </c>
      <c r="I16" s="61">
        <v>111040</v>
      </c>
      <c r="J16" s="51"/>
      <c r="K16" s="50"/>
    </row>
    <row r="17" spans="2:11" x14ac:dyDescent="0.25">
      <c r="B17" s="49"/>
      <c r="C17" s="62"/>
      <c r="D17" s="67" t="s">
        <v>134</v>
      </c>
      <c r="E17" s="65"/>
      <c r="F17" s="68"/>
      <c r="G17" s="69"/>
      <c r="H17" s="61">
        <f>10000</f>
        <v>10000</v>
      </c>
      <c r="I17" s="61"/>
      <c r="J17" s="51"/>
      <c r="K17" s="50"/>
    </row>
    <row r="18" spans="2:11" x14ac:dyDescent="0.25">
      <c r="B18" s="49"/>
      <c r="C18" s="62"/>
      <c r="D18" s="64" t="s">
        <v>135</v>
      </c>
      <c r="E18" s="65"/>
      <c r="F18" s="70">
        <f>'[6]OTROS v_f'!E87</f>
        <v>29970</v>
      </c>
      <c r="G18" s="60">
        <f t="shared" si="0"/>
        <v>29970</v>
      </c>
      <c r="H18" s="61">
        <f>26400+(10*18)</f>
        <v>26580</v>
      </c>
      <c r="I18" s="61"/>
      <c r="J18" s="51"/>
      <c r="K18" s="50"/>
    </row>
    <row r="19" spans="2:11" x14ac:dyDescent="0.25">
      <c r="B19" s="49"/>
      <c r="C19" s="62"/>
      <c r="D19" s="64"/>
      <c r="E19" s="65"/>
      <c r="F19" s="70"/>
      <c r="G19" s="60">
        <f t="shared" si="0"/>
        <v>0</v>
      </c>
      <c r="H19" s="61"/>
      <c r="I19" s="61"/>
      <c r="J19" s="51"/>
      <c r="K19" s="50"/>
    </row>
    <row r="20" spans="2:11" x14ac:dyDescent="0.25">
      <c r="B20" s="49"/>
      <c r="C20" s="62"/>
      <c r="D20" s="64"/>
      <c r="E20" s="65"/>
      <c r="F20" s="70"/>
      <c r="G20" s="60"/>
      <c r="H20" s="61"/>
      <c r="I20" s="61"/>
      <c r="J20" s="51"/>
      <c r="K20" s="50"/>
    </row>
    <row r="21" spans="2:11" x14ac:dyDescent="0.25">
      <c r="B21" s="49"/>
      <c r="C21" s="62"/>
      <c r="D21" s="58"/>
      <c r="E21" s="60"/>
      <c r="F21" s="70"/>
      <c r="G21" s="60"/>
      <c r="H21" s="61"/>
      <c r="I21" s="61"/>
      <c r="J21" s="51"/>
      <c r="K21" s="50"/>
    </row>
    <row r="22" spans="2:11" x14ac:dyDescent="0.25">
      <c r="B22" s="49"/>
      <c r="C22" s="62"/>
      <c r="D22" s="58"/>
      <c r="E22" s="60"/>
      <c r="F22" s="60"/>
      <c r="G22" s="60"/>
      <c r="H22" s="61"/>
      <c r="I22" s="61"/>
      <c r="J22" s="51"/>
      <c r="K22" s="50"/>
    </row>
    <row r="23" spans="2:11" x14ac:dyDescent="0.25">
      <c r="B23" s="49"/>
      <c r="C23" s="71"/>
      <c r="D23" s="72" t="s">
        <v>136</v>
      </c>
      <c r="E23" s="73">
        <f>SUM(E8:E22)</f>
        <v>143750.29999999999</v>
      </c>
      <c r="F23" s="73">
        <f>SUM(F8:F22)</f>
        <v>313220</v>
      </c>
      <c r="G23" s="73">
        <f>E23+F23</f>
        <v>456970.3</v>
      </c>
      <c r="H23" s="73">
        <f>SUM(H8:H21)</f>
        <v>309470</v>
      </c>
      <c r="I23" s="74"/>
      <c r="J23" s="51"/>
      <c r="K23" s="50"/>
    </row>
    <row r="24" spans="2:11" x14ac:dyDescent="0.25">
      <c r="B24" s="49"/>
      <c r="C24" s="51"/>
      <c r="D24" s="51"/>
      <c r="E24" s="51"/>
      <c r="F24" s="51"/>
      <c r="G24" s="51"/>
      <c r="H24" s="51"/>
      <c r="I24" s="51"/>
      <c r="J24" s="51"/>
      <c r="K24" s="50"/>
    </row>
    <row r="25" spans="2:11" x14ac:dyDescent="0.25">
      <c r="B25" s="49"/>
      <c r="C25" s="51"/>
      <c r="D25" s="75" t="s">
        <v>136</v>
      </c>
      <c r="E25" s="76">
        <f>E23</f>
        <v>143750.29999999999</v>
      </c>
      <c r="F25" s="76"/>
      <c r="G25" s="76">
        <f>G23</f>
        <v>456970.3</v>
      </c>
      <c r="H25" s="76">
        <f>H23</f>
        <v>309470</v>
      </c>
      <c r="I25" s="76">
        <f>I14</f>
        <v>17500</v>
      </c>
      <c r="J25" s="51"/>
      <c r="K25" s="50"/>
    </row>
    <row r="26" spans="2:11" x14ac:dyDescent="0.25">
      <c r="B26" s="49"/>
      <c r="C26" s="51"/>
      <c r="D26" s="51"/>
      <c r="E26" s="51"/>
      <c r="F26" s="51"/>
      <c r="G26" s="51"/>
      <c r="H26" s="51"/>
      <c r="I26" s="51"/>
      <c r="J26" s="51"/>
      <c r="K26" s="50"/>
    </row>
    <row r="27" spans="2:11" x14ac:dyDescent="0.25">
      <c r="B27" s="49"/>
      <c r="C27" s="51"/>
      <c r="D27" s="77" t="s">
        <v>137</v>
      </c>
      <c r="E27" s="78"/>
      <c r="F27" s="78"/>
      <c r="G27" s="78"/>
      <c r="H27" s="51"/>
      <c r="I27" s="51"/>
      <c r="J27" s="51"/>
      <c r="K27" s="50"/>
    </row>
    <row r="28" spans="2:11" x14ac:dyDescent="0.25">
      <c r="B28" s="49"/>
      <c r="C28" s="51"/>
      <c r="E28" s="78"/>
      <c r="F28" s="78"/>
      <c r="G28" s="78"/>
      <c r="H28" s="51"/>
      <c r="I28" s="51"/>
      <c r="J28" s="51"/>
      <c r="K28" s="50"/>
    </row>
    <row r="29" spans="2:11" x14ac:dyDescent="0.25">
      <c r="B29" s="49"/>
      <c r="C29" s="79" t="s">
        <v>138</v>
      </c>
      <c r="D29" s="77" t="s">
        <v>139</v>
      </c>
      <c r="E29" s="78"/>
      <c r="F29" s="78"/>
      <c r="G29" s="80">
        <f>4270</f>
        <v>4270</v>
      </c>
      <c r="H29" s="51"/>
      <c r="I29" s="51"/>
      <c r="J29" s="51"/>
      <c r="K29" s="50"/>
    </row>
    <row r="30" spans="2:11" x14ac:dyDescent="0.25">
      <c r="B30" s="49"/>
      <c r="C30" s="51"/>
      <c r="E30" s="78"/>
      <c r="F30" s="78"/>
      <c r="G30" s="81"/>
      <c r="H30" s="51"/>
      <c r="I30" s="51"/>
      <c r="J30" s="51"/>
      <c r="K30" s="50"/>
    </row>
    <row r="31" spans="2:11" x14ac:dyDescent="0.25">
      <c r="B31" s="49"/>
      <c r="C31" s="51"/>
      <c r="D31" t="s">
        <v>140</v>
      </c>
      <c r="E31" s="78">
        <f>59890</f>
        <v>59890</v>
      </c>
      <c r="F31" s="78"/>
      <c r="G31" s="81"/>
      <c r="H31" s="82">
        <v>59890</v>
      </c>
      <c r="I31" s="51"/>
      <c r="J31" s="51"/>
      <c r="K31" s="50"/>
    </row>
    <row r="32" spans="2:11" x14ac:dyDescent="0.25">
      <c r="B32" s="49"/>
      <c r="C32" s="51"/>
      <c r="E32" s="78"/>
      <c r="F32" s="78"/>
      <c r="G32" s="81"/>
      <c r="H32" s="51"/>
      <c r="I32" s="51"/>
      <c r="J32" s="51"/>
      <c r="K32" s="50"/>
    </row>
    <row r="33" spans="2:11" x14ac:dyDescent="0.25">
      <c r="B33" s="49"/>
      <c r="C33" s="51"/>
      <c r="D33" t="s">
        <v>141</v>
      </c>
      <c r="E33" s="78">
        <f>122000</f>
        <v>122000</v>
      </c>
      <c r="F33" s="78"/>
      <c r="G33" s="81"/>
      <c r="H33" s="82">
        <v>122000</v>
      </c>
      <c r="I33" s="51"/>
      <c r="J33" s="51"/>
      <c r="K33" s="50"/>
    </row>
    <row r="34" spans="2:11" x14ac:dyDescent="0.25">
      <c r="B34" s="49"/>
      <c r="C34" s="51"/>
      <c r="E34" s="78"/>
      <c r="F34" s="78"/>
      <c r="G34" s="78"/>
      <c r="H34" s="51"/>
      <c r="I34" s="51"/>
      <c r="J34" s="51"/>
      <c r="K34" s="50"/>
    </row>
    <row r="35" spans="2:11" x14ac:dyDescent="0.25">
      <c r="B35" s="49"/>
      <c r="C35" s="51"/>
      <c r="D35" t="s">
        <v>142</v>
      </c>
      <c r="E35" s="78">
        <f>61000</f>
        <v>61000</v>
      </c>
      <c r="F35" s="78"/>
      <c r="G35" s="78"/>
      <c r="H35" s="76">
        <v>61000</v>
      </c>
      <c r="I35" s="76"/>
      <c r="J35" s="51"/>
      <c r="K35" s="50"/>
    </row>
    <row r="36" spans="2:11" x14ac:dyDescent="0.25">
      <c r="B36" s="49"/>
      <c r="C36" s="51"/>
      <c r="E36" s="78"/>
      <c r="F36" s="78"/>
      <c r="G36" s="78"/>
      <c r="H36" s="76"/>
      <c r="I36" s="76"/>
      <c r="J36" s="51"/>
      <c r="K36" s="50"/>
    </row>
    <row r="37" spans="2:11" x14ac:dyDescent="0.25">
      <c r="B37" s="49"/>
      <c r="C37" s="51" t="s">
        <v>143</v>
      </c>
      <c r="D37" t="s">
        <v>144</v>
      </c>
      <c r="E37" s="78">
        <f>1600</f>
        <v>1600</v>
      </c>
      <c r="F37" s="78"/>
      <c r="G37" s="78"/>
      <c r="H37" s="76">
        <v>1600</v>
      </c>
      <c r="I37" s="76"/>
      <c r="J37" s="51"/>
      <c r="K37" s="50"/>
    </row>
    <row r="38" spans="2:11" x14ac:dyDescent="0.25">
      <c r="B38" s="49"/>
      <c r="C38" s="51"/>
      <c r="E38" s="78"/>
      <c r="F38" s="78"/>
      <c r="G38" s="78"/>
      <c r="H38" s="76"/>
      <c r="I38" s="76"/>
      <c r="J38" s="51"/>
      <c r="K38" s="50"/>
    </row>
    <row r="39" spans="2:11" x14ac:dyDescent="0.25">
      <c r="B39" s="49"/>
      <c r="C39" s="51"/>
      <c r="E39" s="78"/>
      <c r="F39" s="78"/>
      <c r="G39" s="78"/>
      <c r="H39" s="51"/>
      <c r="I39" s="51"/>
      <c r="J39" s="51"/>
      <c r="K39" s="50"/>
    </row>
    <row r="40" spans="2:11" ht="15.75" thickBot="1" x14ac:dyDescent="0.3">
      <c r="B40" s="49"/>
      <c r="C40" s="51"/>
      <c r="D40" s="83" t="s">
        <v>145</v>
      </c>
      <c r="E40" s="84"/>
      <c r="F40" s="85"/>
      <c r="G40" s="85">
        <f>G25+G31+G33+G35+G29+G37</f>
        <v>461240.3</v>
      </c>
      <c r="H40" s="86">
        <f>H25+H31+H33+H37+H35</f>
        <v>553960</v>
      </c>
      <c r="I40" s="63"/>
      <c r="J40" s="82"/>
      <c r="K40" s="50"/>
    </row>
    <row r="41" spans="2:11" ht="15.75" thickTop="1" x14ac:dyDescent="0.25">
      <c r="B41" s="87"/>
      <c r="C41" s="88"/>
      <c r="D41" s="89"/>
      <c r="E41" s="90"/>
      <c r="F41" s="91"/>
      <c r="G41" s="91"/>
      <c r="H41" s="92"/>
      <c r="I41" s="92"/>
      <c r="J41" s="93"/>
      <c r="K41" s="94"/>
    </row>
    <row r="42" spans="2:11" x14ac:dyDescent="0.25">
      <c r="B42" s="49"/>
      <c r="C42" s="51"/>
      <c r="D42" s="83" t="s">
        <v>146</v>
      </c>
      <c r="E42" s="95"/>
      <c r="F42" s="96"/>
      <c r="G42" s="96">
        <v>426400</v>
      </c>
      <c r="H42" s="86">
        <f>G42</f>
        <v>426400</v>
      </c>
      <c r="I42" s="63"/>
      <c r="J42" s="82"/>
      <c r="K42" s="50"/>
    </row>
    <row r="43" spans="2:11" x14ac:dyDescent="0.25">
      <c r="B43" s="49"/>
      <c r="C43" s="51"/>
      <c r="D43" s="83"/>
      <c r="E43" s="95"/>
      <c r="F43" s="96"/>
      <c r="G43" s="96"/>
      <c r="H43" s="63"/>
      <c r="I43" s="63"/>
      <c r="J43" s="82"/>
      <c r="K43" s="50"/>
    </row>
    <row r="44" spans="2:11" x14ac:dyDescent="0.25">
      <c r="B44" s="49"/>
      <c r="C44" s="51"/>
      <c r="D44" s="83" t="s">
        <v>147</v>
      </c>
      <c r="E44" s="95"/>
      <c r="F44" s="96"/>
      <c r="G44" s="96"/>
      <c r="H44" s="63"/>
      <c r="I44" s="63"/>
      <c r="J44" s="82"/>
      <c r="K44" s="50"/>
    </row>
    <row r="45" spans="2:11" x14ac:dyDescent="0.25">
      <c r="B45" s="49"/>
      <c r="C45" s="51"/>
      <c r="D45" s="97" t="s">
        <v>148</v>
      </c>
      <c r="E45" s="95"/>
      <c r="F45" s="96">
        <f>43800</f>
        <v>43800</v>
      </c>
      <c r="H45">
        <f>0</f>
        <v>0</v>
      </c>
      <c r="I45" s="63"/>
      <c r="J45" s="82"/>
      <c r="K45" s="50"/>
    </row>
    <row r="46" spans="2:11" x14ac:dyDescent="0.25">
      <c r="B46" s="49"/>
      <c r="C46" s="51"/>
      <c r="D46" s="97" t="s">
        <v>149</v>
      </c>
      <c r="E46" s="95"/>
      <c r="F46" s="96">
        <f>42800</f>
        <v>42800</v>
      </c>
      <c r="I46" s="63"/>
      <c r="J46" s="82"/>
      <c r="K46" s="50"/>
    </row>
    <row r="47" spans="2:11" x14ac:dyDescent="0.25">
      <c r="B47" s="49"/>
      <c r="C47" s="51"/>
      <c r="D47" s="97" t="s">
        <v>150</v>
      </c>
      <c r="E47" s="95"/>
      <c r="F47" s="96"/>
      <c r="H47" s="96"/>
      <c r="I47" s="63"/>
      <c r="J47" s="82"/>
      <c r="K47" s="50"/>
    </row>
    <row r="48" spans="2:11" x14ac:dyDescent="0.25">
      <c r="B48" s="49"/>
      <c r="C48" s="51"/>
      <c r="D48" s="83"/>
      <c r="E48" s="95"/>
      <c r="F48" s="96"/>
      <c r="H48" s="96"/>
      <c r="I48" s="63"/>
      <c r="J48" s="82"/>
      <c r="K48" s="50"/>
    </row>
    <row r="49" spans="2:11" x14ac:dyDescent="0.25">
      <c r="B49" s="49"/>
      <c r="C49" s="51"/>
      <c r="D49" s="83" t="s">
        <v>151</v>
      </c>
      <c r="E49" s="95"/>
      <c r="F49" s="96"/>
      <c r="H49" s="96">
        <f>61000</f>
        <v>61000</v>
      </c>
      <c r="I49" s="51"/>
      <c r="J49" s="51"/>
      <c r="K49" s="50"/>
    </row>
    <row r="50" spans="2:11" x14ac:dyDescent="0.25">
      <c r="B50" s="49"/>
      <c r="C50" s="51"/>
      <c r="D50" s="83"/>
      <c r="E50" s="95"/>
      <c r="F50" s="96"/>
      <c r="H50" s="96"/>
      <c r="I50" s="51"/>
      <c r="J50" s="51"/>
      <c r="K50" s="50"/>
    </row>
    <row r="51" spans="2:11" x14ac:dyDescent="0.25">
      <c r="B51" s="49"/>
      <c r="C51" s="51"/>
      <c r="D51" s="450" t="s">
        <v>152</v>
      </c>
      <c r="E51" s="451"/>
      <c r="F51" s="452"/>
      <c r="G51" s="403"/>
      <c r="H51" s="452">
        <f>H40-H42-H49</f>
        <v>66560</v>
      </c>
      <c r="I51" s="51"/>
      <c r="J51" s="51"/>
      <c r="K51" s="50"/>
    </row>
    <row r="52" spans="2:11" x14ac:dyDescent="0.25">
      <c r="B52" s="49"/>
      <c r="C52" s="51"/>
      <c r="D52" s="83"/>
      <c r="E52" s="95"/>
      <c r="F52" s="96"/>
      <c r="G52" s="96"/>
      <c r="H52" s="51"/>
      <c r="I52" s="51"/>
      <c r="J52" s="51"/>
      <c r="K52" s="50"/>
    </row>
    <row r="53" spans="2:11" x14ac:dyDescent="0.25">
      <c r="B53" s="49"/>
      <c r="C53" s="51"/>
      <c r="D53" s="83"/>
      <c r="E53" s="95"/>
      <c r="F53" s="96"/>
      <c r="G53" s="96"/>
      <c r="H53" s="51"/>
      <c r="I53" s="51"/>
      <c r="J53" s="51"/>
      <c r="K53" s="50"/>
    </row>
    <row r="54" spans="2:11" x14ac:dyDescent="0.25">
      <c r="B54" s="49"/>
      <c r="C54" s="51"/>
      <c r="D54" s="83"/>
      <c r="E54" s="95"/>
      <c r="F54" s="96"/>
      <c r="G54" s="96"/>
      <c r="H54" s="51"/>
      <c r="I54" s="51"/>
      <c r="J54" s="51"/>
      <c r="K54" s="50"/>
    </row>
    <row r="55" spans="2:11" x14ac:dyDescent="0.25">
      <c r="B55" s="49"/>
      <c r="C55" s="51"/>
      <c r="D55" s="98" t="s">
        <v>153</v>
      </c>
      <c r="E55" s="78"/>
      <c r="F55" s="78"/>
      <c r="G55" s="78"/>
      <c r="H55" s="51"/>
      <c r="I55" s="51"/>
      <c r="J55" s="51"/>
      <c r="K55" s="50"/>
    </row>
    <row r="56" spans="2:11" ht="7.5" customHeight="1" x14ac:dyDescent="0.25">
      <c r="B56" s="49"/>
      <c r="C56" s="51"/>
      <c r="D56" s="98"/>
      <c r="E56" s="78"/>
      <c r="F56" s="78"/>
      <c r="G56" s="78"/>
      <c r="H56" s="51"/>
      <c r="I56" s="51"/>
      <c r="J56" s="51"/>
      <c r="K56" s="50"/>
    </row>
    <row r="57" spans="2:11" x14ac:dyDescent="0.25">
      <c r="B57" s="49"/>
      <c r="C57" s="51"/>
      <c r="D57" s="98" t="s">
        <v>154</v>
      </c>
      <c r="E57" s="78"/>
      <c r="F57" s="78"/>
      <c r="G57" s="78"/>
      <c r="H57" s="51"/>
      <c r="I57" s="51"/>
      <c r="J57" s="51"/>
      <c r="K57" s="50"/>
    </row>
    <row r="58" spans="2:11" x14ac:dyDescent="0.25">
      <c r="B58" s="49"/>
      <c r="C58" s="51"/>
      <c r="D58" s="98"/>
      <c r="E58" s="78"/>
      <c r="F58" s="78"/>
      <c r="G58" s="78"/>
      <c r="H58" s="51"/>
      <c r="I58" s="51"/>
      <c r="J58" s="51"/>
      <c r="K58" s="50"/>
    </row>
    <row r="59" spans="2:11" x14ac:dyDescent="0.25">
      <c r="B59" s="49"/>
      <c r="C59" s="51"/>
      <c r="D59" s="98" t="s">
        <v>155</v>
      </c>
      <c r="E59" s="78"/>
      <c r="F59" s="78"/>
      <c r="G59" s="78"/>
      <c r="H59" s="51"/>
      <c r="I59" s="51"/>
      <c r="J59" s="51"/>
      <c r="K59" s="50"/>
    </row>
    <row r="60" spans="2:11" x14ac:dyDescent="0.25">
      <c r="B60" s="49"/>
      <c r="C60" s="51"/>
      <c r="D60" s="98" t="s">
        <v>156</v>
      </c>
      <c r="E60" s="78"/>
      <c r="F60" s="78"/>
      <c r="G60" s="78"/>
      <c r="H60" s="51"/>
      <c r="I60" s="51"/>
      <c r="J60" s="51"/>
      <c r="K60" s="50"/>
    </row>
    <row r="61" spans="2:11" ht="15.75" thickBot="1" x14ac:dyDescent="0.3">
      <c r="B61" s="99"/>
      <c r="C61" s="100"/>
      <c r="D61" s="100"/>
      <c r="E61" s="100"/>
      <c r="F61" s="100"/>
      <c r="G61" s="100"/>
      <c r="H61" s="100"/>
      <c r="I61" s="100"/>
      <c r="J61" s="100"/>
      <c r="K61" s="101"/>
    </row>
  </sheetData>
  <mergeCells count="1">
    <mergeCell ref="C3:J3"/>
  </mergeCells>
  <pageMargins left="0.70866141732283472" right="0.70866141732283472" top="0.74803149606299213" bottom="0.74803149606299213" header="0.31496062992125984" footer="0.31496062992125984"/>
  <pageSetup scale="67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G17" sqref="G17"/>
    </sheetView>
  </sheetViews>
  <sheetFormatPr baseColWidth="10" defaultRowHeight="15" x14ac:dyDescent="0.25"/>
  <sheetData>
    <row r="1" spans="1:2" ht="15.75" thickBot="1" x14ac:dyDescent="0.3">
      <c r="A1" s="1">
        <v>1924</v>
      </c>
      <c r="B1" s="2">
        <v>50</v>
      </c>
    </row>
    <row r="2" spans="1:2" ht="15.75" thickBot="1" x14ac:dyDescent="0.3">
      <c r="A2" s="1">
        <v>1913</v>
      </c>
      <c r="B2" s="2">
        <v>100</v>
      </c>
    </row>
    <row r="3" spans="1:2" ht="15.75" thickBot="1" x14ac:dyDescent="0.3">
      <c r="A3" s="1">
        <v>1909</v>
      </c>
      <c r="B3" s="2">
        <v>50</v>
      </c>
    </row>
    <row r="4" spans="1:2" ht="15.75" thickBot="1" x14ac:dyDescent="0.3">
      <c r="A4" s="1">
        <v>2141</v>
      </c>
      <c r="B4" s="2">
        <v>100</v>
      </c>
    </row>
    <row r="5" spans="1:2" ht="15.75" thickBot="1" x14ac:dyDescent="0.3">
      <c r="A5" s="1">
        <v>2125</v>
      </c>
      <c r="B5" s="2">
        <v>100</v>
      </c>
    </row>
    <row r="6" spans="1:2" ht="15.75" thickBot="1" x14ac:dyDescent="0.3">
      <c r="A6" s="1">
        <v>1613</v>
      </c>
      <c r="B6" s="2">
        <v>60</v>
      </c>
    </row>
    <row r="7" spans="1:2" ht="15.75" thickBot="1" x14ac:dyDescent="0.3">
      <c r="A7" s="1">
        <v>2051</v>
      </c>
      <c r="B7" s="2">
        <v>40</v>
      </c>
    </row>
    <row r="8" spans="1:2" ht="15.75" thickBot="1" x14ac:dyDescent="0.3">
      <c r="A8" s="1">
        <v>1571</v>
      </c>
      <c r="B8" s="2">
        <v>60</v>
      </c>
    </row>
    <row r="9" spans="1:2" ht="15.75" thickBot="1" x14ac:dyDescent="0.3">
      <c r="A9" s="1">
        <v>1970</v>
      </c>
      <c r="B9" s="2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2</vt:i4>
      </vt:variant>
    </vt:vector>
  </HeadingPairs>
  <TitlesOfParts>
    <vt:vector size="10" baseType="lpstr">
      <vt:lpstr>VIAJE A ISRAEL</vt:lpstr>
      <vt:lpstr>FONDO 2018-2019</vt:lpstr>
      <vt:lpstr>Patrocinios y Lonas</vt:lpstr>
      <vt:lpstr>Boletos rifa Kermesse</vt:lpstr>
      <vt:lpstr>BECAS 2018-2019</vt:lpstr>
      <vt:lpstr>Carrera</vt:lpstr>
      <vt:lpstr>EDO DE CTA 2017-2018</vt:lpstr>
      <vt:lpstr>hoja1</vt:lpstr>
      <vt:lpstr>'BECAS 2018-2019'!Área_de_impresión</vt:lpstr>
      <vt:lpstr>'BECAS 2018-2019'!Títulos_a_imprimir</vt:lpstr>
    </vt:vector>
  </TitlesOfParts>
  <Company>CHMD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DE LA ROSA GODOY</dc:creator>
  <cp:lastModifiedBy>HP</cp:lastModifiedBy>
  <cp:lastPrinted>2019-03-05T16:46:34Z</cp:lastPrinted>
  <dcterms:created xsi:type="dcterms:W3CDTF">2009-09-18T13:10:04Z</dcterms:created>
  <dcterms:modified xsi:type="dcterms:W3CDTF">2019-04-10T22:53:57Z</dcterms:modified>
</cp:coreProperties>
</file>