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chaithra/Documents/GitHub/ucla_project/"/>
    </mc:Choice>
  </mc:AlternateContent>
  <xr:revisionPtr revIDLastSave="0" documentId="8_{B329B126-27A6-3346-9658-68C1CCE9D260}" xr6:coauthVersionLast="47" xr6:coauthVersionMax="47" xr10:uidLastSave="{00000000-0000-0000-0000-000000000000}"/>
  <bookViews>
    <workbookView xWindow="780" yWindow="1000" windowWidth="27640" windowHeight="15720" xr2:uid="{0DF67FD8-88D5-4742-B78F-CA3E8AE05C19}"/>
  </bookViews>
  <sheets>
    <sheet name="Sheet1" sheetId="1" r:id="rId1"/>
  </sheets>
  <externalReferences>
    <externalReference r:id="rId2"/>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958" i="1" l="1"/>
  <c r="I957" i="1"/>
  <c r="I956" i="1"/>
  <c r="I955" i="1"/>
  <c r="AC953" i="1"/>
  <c r="AB953" i="1"/>
  <c r="AA945" i="1"/>
  <c r="Y945" i="1"/>
  <c r="X945" i="1"/>
  <c r="W945" i="1"/>
  <c r="U945" i="1"/>
  <c r="AA910" i="1"/>
  <c r="Y910" i="1"/>
  <c r="X910" i="1"/>
  <c r="W910" i="1"/>
  <c r="U910" i="1"/>
  <c r="AA909" i="1"/>
  <c r="Z909" i="1"/>
  <c r="Y909" i="1"/>
  <c r="X909" i="1"/>
  <c r="W909" i="1"/>
  <c r="V909" i="1"/>
  <c r="U909" i="1"/>
  <c r="Z908" i="1"/>
  <c r="Y908" i="1"/>
  <c r="X908" i="1"/>
  <c r="W908" i="1"/>
  <c r="U908" i="1"/>
  <c r="AB907" i="1"/>
  <c r="Z907" i="1"/>
  <c r="Y907" i="1"/>
  <c r="W907" i="1"/>
  <c r="X907" i="1" s="1"/>
  <c r="V907" i="1"/>
  <c r="AC907" i="1" s="1"/>
  <c r="U907" i="1"/>
  <c r="AB906" i="1"/>
  <c r="Z906" i="1"/>
  <c r="Y906" i="1"/>
  <c r="W906" i="1"/>
  <c r="X906" i="1" s="1"/>
  <c r="V906" i="1"/>
  <c r="AC906" i="1" s="1"/>
  <c r="U906" i="1"/>
  <c r="AB905" i="1"/>
  <c r="AA905" i="1"/>
  <c r="Z905" i="1"/>
  <c r="W905" i="1"/>
  <c r="V905" i="1"/>
  <c r="AC905" i="1" s="1"/>
  <c r="U905" i="1"/>
  <c r="AA904" i="1"/>
  <c r="Z904" i="1"/>
  <c r="W904" i="1"/>
  <c r="U904" i="1"/>
  <c r="AA903" i="1"/>
  <c r="Z903" i="1"/>
  <c r="Y903" i="1"/>
  <c r="X903" i="1"/>
  <c r="W903" i="1"/>
  <c r="U903" i="1"/>
  <c r="AA902" i="1"/>
  <c r="Z902" i="1"/>
  <c r="W902" i="1"/>
  <c r="X902" i="1" s="1"/>
  <c r="V902" i="1"/>
  <c r="AC902" i="1" s="1"/>
  <c r="U902" i="1"/>
  <c r="AB902" i="1" s="1"/>
  <c r="AA901" i="1"/>
  <c r="Z901" i="1"/>
  <c r="W901" i="1"/>
  <c r="V901" i="1"/>
  <c r="U901" i="1"/>
  <c r="AB900" i="1"/>
  <c r="AA900" i="1"/>
  <c r="Z900" i="1"/>
  <c r="W900" i="1"/>
  <c r="V900" i="1"/>
  <c r="U900" i="1"/>
  <c r="AC899" i="1"/>
  <c r="AB899" i="1"/>
  <c r="AA899" i="1"/>
  <c r="Z899" i="1"/>
  <c r="Y899" i="1"/>
  <c r="X899" i="1"/>
  <c r="W899" i="1"/>
  <c r="U899" i="1"/>
  <c r="V899" i="1" s="1"/>
  <c r="AA898" i="1"/>
  <c r="Z898" i="1"/>
  <c r="Y898" i="1"/>
  <c r="X898" i="1"/>
  <c r="W898" i="1"/>
  <c r="U898" i="1"/>
  <c r="AA897" i="1"/>
  <c r="AB897" i="1" s="1"/>
  <c r="Z897" i="1"/>
  <c r="W897" i="1"/>
  <c r="V897" i="1"/>
  <c r="U897" i="1"/>
  <c r="AA896" i="1"/>
  <c r="Z896" i="1"/>
  <c r="W896" i="1"/>
  <c r="Y896" i="1" s="1"/>
  <c r="U896" i="1"/>
  <c r="V896" i="1" s="1"/>
  <c r="AA895" i="1"/>
  <c r="Z895" i="1"/>
  <c r="Y895" i="1"/>
  <c r="X895" i="1"/>
  <c r="W895" i="1"/>
  <c r="U895" i="1"/>
  <c r="AA894" i="1"/>
  <c r="Z894" i="1"/>
  <c r="Y894" i="1"/>
  <c r="W894" i="1"/>
  <c r="X894" i="1" s="1"/>
  <c r="V894" i="1"/>
  <c r="AC894" i="1" s="1"/>
  <c r="U894" i="1"/>
  <c r="AB894" i="1" s="1"/>
  <c r="AA893" i="1"/>
  <c r="Z893" i="1"/>
  <c r="W893" i="1"/>
  <c r="V893" i="1"/>
  <c r="AC893" i="1" s="1"/>
  <c r="U893" i="1"/>
  <c r="AB893" i="1" s="1"/>
  <c r="AB892" i="1"/>
  <c r="AA892" i="1"/>
  <c r="Z892" i="1"/>
  <c r="W892" i="1"/>
  <c r="V892" i="1"/>
  <c r="AC892" i="1" s="1"/>
  <c r="U892" i="1"/>
  <c r="AA891" i="1"/>
  <c r="Z891" i="1"/>
  <c r="Y891" i="1"/>
  <c r="X891" i="1"/>
  <c r="W891" i="1"/>
  <c r="U891" i="1"/>
  <c r="AC890" i="1"/>
  <c r="AA890" i="1"/>
  <c r="Z890" i="1"/>
  <c r="Y890" i="1"/>
  <c r="X890" i="1"/>
  <c r="W890" i="1"/>
  <c r="V890" i="1"/>
  <c r="U890" i="1"/>
  <c r="AB890" i="1" s="1"/>
  <c r="AB889" i="1"/>
  <c r="AA889" i="1"/>
  <c r="Z889" i="1"/>
  <c r="W889" i="1"/>
  <c r="V889" i="1"/>
  <c r="U889" i="1"/>
  <c r="AA888" i="1"/>
  <c r="Z888" i="1"/>
  <c r="X888" i="1"/>
  <c r="W888" i="1"/>
  <c r="Y888" i="1" s="1"/>
  <c r="U888" i="1"/>
  <c r="V888" i="1" s="1"/>
  <c r="AA887" i="1"/>
  <c r="Z887" i="1"/>
  <c r="Y887" i="1"/>
  <c r="X887" i="1"/>
  <c r="W887" i="1"/>
  <c r="U887" i="1"/>
  <c r="AC886" i="1"/>
  <c r="AA886" i="1"/>
  <c r="Z886" i="1"/>
  <c r="W886" i="1"/>
  <c r="V886" i="1"/>
  <c r="U886" i="1"/>
  <c r="AB886" i="1" s="1"/>
  <c r="AA885" i="1"/>
  <c r="Z885" i="1"/>
  <c r="W885" i="1"/>
  <c r="Y885" i="1" s="1"/>
  <c r="V885" i="1"/>
  <c r="U885" i="1"/>
  <c r="AB885" i="1" s="1"/>
  <c r="AB884" i="1"/>
  <c r="AA884" i="1"/>
  <c r="Z884" i="1"/>
  <c r="Y884" i="1"/>
  <c r="W884" i="1"/>
  <c r="X884" i="1" s="1"/>
  <c r="V884" i="1"/>
  <c r="AC884" i="1" s="1"/>
  <c r="U884" i="1"/>
  <c r="AA883" i="1"/>
  <c r="Z883" i="1"/>
  <c r="Y883" i="1"/>
  <c r="X883" i="1"/>
  <c r="W883" i="1"/>
  <c r="U883" i="1"/>
  <c r="AA882" i="1"/>
  <c r="Z882" i="1"/>
  <c r="Y882" i="1"/>
  <c r="X882" i="1"/>
  <c r="W882" i="1"/>
  <c r="U882" i="1"/>
  <c r="AB881" i="1"/>
  <c r="AA881" i="1"/>
  <c r="Z881" i="1"/>
  <c r="W881" i="1"/>
  <c r="V881" i="1"/>
  <c r="AC881" i="1" s="1"/>
  <c r="U881" i="1"/>
  <c r="AA880" i="1"/>
  <c r="Z880" i="1"/>
  <c r="X880" i="1"/>
  <c r="W880" i="1"/>
  <c r="Y880" i="1" s="1"/>
  <c r="U880" i="1"/>
  <c r="AA879" i="1"/>
  <c r="Z879" i="1"/>
  <c r="Y879" i="1"/>
  <c r="X879" i="1"/>
  <c r="W879" i="1"/>
  <c r="U879" i="1"/>
  <c r="AA878" i="1"/>
  <c r="Z878" i="1"/>
  <c r="W878" i="1"/>
  <c r="V878" i="1"/>
  <c r="AC878" i="1" s="1"/>
  <c r="U878" i="1"/>
  <c r="AB878" i="1" s="1"/>
  <c r="AA877" i="1"/>
  <c r="Z877" i="1"/>
  <c r="X877" i="1"/>
  <c r="W877" i="1"/>
  <c r="Y877" i="1" s="1"/>
  <c r="V877" i="1"/>
  <c r="U877" i="1"/>
  <c r="AB876" i="1"/>
  <c r="AA876" i="1"/>
  <c r="Z876" i="1"/>
  <c r="X876" i="1"/>
  <c r="W876" i="1"/>
  <c r="Y876" i="1" s="1"/>
  <c r="V876" i="1"/>
  <c r="U876" i="1"/>
  <c r="AB875" i="1"/>
  <c r="AA875" i="1"/>
  <c r="Z875" i="1"/>
  <c r="Y875" i="1"/>
  <c r="X875" i="1"/>
  <c r="W875" i="1"/>
  <c r="U875" i="1"/>
  <c r="V875" i="1" s="1"/>
  <c r="AC875" i="1" s="1"/>
  <c r="AA874" i="1"/>
  <c r="Z874" i="1"/>
  <c r="Y874" i="1"/>
  <c r="X874" i="1"/>
  <c r="W874" i="1"/>
  <c r="U874" i="1"/>
  <c r="AB873" i="1"/>
  <c r="AA873" i="1"/>
  <c r="Z873" i="1"/>
  <c r="W873" i="1"/>
  <c r="V873" i="1"/>
  <c r="AC873" i="1" s="1"/>
  <c r="U873" i="1"/>
  <c r="AA872" i="1"/>
  <c r="AB872" i="1" s="1"/>
  <c r="Z872" i="1"/>
  <c r="X872" i="1"/>
  <c r="W872" i="1"/>
  <c r="Y872" i="1" s="1"/>
  <c r="U872" i="1"/>
  <c r="V872" i="1" s="1"/>
  <c r="AA871" i="1"/>
  <c r="Z871" i="1"/>
  <c r="Y871" i="1"/>
  <c r="X871" i="1"/>
  <c r="W871" i="1"/>
  <c r="V871" i="1"/>
  <c r="AC871" i="1" s="1"/>
  <c r="U871" i="1"/>
  <c r="AB871" i="1" s="1"/>
  <c r="AA870" i="1"/>
  <c r="Z870" i="1"/>
  <c r="W870" i="1"/>
  <c r="U870" i="1"/>
  <c r="AA869" i="1"/>
  <c r="Z869" i="1"/>
  <c r="X869" i="1"/>
  <c r="W869" i="1"/>
  <c r="Y869" i="1" s="1"/>
  <c r="V869" i="1"/>
  <c r="AC869" i="1" s="1"/>
  <c r="U869" i="1"/>
  <c r="AB869" i="1" s="1"/>
  <c r="AA868" i="1"/>
  <c r="AB868" i="1" s="1"/>
  <c r="Z868" i="1"/>
  <c r="X868" i="1"/>
  <c r="W868" i="1"/>
  <c r="Y868" i="1" s="1"/>
  <c r="U868" i="1"/>
  <c r="V868" i="1" s="1"/>
  <c r="AA867" i="1"/>
  <c r="Z867" i="1"/>
  <c r="Y867" i="1"/>
  <c r="X867" i="1"/>
  <c r="W867" i="1"/>
  <c r="U867" i="1"/>
  <c r="AA866" i="1"/>
  <c r="Z866" i="1"/>
  <c r="Y866" i="1"/>
  <c r="W866" i="1"/>
  <c r="X866" i="1" s="1"/>
  <c r="V866" i="1"/>
  <c r="AC866" i="1" s="1"/>
  <c r="U866" i="1"/>
  <c r="AB866" i="1" s="1"/>
  <c r="AA865" i="1"/>
  <c r="AB865" i="1" s="1"/>
  <c r="Z865" i="1"/>
  <c r="W865" i="1"/>
  <c r="V865" i="1"/>
  <c r="U865" i="1"/>
  <c r="AC864" i="1"/>
  <c r="AB864" i="1"/>
  <c r="AA864" i="1"/>
  <c r="Z864" i="1"/>
  <c r="W864" i="1"/>
  <c r="U864" i="1"/>
  <c r="V864" i="1" s="1"/>
  <c r="AB863" i="1"/>
  <c r="AA863" i="1"/>
  <c r="Z863" i="1"/>
  <c r="Y863" i="1"/>
  <c r="X863" i="1"/>
  <c r="W863" i="1"/>
  <c r="V863" i="1"/>
  <c r="AC863" i="1" s="1"/>
  <c r="U863" i="1"/>
  <c r="AA862" i="1"/>
  <c r="Z862" i="1"/>
  <c r="Y862" i="1"/>
  <c r="W862" i="1"/>
  <c r="X862" i="1" s="1"/>
  <c r="V862" i="1"/>
  <c r="AC862" i="1" s="1"/>
  <c r="U862" i="1"/>
  <c r="AB862" i="1" s="1"/>
  <c r="AA861" i="1"/>
  <c r="AB861" i="1" s="1"/>
  <c r="Z861" i="1"/>
  <c r="W861" i="1"/>
  <c r="Y861" i="1" s="1"/>
  <c r="V861" i="1"/>
  <c r="AC861" i="1" s="1"/>
  <c r="U861" i="1"/>
  <c r="AB860" i="1"/>
  <c r="AA860" i="1"/>
  <c r="Z860" i="1"/>
  <c r="W860" i="1"/>
  <c r="Y860" i="1" s="1"/>
  <c r="U860" i="1"/>
  <c r="V860" i="1" s="1"/>
  <c r="AC860" i="1" s="1"/>
  <c r="AA859" i="1"/>
  <c r="Z859" i="1"/>
  <c r="Y859" i="1"/>
  <c r="X859" i="1"/>
  <c r="W859" i="1"/>
  <c r="U859" i="1"/>
  <c r="AA858" i="1"/>
  <c r="Z858" i="1"/>
  <c r="Y858" i="1"/>
  <c r="W858" i="1"/>
  <c r="X858" i="1" s="1"/>
  <c r="V858" i="1"/>
  <c r="U858" i="1"/>
  <c r="AB857" i="1"/>
  <c r="AA857" i="1"/>
  <c r="Z857" i="1"/>
  <c r="W857" i="1"/>
  <c r="V857" i="1"/>
  <c r="U857" i="1"/>
  <c r="AA856" i="1"/>
  <c r="Z856" i="1"/>
  <c r="X856" i="1"/>
  <c r="W856" i="1"/>
  <c r="Y856" i="1" s="1"/>
  <c r="U856" i="1"/>
  <c r="V856" i="1" s="1"/>
  <c r="AA855" i="1"/>
  <c r="Z855" i="1"/>
  <c r="Y855" i="1"/>
  <c r="X855" i="1"/>
  <c r="W855" i="1"/>
  <c r="U855" i="1"/>
  <c r="AC854" i="1"/>
  <c r="AA854" i="1"/>
  <c r="Z854" i="1"/>
  <c r="W854" i="1"/>
  <c r="V854" i="1"/>
  <c r="U854" i="1"/>
  <c r="AB854" i="1" s="1"/>
  <c r="AA853" i="1"/>
  <c r="AB853" i="1" s="1"/>
  <c r="Z853" i="1"/>
  <c r="W853" i="1"/>
  <c r="Y853" i="1" s="1"/>
  <c r="V853" i="1"/>
  <c r="U853" i="1"/>
  <c r="AB852" i="1"/>
  <c r="AA852" i="1"/>
  <c r="Z852" i="1"/>
  <c r="Y852" i="1"/>
  <c r="W852" i="1"/>
  <c r="X852" i="1" s="1"/>
  <c r="U852" i="1"/>
  <c r="V852" i="1" s="1"/>
  <c r="AC852" i="1" s="1"/>
  <c r="AC851" i="1"/>
  <c r="AB851" i="1"/>
  <c r="AA851" i="1"/>
  <c r="Z851" i="1"/>
  <c r="Y851" i="1"/>
  <c r="X851" i="1"/>
  <c r="W851" i="1"/>
  <c r="U851" i="1"/>
  <c r="V851" i="1" s="1"/>
  <c r="AA850" i="1"/>
  <c r="Z850" i="1"/>
  <c r="Y850" i="1"/>
  <c r="W850" i="1"/>
  <c r="X850" i="1" s="1"/>
  <c r="U850" i="1"/>
  <c r="AB850" i="1" s="1"/>
  <c r="AA849" i="1"/>
  <c r="AB849" i="1" s="1"/>
  <c r="Z849" i="1"/>
  <c r="W849" i="1"/>
  <c r="V849" i="1"/>
  <c r="AC849" i="1" s="1"/>
  <c r="U849" i="1"/>
  <c r="AA848" i="1"/>
  <c r="Z848" i="1"/>
  <c r="X848" i="1"/>
  <c r="W848" i="1"/>
  <c r="Y848" i="1" s="1"/>
  <c r="U848" i="1"/>
  <c r="AB847" i="1"/>
  <c r="AA847" i="1"/>
  <c r="Z847" i="1"/>
  <c r="Y847" i="1"/>
  <c r="X847" i="1"/>
  <c r="W847" i="1"/>
  <c r="V847" i="1"/>
  <c r="AC847" i="1" s="1"/>
  <c r="U847" i="1"/>
  <c r="AA846" i="1"/>
  <c r="Z846" i="1"/>
  <c r="Y846" i="1"/>
  <c r="W846" i="1"/>
  <c r="X846" i="1" s="1"/>
  <c r="U846" i="1"/>
  <c r="AA845" i="1"/>
  <c r="AB845" i="1" s="1"/>
  <c r="Z845" i="1"/>
  <c r="X845" i="1"/>
  <c r="W845" i="1"/>
  <c r="Y845" i="1" s="1"/>
  <c r="V845" i="1"/>
  <c r="U845" i="1"/>
  <c r="AA844" i="1"/>
  <c r="AB844" i="1" s="1"/>
  <c r="Z844" i="1"/>
  <c r="Y844" i="1"/>
  <c r="X844" i="1"/>
  <c r="W844" i="1"/>
  <c r="U844" i="1"/>
  <c r="V844" i="1" s="1"/>
  <c r="AA843" i="1"/>
  <c r="Z843" i="1"/>
  <c r="Y843" i="1"/>
  <c r="X843" i="1"/>
  <c r="W843" i="1"/>
  <c r="U843" i="1"/>
  <c r="AA842" i="1"/>
  <c r="Z842" i="1"/>
  <c r="Y842" i="1"/>
  <c r="W842" i="1"/>
  <c r="X842" i="1" s="1"/>
  <c r="V842" i="1"/>
  <c r="AC842" i="1" s="1"/>
  <c r="U842" i="1"/>
  <c r="AB842" i="1" s="1"/>
  <c r="AB841" i="1"/>
  <c r="AA841" i="1"/>
  <c r="Z841" i="1"/>
  <c r="W841" i="1"/>
  <c r="V841" i="1"/>
  <c r="AC841" i="1" s="1"/>
  <c r="U841" i="1"/>
  <c r="AA840" i="1"/>
  <c r="Z840" i="1"/>
  <c r="W840" i="1"/>
  <c r="U840" i="1"/>
  <c r="AB839" i="1"/>
  <c r="AA839" i="1"/>
  <c r="Z839" i="1"/>
  <c r="Y839" i="1"/>
  <c r="X839" i="1"/>
  <c r="W839" i="1"/>
  <c r="V839" i="1"/>
  <c r="AC839" i="1" s="1"/>
  <c r="U839" i="1"/>
  <c r="AA838" i="1"/>
  <c r="Z838" i="1"/>
  <c r="Y838" i="1"/>
  <c r="W838" i="1"/>
  <c r="X838" i="1" s="1"/>
  <c r="U838" i="1"/>
  <c r="AA837" i="1"/>
  <c r="AB837" i="1" s="1"/>
  <c r="Z837" i="1"/>
  <c r="W837" i="1"/>
  <c r="V837" i="1"/>
  <c r="U837" i="1"/>
  <c r="AB836" i="1"/>
  <c r="AA836" i="1"/>
  <c r="Z836" i="1"/>
  <c r="W836" i="1"/>
  <c r="X836" i="1" s="1"/>
  <c r="U836" i="1"/>
  <c r="V836" i="1" s="1"/>
  <c r="AB835" i="1"/>
  <c r="AA835" i="1"/>
  <c r="Z835" i="1"/>
  <c r="Y835" i="1"/>
  <c r="X835" i="1"/>
  <c r="W835" i="1"/>
  <c r="U835" i="1"/>
  <c r="V835" i="1" s="1"/>
  <c r="AC835" i="1" s="1"/>
  <c r="AA834" i="1"/>
  <c r="Z834" i="1"/>
  <c r="Y834" i="1"/>
  <c r="W834" i="1"/>
  <c r="X834" i="1" s="1"/>
  <c r="U834" i="1"/>
  <c r="AB833" i="1"/>
  <c r="AA833" i="1"/>
  <c r="Z833" i="1"/>
  <c r="W833" i="1"/>
  <c r="V833" i="1"/>
  <c r="AC833" i="1" s="1"/>
  <c r="U833" i="1"/>
  <c r="AB832" i="1"/>
  <c r="AA832" i="1"/>
  <c r="Z832" i="1"/>
  <c r="W832" i="1"/>
  <c r="Y832" i="1" s="1"/>
  <c r="U832" i="1"/>
  <c r="V832" i="1" s="1"/>
  <c r="AC832" i="1" s="1"/>
  <c r="AC831" i="1"/>
  <c r="AA831" i="1"/>
  <c r="Z831" i="1"/>
  <c r="Y831" i="1"/>
  <c r="X831" i="1"/>
  <c r="W831" i="1"/>
  <c r="V831" i="1"/>
  <c r="U831" i="1"/>
  <c r="AB831" i="1" s="1"/>
  <c r="AA830" i="1"/>
  <c r="Z830" i="1"/>
  <c r="W830" i="1"/>
  <c r="U830" i="1"/>
  <c r="AA829" i="1"/>
  <c r="AB829" i="1" s="1"/>
  <c r="Z829" i="1"/>
  <c r="X829" i="1"/>
  <c r="W829" i="1"/>
  <c r="Y829" i="1" s="1"/>
  <c r="V829" i="1"/>
  <c r="U829" i="1"/>
  <c r="AA828" i="1"/>
  <c r="AB828" i="1" s="1"/>
  <c r="Z828" i="1"/>
  <c r="X828" i="1"/>
  <c r="W828" i="1"/>
  <c r="Y828" i="1" s="1"/>
  <c r="U828" i="1"/>
  <c r="V828" i="1" s="1"/>
  <c r="AC827" i="1"/>
  <c r="AB827" i="1"/>
  <c r="AA827" i="1"/>
  <c r="Z827" i="1"/>
  <c r="Y827" i="1"/>
  <c r="X827" i="1"/>
  <c r="W827" i="1"/>
  <c r="U827" i="1"/>
  <c r="V827" i="1" s="1"/>
  <c r="AA826" i="1"/>
  <c r="AC826" i="1" s="1"/>
  <c r="Z826" i="1"/>
  <c r="Y826" i="1"/>
  <c r="W826" i="1"/>
  <c r="X826" i="1" s="1"/>
  <c r="V826" i="1"/>
  <c r="U826" i="1"/>
  <c r="AA825" i="1"/>
  <c r="AB825" i="1" s="1"/>
  <c r="Z825" i="1"/>
  <c r="W825" i="1"/>
  <c r="V825" i="1"/>
  <c r="U825" i="1"/>
  <c r="AA824" i="1"/>
  <c r="Z824" i="1"/>
  <c r="X824" i="1"/>
  <c r="W824" i="1"/>
  <c r="Y824" i="1" s="1"/>
  <c r="U824" i="1"/>
  <c r="AB823" i="1"/>
  <c r="AA823" i="1"/>
  <c r="Z823" i="1"/>
  <c r="Y823" i="1"/>
  <c r="X823" i="1"/>
  <c r="W823" i="1"/>
  <c r="V823" i="1"/>
  <c r="AC823" i="1" s="1"/>
  <c r="U823" i="1"/>
  <c r="AA822" i="1"/>
  <c r="Z822" i="1"/>
  <c r="Y822" i="1"/>
  <c r="W822" i="1"/>
  <c r="X822" i="1" s="1"/>
  <c r="U822" i="1"/>
  <c r="AA821" i="1"/>
  <c r="Z821" i="1"/>
  <c r="X821" i="1"/>
  <c r="W821" i="1"/>
  <c r="Y821" i="1" s="1"/>
  <c r="V821" i="1"/>
  <c r="AC821" i="1" s="1"/>
  <c r="U821" i="1"/>
  <c r="AB821" i="1" s="1"/>
  <c r="AA820" i="1"/>
  <c r="AB820" i="1" s="1"/>
  <c r="Z820" i="1"/>
  <c r="Y820" i="1"/>
  <c r="X820" i="1"/>
  <c r="W820" i="1"/>
  <c r="U820" i="1"/>
  <c r="V820" i="1" s="1"/>
  <c r="AB819" i="1"/>
  <c r="AA819" i="1"/>
  <c r="Z819" i="1"/>
  <c r="Y819" i="1"/>
  <c r="X819" i="1"/>
  <c r="W819" i="1"/>
  <c r="U819" i="1"/>
  <c r="V819" i="1" s="1"/>
  <c r="AC819" i="1" s="1"/>
  <c r="AA818" i="1"/>
  <c r="AC818" i="1" s="1"/>
  <c r="Z818" i="1"/>
  <c r="Y818" i="1"/>
  <c r="W818" i="1"/>
  <c r="X818" i="1" s="1"/>
  <c r="V818" i="1"/>
  <c r="U818" i="1"/>
  <c r="AB817" i="1"/>
  <c r="AA817" i="1"/>
  <c r="Z817" i="1"/>
  <c r="W817" i="1"/>
  <c r="V817" i="1"/>
  <c r="U817" i="1"/>
  <c r="AA816" i="1"/>
  <c r="Z816" i="1"/>
  <c r="X816" i="1"/>
  <c r="W816" i="1"/>
  <c r="Y816" i="1" s="1"/>
  <c r="U816" i="1"/>
  <c r="V816" i="1" s="1"/>
  <c r="AA815" i="1"/>
  <c r="Z815" i="1"/>
  <c r="Y815" i="1"/>
  <c r="X815" i="1"/>
  <c r="W815" i="1"/>
  <c r="U815" i="1"/>
  <c r="AA814" i="1"/>
  <c r="Z814" i="1"/>
  <c r="Y814" i="1"/>
  <c r="W814" i="1"/>
  <c r="X814" i="1" s="1"/>
  <c r="V814" i="1"/>
  <c r="AC814" i="1" s="1"/>
  <c r="U814" i="1"/>
  <c r="AB814" i="1" s="1"/>
  <c r="AA813" i="1"/>
  <c r="AB813" i="1" s="1"/>
  <c r="Z813" i="1"/>
  <c r="W813" i="1"/>
  <c r="V813" i="1"/>
  <c r="AC813" i="1" s="1"/>
  <c r="U813" i="1"/>
  <c r="AB812" i="1"/>
  <c r="AA812" i="1"/>
  <c r="Z812" i="1"/>
  <c r="W812" i="1"/>
  <c r="U812" i="1"/>
  <c r="V812" i="1" s="1"/>
  <c r="AC812" i="1" s="1"/>
  <c r="AC811" i="1"/>
  <c r="AB811" i="1"/>
  <c r="AA811" i="1"/>
  <c r="Z811" i="1"/>
  <c r="Y811" i="1"/>
  <c r="X811" i="1"/>
  <c r="W811" i="1"/>
  <c r="U811" i="1"/>
  <c r="V811" i="1" s="1"/>
  <c r="AA810" i="1"/>
  <c r="Z810" i="1"/>
  <c r="Y810" i="1"/>
  <c r="W810" i="1"/>
  <c r="X810" i="1" s="1"/>
  <c r="U810" i="1"/>
  <c r="AB809" i="1"/>
  <c r="AA809" i="1"/>
  <c r="Z809" i="1"/>
  <c r="W809" i="1"/>
  <c r="V809" i="1"/>
  <c r="AC809" i="1" s="1"/>
  <c r="U809" i="1"/>
  <c r="AA808" i="1"/>
  <c r="Z808" i="1"/>
  <c r="X808" i="1"/>
  <c r="W808" i="1"/>
  <c r="Y808" i="1" s="1"/>
  <c r="U808" i="1"/>
  <c r="AA807" i="1"/>
  <c r="Z807" i="1"/>
  <c r="Y807" i="1"/>
  <c r="X807" i="1"/>
  <c r="W807" i="1"/>
  <c r="V807" i="1"/>
  <c r="AC807" i="1" s="1"/>
  <c r="U807" i="1"/>
  <c r="AB807" i="1" s="1"/>
  <c r="AA806" i="1"/>
  <c r="Z806" i="1"/>
  <c r="W806" i="1"/>
  <c r="U806" i="1"/>
  <c r="AA805" i="1"/>
  <c r="Z805" i="1"/>
  <c r="W805" i="1"/>
  <c r="Y805" i="1" s="1"/>
  <c r="V805" i="1"/>
  <c r="AC805" i="1" s="1"/>
  <c r="U805" i="1"/>
  <c r="AB804" i="1"/>
  <c r="AA804" i="1"/>
  <c r="Z804" i="1"/>
  <c r="W804" i="1"/>
  <c r="Y804" i="1" s="1"/>
  <c r="U804" i="1"/>
  <c r="V804" i="1" s="1"/>
  <c r="AC804" i="1" s="1"/>
  <c r="AB803" i="1"/>
  <c r="AA803" i="1"/>
  <c r="Z803" i="1"/>
  <c r="Y803" i="1"/>
  <c r="X803" i="1"/>
  <c r="W803" i="1"/>
  <c r="U803" i="1"/>
  <c r="V803" i="1" s="1"/>
  <c r="AC803" i="1" s="1"/>
  <c r="AA802" i="1"/>
  <c r="Z802" i="1"/>
  <c r="Y802" i="1"/>
  <c r="W802" i="1"/>
  <c r="X802" i="1" s="1"/>
  <c r="U802" i="1"/>
  <c r="AB802" i="1" s="1"/>
  <c r="AB801" i="1"/>
  <c r="AA801" i="1"/>
  <c r="Z801" i="1"/>
  <c r="W801" i="1"/>
  <c r="V801" i="1"/>
  <c r="AC801" i="1" s="1"/>
  <c r="U801" i="1"/>
  <c r="AA800" i="1"/>
  <c r="AC800" i="1" s="1"/>
  <c r="Z800" i="1"/>
  <c r="W800" i="1"/>
  <c r="V800" i="1"/>
  <c r="U800" i="1"/>
  <c r="AA799" i="1"/>
  <c r="Z799" i="1"/>
  <c r="W799" i="1"/>
  <c r="U799" i="1"/>
  <c r="AA798" i="1"/>
  <c r="Z798" i="1"/>
  <c r="W798" i="1"/>
  <c r="V798" i="1"/>
  <c r="AC798" i="1" s="1"/>
  <c r="U798" i="1"/>
  <c r="AB798" i="1" s="1"/>
  <c r="Z797" i="1"/>
  <c r="Y797" i="1"/>
  <c r="X797" i="1"/>
  <c r="W797" i="1"/>
  <c r="U797" i="1"/>
  <c r="AA796" i="1"/>
  <c r="Z796" i="1"/>
  <c r="X796" i="1"/>
  <c r="W796" i="1"/>
  <c r="Y796" i="1" s="1"/>
  <c r="V796" i="1"/>
  <c r="U796" i="1"/>
  <c r="AA795" i="1"/>
  <c r="AB795" i="1" s="1"/>
  <c r="Z795" i="1"/>
  <c r="X795" i="1"/>
  <c r="W795" i="1"/>
  <c r="Y795" i="1" s="1"/>
  <c r="U795" i="1"/>
  <c r="V795" i="1" s="1"/>
  <c r="AB794" i="1"/>
  <c r="AA794" i="1"/>
  <c r="AC794" i="1" s="1"/>
  <c r="Z794" i="1"/>
  <c r="Y794" i="1"/>
  <c r="X794" i="1"/>
  <c r="W794" i="1"/>
  <c r="U794" i="1"/>
  <c r="V794" i="1" s="1"/>
  <c r="AB793" i="1"/>
  <c r="AA793" i="1"/>
  <c r="AC793" i="1" s="1"/>
  <c r="Z793" i="1"/>
  <c r="Y793" i="1"/>
  <c r="W793" i="1"/>
  <c r="X793" i="1" s="1"/>
  <c r="V793" i="1"/>
  <c r="U793" i="1"/>
  <c r="AA792" i="1"/>
  <c r="AB792" i="1" s="1"/>
  <c r="Z792" i="1"/>
  <c r="W792" i="1"/>
  <c r="V792" i="1"/>
  <c r="AC792" i="1" s="1"/>
  <c r="U792" i="1"/>
  <c r="AB791" i="1"/>
  <c r="AA791" i="1"/>
  <c r="Z791" i="1"/>
  <c r="X791" i="1"/>
  <c r="W791" i="1"/>
  <c r="Y791" i="1" s="1"/>
  <c r="V791" i="1"/>
  <c r="AC791" i="1" s="1"/>
  <c r="U791" i="1"/>
  <c r="AB790" i="1"/>
  <c r="AA790" i="1"/>
  <c r="Z790" i="1"/>
  <c r="W790" i="1"/>
  <c r="X790" i="1" s="1"/>
  <c r="V790" i="1"/>
  <c r="AC790" i="1" s="1"/>
  <c r="U790" i="1"/>
  <c r="AC789" i="1"/>
  <c r="AA789" i="1"/>
  <c r="Z789" i="1"/>
  <c r="W789" i="1"/>
  <c r="X789" i="1" s="1"/>
  <c r="V789" i="1"/>
  <c r="U789" i="1"/>
  <c r="AB789" i="1" s="1"/>
  <c r="AA788" i="1"/>
  <c r="AB788" i="1" s="1"/>
  <c r="Z788" i="1"/>
  <c r="Y788" i="1"/>
  <c r="X788" i="1"/>
  <c r="W788" i="1"/>
  <c r="V788" i="1"/>
  <c r="U788" i="1"/>
  <c r="AA787" i="1"/>
  <c r="AB787" i="1" s="1"/>
  <c r="Z787" i="1"/>
  <c r="Y787" i="1"/>
  <c r="X787" i="1"/>
  <c r="W787" i="1"/>
  <c r="U787" i="1"/>
  <c r="V787" i="1" s="1"/>
  <c r="AA786" i="1"/>
  <c r="Z786" i="1"/>
  <c r="Y786" i="1"/>
  <c r="X786" i="1"/>
  <c r="W786" i="1"/>
  <c r="U786" i="1"/>
  <c r="AA785" i="1"/>
  <c r="Z785" i="1"/>
  <c r="Y785" i="1"/>
  <c r="W785" i="1"/>
  <c r="X785" i="1" s="1"/>
  <c r="U785" i="1"/>
  <c r="AA784" i="1"/>
  <c r="Z784" i="1"/>
  <c r="W784" i="1"/>
  <c r="V784" i="1"/>
  <c r="AC784" i="1" s="1"/>
  <c r="U784" i="1"/>
  <c r="AB783" i="1"/>
  <c r="AA783" i="1"/>
  <c r="Z783" i="1"/>
  <c r="X783" i="1"/>
  <c r="W783" i="1"/>
  <c r="Y783" i="1" s="1"/>
  <c r="V783" i="1"/>
  <c r="AC783" i="1" s="1"/>
  <c r="U783" i="1"/>
  <c r="AA782" i="1"/>
  <c r="Z782" i="1"/>
  <c r="Y782" i="1"/>
  <c r="X782" i="1"/>
  <c r="W782" i="1"/>
  <c r="U782" i="1"/>
  <c r="AA781" i="1"/>
  <c r="Z781" i="1"/>
  <c r="Y781" i="1"/>
  <c r="X781" i="1"/>
  <c r="W781" i="1"/>
  <c r="V781" i="1"/>
  <c r="AC781" i="1" s="1"/>
  <c r="U781" i="1"/>
  <c r="AB781" i="1" s="1"/>
  <c r="AB780" i="1"/>
  <c r="AA780" i="1"/>
  <c r="Z780" i="1"/>
  <c r="W780" i="1"/>
  <c r="V780" i="1"/>
  <c r="AC780" i="1" s="1"/>
  <c r="U780" i="1"/>
  <c r="AA779" i="1"/>
  <c r="Z779" i="1"/>
  <c r="X779" i="1"/>
  <c r="W779" i="1"/>
  <c r="Y779" i="1" s="1"/>
  <c r="U779" i="1"/>
  <c r="AA778" i="1"/>
  <c r="Z778" i="1"/>
  <c r="Y778" i="1"/>
  <c r="X778" i="1"/>
  <c r="W778" i="1"/>
  <c r="U778" i="1"/>
  <c r="AB777" i="1"/>
  <c r="AA777" i="1"/>
  <c r="Z777" i="1"/>
  <c r="W777" i="1"/>
  <c r="U777" i="1"/>
  <c r="V777" i="1" s="1"/>
  <c r="AC777" i="1" s="1"/>
  <c r="AA776" i="1"/>
  <c r="Z776" i="1"/>
  <c r="W776" i="1"/>
  <c r="Y776" i="1" s="1"/>
  <c r="U776" i="1"/>
  <c r="AB775" i="1"/>
  <c r="AA775" i="1"/>
  <c r="Z775" i="1"/>
  <c r="Y775" i="1"/>
  <c r="W775" i="1"/>
  <c r="X775" i="1" s="1"/>
  <c r="V775" i="1"/>
  <c r="AC775" i="1" s="1"/>
  <c r="U775" i="1"/>
  <c r="AA774" i="1"/>
  <c r="Z774" i="1"/>
  <c r="Y774" i="1"/>
  <c r="W774" i="1"/>
  <c r="X774" i="1" s="1"/>
  <c r="U774" i="1"/>
  <c r="AA773" i="1"/>
  <c r="Z773" i="1"/>
  <c r="Y773" i="1"/>
  <c r="X773" i="1"/>
  <c r="W773" i="1"/>
  <c r="V773" i="1"/>
  <c r="U773" i="1"/>
  <c r="AA772" i="1"/>
  <c r="AB772" i="1" s="1"/>
  <c r="Z772" i="1"/>
  <c r="Y772" i="1"/>
  <c r="W772" i="1"/>
  <c r="X772" i="1" s="1"/>
  <c r="V772" i="1"/>
  <c r="U772" i="1"/>
  <c r="AA771" i="1"/>
  <c r="Z771" i="1"/>
  <c r="X771" i="1"/>
  <c r="W771" i="1"/>
  <c r="Y771" i="1" s="1"/>
  <c r="U771" i="1"/>
  <c r="AB770" i="1"/>
  <c r="AA770" i="1"/>
  <c r="Z770" i="1"/>
  <c r="Y770" i="1"/>
  <c r="X770" i="1"/>
  <c r="W770" i="1"/>
  <c r="V770" i="1"/>
  <c r="AC770" i="1" s="1"/>
  <c r="U770" i="1"/>
  <c r="AA769" i="1"/>
  <c r="Z769" i="1"/>
  <c r="W769" i="1"/>
  <c r="U769" i="1"/>
  <c r="AA768" i="1"/>
  <c r="Z768" i="1"/>
  <c r="X768" i="1"/>
  <c r="W768" i="1"/>
  <c r="Y768" i="1" s="1"/>
  <c r="V768" i="1"/>
  <c r="AC768" i="1" s="1"/>
  <c r="U768" i="1"/>
  <c r="AB767" i="1"/>
  <c r="AA767" i="1"/>
  <c r="Z767" i="1"/>
  <c r="W767" i="1"/>
  <c r="V767" i="1"/>
  <c r="AC767" i="1" s="1"/>
  <c r="U767" i="1"/>
  <c r="AA766" i="1"/>
  <c r="Z766" i="1"/>
  <c r="W766" i="1"/>
  <c r="Y766" i="1" s="1"/>
  <c r="U766" i="1"/>
  <c r="AA765" i="1"/>
  <c r="Z765" i="1"/>
  <c r="Y765" i="1"/>
  <c r="X765" i="1"/>
  <c r="W765" i="1"/>
  <c r="V765" i="1"/>
  <c r="AC765" i="1" s="1"/>
  <c r="U765" i="1"/>
  <c r="AB765" i="1" s="1"/>
  <c r="AB764" i="1"/>
  <c r="AA764" i="1"/>
  <c r="Z764" i="1"/>
  <c r="W764" i="1"/>
  <c r="X764" i="1" s="1"/>
  <c r="V764" i="1"/>
  <c r="AC764" i="1" s="1"/>
  <c r="U764" i="1"/>
  <c r="AC763" i="1"/>
  <c r="AB763" i="1"/>
  <c r="AA763" i="1"/>
  <c r="Z763" i="1"/>
  <c r="X763" i="1"/>
  <c r="W763" i="1"/>
  <c r="Y763" i="1" s="1"/>
  <c r="U763" i="1"/>
  <c r="V763" i="1" s="1"/>
  <c r="AA762" i="1"/>
  <c r="AC762" i="1" s="1"/>
  <c r="Z762" i="1"/>
  <c r="Y762" i="1"/>
  <c r="X762" i="1"/>
  <c r="W762" i="1"/>
  <c r="U762" i="1"/>
  <c r="V762" i="1" s="1"/>
  <c r="AC761" i="1"/>
  <c r="AB761" i="1"/>
  <c r="AA761" i="1"/>
  <c r="Z761" i="1"/>
  <c r="W761" i="1"/>
  <c r="V761" i="1"/>
  <c r="U761" i="1"/>
  <c r="AA760" i="1"/>
  <c r="Z760" i="1"/>
  <c r="W760" i="1"/>
  <c r="U760" i="1"/>
  <c r="AB759" i="1"/>
  <c r="AA759" i="1"/>
  <c r="Z759" i="1"/>
  <c r="W759" i="1"/>
  <c r="X759" i="1" s="1"/>
  <c r="V759" i="1"/>
  <c r="AC759" i="1" s="1"/>
  <c r="U759" i="1"/>
  <c r="AA758" i="1"/>
  <c r="Z758" i="1"/>
  <c r="Y758" i="1"/>
  <c r="W758" i="1"/>
  <c r="X758" i="1" s="1"/>
  <c r="U758" i="1"/>
  <c r="AA757" i="1"/>
  <c r="Z757" i="1"/>
  <c r="Y757" i="1"/>
  <c r="X757" i="1"/>
  <c r="W757" i="1"/>
  <c r="V757" i="1"/>
  <c r="U757" i="1"/>
  <c r="AB757" i="1" s="1"/>
  <c r="AA756" i="1"/>
  <c r="AB756" i="1" s="1"/>
  <c r="Z756" i="1"/>
  <c r="W756" i="1"/>
  <c r="X756" i="1" s="1"/>
  <c r="V756" i="1"/>
  <c r="AC756" i="1" s="1"/>
  <c r="U756" i="1"/>
  <c r="AA755" i="1"/>
  <c r="Z755" i="1"/>
  <c r="X755" i="1"/>
  <c r="W755" i="1"/>
  <c r="Y755" i="1" s="1"/>
  <c r="U755" i="1"/>
  <c r="AB754" i="1"/>
  <c r="AA754" i="1"/>
  <c r="Z754" i="1"/>
  <c r="Y754" i="1"/>
  <c r="X754" i="1"/>
  <c r="W754" i="1"/>
  <c r="V754" i="1"/>
  <c r="AC754" i="1" s="1"/>
  <c r="U754" i="1"/>
  <c r="AA753" i="1"/>
  <c r="Z753" i="1"/>
  <c r="W753" i="1"/>
  <c r="U753" i="1"/>
  <c r="AB753" i="1" s="1"/>
  <c r="AA752" i="1"/>
  <c r="Z752" i="1"/>
  <c r="X752" i="1"/>
  <c r="W752" i="1"/>
  <c r="Y752" i="1" s="1"/>
  <c r="V752" i="1"/>
  <c r="AC752" i="1" s="1"/>
  <c r="U752" i="1"/>
  <c r="AB751" i="1"/>
  <c r="AA751" i="1"/>
  <c r="Z751" i="1"/>
  <c r="X751" i="1"/>
  <c r="W751" i="1"/>
  <c r="Y751" i="1" s="1"/>
  <c r="V751" i="1"/>
  <c r="AC751" i="1" s="1"/>
  <c r="U751" i="1"/>
  <c r="AA750" i="1"/>
  <c r="Z750" i="1"/>
  <c r="X750" i="1"/>
  <c r="W750" i="1"/>
  <c r="Y750" i="1" s="1"/>
  <c r="U750" i="1"/>
  <c r="AA749" i="1"/>
  <c r="Z749" i="1"/>
  <c r="Y749" i="1"/>
  <c r="X749" i="1"/>
  <c r="W749" i="1"/>
  <c r="AA748" i="1"/>
  <c r="Z748" i="1"/>
  <c r="X748" i="1"/>
  <c r="W748" i="1"/>
  <c r="Y748" i="1" s="1"/>
  <c r="U748" i="1"/>
  <c r="AB747" i="1"/>
  <c r="AA747" i="1"/>
  <c r="Z747" i="1"/>
  <c r="Y747" i="1"/>
  <c r="X747" i="1"/>
  <c r="W747" i="1"/>
  <c r="V747" i="1"/>
  <c r="AC747" i="1" s="1"/>
  <c r="U747" i="1"/>
  <c r="Z746" i="1"/>
  <c r="W746" i="1"/>
  <c r="AA745" i="1"/>
  <c r="AB745" i="1" s="1"/>
  <c r="Z745" i="1"/>
  <c r="Y745" i="1"/>
  <c r="X745" i="1"/>
  <c r="W745" i="1"/>
  <c r="V745" i="1"/>
  <c r="U745" i="1"/>
  <c r="AB744" i="1"/>
  <c r="AA744" i="1"/>
  <c r="Z744" i="1"/>
  <c r="W744" i="1"/>
  <c r="U744" i="1"/>
  <c r="V744" i="1" s="1"/>
  <c r="AC744" i="1" s="1"/>
  <c r="AA743" i="1"/>
  <c r="Z743" i="1"/>
  <c r="X743" i="1"/>
  <c r="W743" i="1"/>
  <c r="Y743" i="1" s="1"/>
  <c r="V743" i="1"/>
  <c r="AC743" i="1" s="1"/>
  <c r="U743" i="1"/>
  <c r="AB742" i="1"/>
  <c r="AA742" i="1"/>
  <c r="Z742" i="1"/>
  <c r="Y742" i="1"/>
  <c r="X742" i="1"/>
  <c r="W742" i="1"/>
  <c r="V742" i="1"/>
  <c r="AC742" i="1" s="1"/>
  <c r="U742" i="1"/>
  <c r="AA741" i="1"/>
  <c r="Z741" i="1"/>
  <c r="Y741" i="1"/>
  <c r="X741" i="1"/>
  <c r="W741" i="1"/>
  <c r="U741" i="1"/>
  <c r="AA740" i="1"/>
  <c r="Z740" i="1"/>
  <c r="Y740" i="1"/>
  <c r="X740" i="1"/>
  <c r="W740" i="1"/>
  <c r="V740" i="1"/>
  <c r="AC740" i="1" s="1"/>
  <c r="U740" i="1"/>
  <c r="AB740" i="1" s="1"/>
  <c r="AB739" i="1"/>
  <c r="AA739" i="1"/>
  <c r="Z739" i="1"/>
  <c r="W739" i="1"/>
  <c r="V739" i="1"/>
  <c r="AC739" i="1" s="1"/>
  <c r="U739" i="1"/>
  <c r="AB738" i="1"/>
  <c r="AA738" i="1"/>
  <c r="Z738" i="1"/>
  <c r="X738" i="1"/>
  <c r="W738" i="1"/>
  <c r="Y738" i="1" s="1"/>
  <c r="U738" i="1"/>
  <c r="V738" i="1" s="1"/>
  <c r="AC738" i="1" s="1"/>
  <c r="AA737" i="1"/>
  <c r="Z737" i="1"/>
  <c r="Y737" i="1"/>
  <c r="X737" i="1"/>
  <c r="W737" i="1"/>
  <c r="V737" i="1"/>
  <c r="AC737" i="1" s="1"/>
  <c r="U737" i="1"/>
  <c r="AA736" i="1"/>
  <c r="Z736" i="1"/>
  <c r="W736" i="1"/>
  <c r="V736" i="1"/>
  <c r="AC736" i="1" s="1"/>
  <c r="U736" i="1"/>
  <c r="AB736" i="1" s="1"/>
  <c r="AA735" i="1"/>
  <c r="Z735" i="1"/>
  <c r="W735" i="1"/>
  <c r="Y735" i="1" s="1"/>
  <c r="U735" i="1"/>
  <c r="AB734" i="1"/>
  <c r="AA734" i="1"/>
  <c r="Z734" i="1"/>
  <c r="Y734" i="1"/>
  <c r="W734" i="1"/>
  <c r="X734" i="1" s="1"/>
  <c r="V734" i="1"/>
  <c r="AC734" i="1" s="1"/>
  <c r="U734" i="1"/>
  <c r="AA733" i="1"/>
  <c r="Z733" i="1"/>
  <c r="Y733" i="1"/>
  <c r="W733" i="1"/>
  <c r="X733" i="1" s="1"/>
  <c r="U733" i="1"/>
  <c r="AA732" i="1"/>
  <c r="Z732" i="1"/>
  <c r="Y732" i="1"/>
  <c r="X732" i="1"/>
  <c r="W732" i="1"/>
  <c r="V732" i="1"/>
  <c r="U732" i="1"/>
  <c r="AA731" i="1"/>
  <c r="AB731" i="1" s="1"/>
  <c r="Z731" i="1"/>
  <c r="Y731" i="1"/>
  <c r="W731" i="1"/>
  <c r="X731" i="1" s="1"/>
  <c r="V731" i="1"/>
  <c r="AC731" i="1" s="1"/>
  <c r="U731" i="1"/>
  <c r="AA730" i="1"/>
  <c r="Z730" i="1"/>
  <c r="X730" i="1"/>
  <c r="W730" i="1"/>
  <c r="Y730" i="1" s="1"/>
  <c r="U730" i="1"/>
  <c r="AB729" i="1"/>
  <c r="AA729" i="1"/>
  <c r="Z729" i="1"/>
  <c r="Y729" i="1"/>
  <c r="X729" i="1"/>
  <c r="W729" i="1"/>
  <c r="V729" i="1"/>
  <c r="AC729" i="1" s="1"/>
  <c r="U729" i="1"/>
  <c r="AB728" i="1"/>
  <c r="AA728" i="1"/>
  <c r="Z728" i="1"/>
  <c r="Y728" i="1"/>
  <c r="W728" i="1"/>
  <c r="X728" i="1" s="1"/>
  <c r="V728" i="1"/>
  <c r="AC728" i="1" s="1"/>
  <c r="U728" i="1"/>
  <c r="AA727" i="1"/>
  <c r="Z727" i="1"/>
  <c r="W727" i="1"/>
  <c r="U727" i="1"/>
  <c r="AA726" i="1"/>
  <c r="AB726" i="1" s="1"/>
  <c r="Z726" i="1"/>
  <c r="Y726" i="1"/>
  <c r="X726" i="1"/>
  <c r="W726" i="1"/>
  <c r="V726" i="1"/>
  <c r="U726" i="1"/>
  <c r="AA725" i="1"/>
  <c r="Z725" i="1"/>
  <c r="Y725" i="1"/>
  <c r="X725" i="1"/>
  <c r="W725" i="1"/>
  <c r="U725" i="1"/>
  <c r="AA724" i="1"/>
  <c r="Z724" i="1"/>
  <c r="Y724" i="1"/>
  <c r="X724" i="1"/>
  <c r="W724" i="1"/>
  <c r="U724" i="1"/>
  <c r="AA723" i="1"/>
  <c r="AB723" i="1" s="1"/>
  <c r="Z723" i="1"/>
  <c r="W723" i="1"/>
  <c r="Y723" i="1" s="1"/>
  <c r="V723" i="1"/>
  <c r="U723" i="1"/>
  <c r="AA722" i="1"/>
  <c r="Z722" i="1"/>
  <c r="Y722" i="1"/>
  <c r="X722" i="1"/>
  <c r="W722" i="1"/>
  <c r="U722" i="1"/>
  <c r="AB721" i="1"/>
  <c r="AA721" i="1"/>
  <c r="Z721" i="1"/>
  <c r="Y721" i="1"/>
  <c r="X721" i="1"/>
  <c r="W721" i="1"/>
  <c r="V721" i="1"/>
  <c r="AC721" i="1" s="1"/>
  <c r="U721" i="1"/>
  <c r="AC720" i="1"/>
  <c r="AA720" i="1"/>
  <c r="AB720" i="1" s="1"/>
  <c r="Z720" i="1"/>
  <c r="Y720" i="1"/>
  <c r="W720" i="1"/>
  <c r="X720" i="1" s="1"/>
  <c r="V720" i="1"/>
  <c r="U720" i="1"/>
  <c r="AA719" i="1"/>
  <c r="AB719" i="1" s="1"/>
  <c r="Z719" i="1"/>
  <c r="X719" i="1"/>
  <c r="W719" i="1"/>
  <c r="Y719" i="1" s="1"/>
  <c r="V719" i="1"/>
  <c r="U719" i="1"/>
  <c r="AA718" i="1"/>
  <c r="Z718" i="1"/>
  <c r="W718" i="1"/>
  <c r="U718" i="1"/>
  <c r="AB717" i="1"/>
  <c r="AA717" i="1"/>
  <c r="Z717" i="1"/>
  <c r="Y717" i="1"/>
  <c r="X717" i="1"/>
  <c r="W717" i="1"/>
  <c r="V717" i="1"/>
  <c r="AC717" i="1" s="1"/>
  <c r="U717" i="1"/>
  <c r="AA716" i="1"/>
  <c r="Z716" i="1"/>
  <c r="Y716" i="1"/>
  <c r="X716" i="1"/>
  <c r="W716" i="1"/>
  <c r="V716" i="1"/>
  <c r="AC716" i="1" s="1"/>
  <c r="U716" i="1"/>
  <c r="AA715" i="1"/>
  <c r="AB715" i="1" s="1"/>
  <c r="Z715" i="1"/>
  <c r="Y715" i="1"/>
  <c r="X715" i="1"/>
  <c r="W715" i="1"/>
  <c r="V715" i="1"/>
  <c r="AC715" i="1" s="1"/>
  <c r="U715" i="1"/>
  <c r="AA714" i="1"/>
  <c r="Z714" i="1"/>
  <c r="Y714" i="1"/>
  <c r="W714" i="1"/>
  <c r="X714" i="1" s="1"/>
  <c r="U714" i="1"/>
  <c r="V714" i="1" s="1"/>
  <c r="AA713" i="1"/>
  <c r="Z713" i="1"/>
  <c r="Y713" i="1"/>
  <c r="X713" i="1"/>
  <c r="W713" i="1"/>
  <c r="U713" i="1"/>
  <c r="AA712" i="1"/>
  <c r="Z712" i="1"/>
  <c r="X712" i="1"/>
  <c r="W712" i="1"/>
  <c r="Y712" i="1" s="1"/>
  <c r="U712" i="1"/>
  <c r="AA711" i="1"/>
  <c r="Z711" i="1"/>
  <c r="Y711" i="1"/>
  <c r="W711" i="1"/>
  <c r="X711" i="1" s="1"/>
  <c r="V711" i="1"/>
  <c r="AC711" i="1" s="1"/>
  <c r="U711" i="1"/>
  <c r="AB711" i="1" s="1"/>
  <c r="AB710" i="1"/>
  <c r="AA710" i="1"/>
  <c r="Z710" i="1"/>
  <c r="W710" i="1"/>
  <c r="V710" i="1"/>
  <c r="AC710" i="1" s="1"/>
  <c r="U710" i="1"/>
  <c r="AA709" i="1"/>
  <c r="Z709" i="1"/>
  <c r="W709" i="1"/>
  <c r="U709" i="1"/>
  <c r="AB708" i="1"/>
  <c r="AA708" i="1"/>
  <c r="Z708" i="1"/>
  <c r="Y708" i="1"/>
  <c r="X708" i="1"/>
  <c r="W708" i="1"/>
  <c r="V708" i="1"/>
  <c r="AC708" i="1" s="1"/>
  <c r="U708" i="1"/>
  <c r="AA707" i="1"/>
  <c r="Z707" i="1"/>
  <c r="W707" i="1"/>
  <c r="U707" i="1"/>
  <c r="AA706" i="1"/>
  <c r="Z706" i="1"/>
  <c r="Y706" i="1"/>
  <c r="X706" i="1"/>
  <c r="W706" i="1"/>
  <c r="V706" i="1"/>
  <c r="AC706" i="1" s="1"/>
  <c r="U706" i="1"/>
  <c r="AA705" i="1"/>
  <c r="Z705" i="1"/>
  <c r="W705" i="1"/>
  <c r="U705" i="1"/>
  <c r="AA704" i="1"/>
  <c r="Z704" i="1"/>
  <c r="W704" i="1"/>
  <c r="U704" i="1"/>
  <c r="AB703" i="1"/>
  <c r="AA703" i="1"/>
  <c r="Z703" i="1"/>
  <c r="X703" i="1"/>
  <c r="W703" i="1"/>
  <c r="Y703" i="1" s="1"/>
  <c r="V703" i="1"/>
  <c r="AC703" i="1" s="1"/>
  <c r="U703" i="1"/>
  <c r="AA702" i="1"/>
  <c r="Z702" i="1"/>
  <c r="Y702" i="1"/>
  <c r="X702" i="1"/>
  <c r="W702" i="1"/>
  <c r="U702" i="1"/>
  <c r="AA701" i="1"/>
  <c r="Z701" i="1"/>
  <c r="Y701" i="1"/>
  <c r="X701" i="1"/>
  <c r="W701" i="1"/>
  <c r="U701" i="1"/>
  <c r="AB700" i="1"/>
  <c r="AA700" i="1"/>
  <c r="Z700" i="1"/>
  <c r="W700" i="1"/>
  <c r="X700" i="1" s="1"/>
  <c r="V700" i="1"/>
  <c r="U700" i="1"/>
  <c r="AA699" i="1"/>
  <c r="Z699" i="1"/>
  <c r="Y699" i="1"/>
  <c r="X699" i="1"/>
  <c r="W699" i="1"/>
  <c r="U699" i="1"/>
  <c r="AA698" i="1"/>
  <c r="Z698" i="1"/>
  <c r="Y698" i="1"/>
  <c r="X698" i="1"/>
  <c r="W698" i="1"/>
  <c r="V698" i="1"/>
  <c r="AC698" i="1" s="1"/>
  <c r="U698" i="1"/>
  <c r="AB698" i="1" s="1"/>
  <c r="AA697" i="1"/>
  <c r="Z697" i="1"/>
  <c r="Y697" i="1"/>
  <c r="W697" i="1"/>
  <c r="X697" i="1" s="1"/>
  <c r="V697" i="1"/>
  <c r="U697" i="1"/>
  <c r="AA696" i="1"/>
  <c r="Z696" i="1"/>
  <c r="X696" i="1"/>
  <c r="W696" i="1"/>
  <c r="Y696" i="1" s="1"/>
  <c r="V696" i="1"/>
  <c r="U696" i="1"/>
  <c r="AA695" i="1"/>
  <c r="AB695" i="1" s="1"/>
  <c r="Z695" i="1"/>
  <c r="Y695" i="1"/>
  <c r="W695" i="1"/>
  <c r="X695" i="1" s="1"/>
  <c r="V695" i="1"/>
  <c r="AC695" i="1" s="1"/>
  <c r="U695" i="1"/>
  <c r="AB694" i="1"/>
  <c r="AA694" i="1"/>
  <c r="Z694" i="1"/>
  <c r="X694" i="1"/>
  <c r="W694" i="1"/>
  <c r="Y694" i="1" s="1"/>
  <c r="U694" i="1"/>
  <c r="V694" i="1" s="1"/>
  <c r="AC694" i="1" s="1"/>
  <c r="AA693" i="1"/>
  <c r="Z693" i="1"/>
  <c r="X693" i="1"/>
  <c r="W693" i="1"/>
  <c r="Y693" i="1" s="1"/>
  <c r="U693" i="1"/>
  <c r="AB692" i="1"/>
  <c r="AA692" i="1"/>
  <c r="Z692" i="1"/>
  <c r="X692" i="1"/>
  <c r="W692" i="1"/>
  <c r="Y692" i="1" s="1"/>
  <c r="V692" i="1"/>
  <c r="U692" i="1"/>
  <c r="AC691" i="1"/>
  <c r="AB691" i="1"/>
  <c r="AA691" i="1"/>
  <c r="Z691" i="1"/>
  <c r="Y691" i="1"/>
  <c r="X691" i="1"/>
  <c r="W691" i="1"/>
  <c r="U691" i="1"/>
  <c r="V691" i="1" s="1"/>
  <c r="AC690" i="1"/>
  <c r="AB690" i="1"/>
  <c r="AA690" i="1"/>
  <c r="Z690" i="1"/>
  <c r="Y690" i="1"/>
  <c r="X690" i="1"/>
  <c r="W690" i="1"/>
  <c r="U690" i="1"/>
  <c r="V690" i="1" s="1"/>
  <c r="AC689" i="1"/>
  <c r="AB689" i="1"/>
  <c r="AA689" i="1"/>
  <c r="Z689" i="1"/>
  <c r="Y689" i="1"/>
  <c r="W689" i="1"/>
  <c r="X689" i="1" s="1"/>
  <c r="U689" i="1"/>
  <c r="V689" i="1" s="1"/>
  <c r="AC688" i="1"/>
  <c r="AB688" i="1"/>
  <c r="AA688" i="1"/>
  <c r="Z688" i="1"/>
  <c r="X688" i="1"/>
  <c r="W688" i="1"/>
  <c r="Y688" i="1" s="1"/>
  <c r="U688" i="1"/>
  <c r="V688" i="1" s="1"/>
  <c r="AB687" i="1"/>
  <c r="AA687" i="1"/>
  <c r="Z687" i="1"/>
  <c r="Y687" i="1"/>
  <c r="X687" i="1"/>
  <c r="W687" i="1"/>
  <c r="V687" i="1"/>
  <c r="AC687" i="1" s="1"/>
  <c r="U687" i="1"/>
  <c r="AA686" i="1"/>
  <c r="Z686" i="1"/>
  <c r="W686" i="1"/>
  <c r="V686" i="1"/>
  <c r="AC686" i="1" s="1"/>
  <c r="U686" i="1"/>
  <c r="AB686" i="1" s="1"/>
  <c r="AA685" i="1"/>
  <c r="Z685" i="1"/>
  <c r="W685" i="1"/>
  <c r="U685" i="1"/>
  <c r="AA684" i="1"/>
  <c r="AB684" i="1" s="1"/>
  <c r="Z684" i="1"/>
  <c r="W684" i="1"/>
  <c r="V684" i="1"/>
  <c r="U684" i="1"/>
  <c r="AB683" i="1"/>
  <c r="AA683" i="1"/>
  <c r="Z683" i="1"/>
  <c r="W683" i="1"/>
  <c r="U683" i="1"/>
  <c r="V683" i="1" s="1"/>
  <c r="AC683" i="1" s="1"/>
  <c r="AB682" i="1"/>
  <c r="AA682" i="1"/>
  <c r="Z682" i="1"/>
  <c r="Y682" i="1"/>
  <c r="X682" i="1"/>
  <c r="W682" i="1"/>
  <c r="V682" i="1"/>
  <c r="AC682" i="1" s="1"/>
  <c r="U682" i="1"/>
  <c r="AB681" i="1"/>
  <c r="AA681" i="1"/>
  <c r="Z681" i="1"/>
  <c r="Y681" i="1"/>
  <c r="W681" i="1"/>
  <c r="X681" i="1" s="1"/>
  <c r="V681" i="1"/>
  <c r="AC681" i="1" s="1"/>
  <c r="U681" i="1"/>
  <c r="AB680" i="1"/>
  <c r="AA680" i="1"/>
  <c r="Z680" i="1"/>
  <c r="X680" i="1"/>
  <c r="W680" i="1"/>
  <c r="Y680" i="1" s="1"/>
  <c r="V680" i="1"/>
  <c r="AC680" i="1" s="1"/>
  <c r="U680" i="1"/>
  <c r="AA679" i="1"/>
  <c r="Z679" i="1"/>
  <c r="Y679" i="1"/>
  <c r="X679" i="1"/>
  <c r="W679" i="1"/>
  <c r="U679" i="1"/>
  <c r="AA678" i="1"/>
  <c r="Z678" i="1"/>
  <c r="Y678" i="1"/>
  <c r="X678" i="1"/>
  <c r="W678" i="1"/>
  <c r="V678" i="1"/>
  <c r="AC678" i="1" s="1"/>
  <c r="U678" i="1"/>
  <c r="AB678" i="1" s="1"/>
  <c r="Z677" i="1"/>
  <c r="W677" i="1"/>
  <c r="Z676" i="1"/>
  <c r="W676" i="1"/>
  <c r="X676" i="1" s="1"/>
  <c r="Z675" i="1"/>
  <c r="X675" i="1"/>
  <c r="W675" i="1"/>
  <c r="Y675" i="1" s="1"/>
  <c r="AC674" i="1"/>
  <c r="AB674" i="1"/>
  <c r="AA674" i="1"/>
  <c r="Z674" i="1"/>
  <c r="Y674" i="1"/>
  <c r="W674" i="1"/>
  <c r="X674" i="1" s="1"/>
  <c r="V674" i="1"/>
  <c r="U674" i="1"/>
  <c r="AC673" i="1"/>
  <c r="AB673" i="1"/>
  <c r="AA673" i="1"/>
  <c r="Z673" i="1"/>
  <c r="X673" i="1"/>
  <c r="W673" i="1"/>
  <c r="Y673" i="1" s="1"/>
  <c r="V673" i="1"/>
  <c r="U673" i="1"/>
  <c r="AC672" i="1"/>
  <c r="AA672" i="1"/>
  <c r="Z672" i="1"/>
  <c r="Y672" i="1"/>
  <c r="X672" i="1"/>
  <c r="W672" i="1"/>
  <c r="U672" i="1"/>
  <c r="V672" i="1" s="1"/>
  <c r="AA671" i="1"/>
  <c r="Z671" i="1"/>
  <c r="Y671" i="1"/>
  <c r="X671" i="1"/>
  <c r="W671" i="1"/>
  <c r="U671" i="1"/>
  <c r="AA670" i="1"/>
  <c r="Z670" i="1"/>
  <c r="Y670" i="1"/>
  <c r="X670" i="1"/>
  <c r="W670" i="1"/>
  <c r="U670" i="1"/>
  <c r="AB669" i="1"/>
  <c r="AA669" i="1"/>
  <c r="Z669" i="1"/>
  <c r="Y669" i="1"/>
  <c r="X669" i="1"/>
  <c r="W669" i="1"/>
  <c r="V669" i="1"/>
  <c r="AC669" i="1" s="1"/>
  <c r="U669" i="1"/>
  <c r="AA668" i="1"/>
  <c r="Z668" i="1"/>
  <c r="W668" i="1"/>
  <c r="U668" i="1"/>
  <c r="AA667" i="1"/>
  <c r="Z667" i="1"/>
  <c r="Y667" i="1"/>
  <c r="X667" i="1"/>
  <c r="W667" i="1"/>
  <c r="U667" i="1"/>
  <c r="AB667" i="1" s="1"/>
  <c r="AB666" i="1"/>
  <c r="AA666" i="1"/>
  <c r="Z666" i="1"/>
  <c r="W666" i="1"/>
  <c r="V666" i="1"/>
  <c r="AC666" i="1" s="1"/>
  <c r="U666" i="1"/>
  <c r="AB665" i="1"/>
  <c r="AA665" i="1"/>
  <c r="Z665" i="1"/>
  <c r="W665" i="1"/>
  <c r="V665" i="1"/>
  <c r="AC665" i="1" s="1"/>
  <c r="U665" i="1"/>
  <c r="AA664" i="1"/>
  <c r="Z664" i="1"/>
  <c r="W664" i="1"/>
  <c r="X664" i="1" s="1"/>
  <c r="U664" i="1"/>
  <c r="AA663" i="1"/>
  <c r="Z663" i="1"/>
  <c r="Y663" i="1"/>
  <c r="X663" i="1"/>
  <c r="W663" i="1"/>
  <c r="V663" i="1"/>
  <c r="AC663" i="1" s="1"/>
  <c r="U663" i="1"/>
  <c r="AB663" i="1" s="1"/>
  <c r="AA662" i="1"/>
  <c r="Z662" i="1"/>
  <c r="W662" i="1"/>
  <c r="X662" i="1" s="1"/>
  <c r="V662" i="1"/>
  <c r="AC662" i="1" s="1"/>
  <c r="U662" i="1"/>
  <c r="AB662" i="1" s="1"/>
  <c r="AA661" i="1"/>
  <c r="AB661" i="1" s="1"/>
  <c r="Z661" i="1"/>
  <c r="X661" i="1"/>
  <c r="W661" i="1"/>
  <c r="Y661" i="1" s="1"/>
  <c r="U661" i="1"/>
  <c r="V661" i="1" s="1"/>
  <c r="AC660" i="1"/>
  <c r="AB660" i="1"/>
  <c r="AA660" i="1"/>
  <c r="Z660" i="1"/>
  <c r="Y660" i="1"/>
  <c r="X660" i="1"/>
  <c r="W660" i="1"/>
  <c r="U660" i="1"/>
  <c r="V660" i="1" s="1"/>
  <c r="AB659" i="1"/>
  <c r="AA659" i="1"/>
  <c r="Z659" i="1"/>
  <c r="Y659" i="1"/>
  <c r="W659" i="1"/>
  <c r="X659" i="1" s="1"/>
  <c r="U659" i="1"/>
  <c r="V659" i="1" s="1"/>
  <c r="AC659" i="1" s="1"/>
  <c r="Z658" i="1"/>
  <c r="X658" i="1"/>
  <c r="W658" i="1"/>
  <c r="Y658" i="1" s="1"/>
  <c r="AA657" i="1"/>
  <c r="Z657" i="1"/>
  <c r="Y657" i="1"/>
  <c r="W657" i="1"/>
  <c r="X657" i="1" s="1"/>
  <c r="V657" i="1"/>
  <c r="U657" i="1"/>
  <c r="AB656" i="1"/>
  <c r="AA656" i="1"/>
  <c r="Z656" i="1"/>
  <c r="X656" i="1"/>
  <c r="W656" i="1"/>
  <c r="Y656" i="1" s="1"/>
  <c r="U656" i="1"/>
  <c r="V656" i="1" s="1"/>
  <c r="AA655" i="1"/>
  <c r="Z655" i="1"/>
  <c r="Y655" i="1"/>
  <c r="X655" i="1"/>
  <c r="W655" i="1"/>
  <c r="U655" i="1"/>
  <c r="V655" i="1" s="1"/>
  <c r="AB654" i="1"/>
  <c r="AA654" i="1"/>
  <c r="Z654" i="1"/>
  <c r="Y654" i="1"/>
  <c r="X654" i="1"/>
  <c r="W654" i="1"/>
  <c r="U654" i="1"/>
  <c r="V654" i="1" s="1"/>
  <c r="AC654" i="1" s="1"/>
  <c r="AA653" i="1"/>
  <c r="AC653" i="1" s="1"/>
  <c r="Z653" i="1"/>
  <c r="W653" i="1"/>
  <c r="V653" i="1"/>
  <c r="U653" i="1"/>
  <c r="AB652" i="1"/>
  <c r="AA652" i="1"/>
  <c r="Z652" i="1"/>
  <c r="X652" i="1"/>
  <c r="W652" i="1"/>
  <c r="Y652" i="1" s="1"/>
  <c r="V652" i="1"/>
  <c r="AC652" i="1" s="1"/>
  <c r="U652" i="1"/>
  <c r="AA651" i="1"/>
  <c r="Z651" i="1"/>
  <c r="Y651" i="1"/>
  <c r="X651" i="1"/>
  <c r="W651" i="1"/>
  <c r="U651" i="1"/>
  <c r="AA650" i="1"/>
  <c r="Z650" i="1"/>
  <c r="Y650" i="1"/>
  <c r="X650" i="1"/>
  <c r="W650" i="1"/>
  <c r="V650" i="1"/>
  <c r="AC650" i="1" s="1"/>
  <c r="U650" i="1"/>
  <c r="AB650" i="1" s="1"/>
  <c r="AA649" i="1"/>
  <c r="AB649" i="1" s="1"/>
  <c r="Z649" i="1"/>
  <c r="Y649" i="1"/>
  <c r="W649" i="1"/>
  <c r="X649" i="1" s="1"/>
  <c r="V649" i="1"/>
  <c r="U649" i="1"/>
  <c r="AB648" i="1"/>
  <c r="AA648" i="1"/>
  <c r="Z648" i="1"/>
  <c r="X648" i="1"/>
  <c r="W648" i="1"/>
  <c r="Y648" i="1" s="1"/>
  <c r="U648" i="1"/>
  <c r="V648" i="1" s="1"/>
  <c r="AA647" i="1"/>
  <c r="Z647" i="1"/>
  <c r="Y647" i="1"/>
  <c r="X647" i="1"/>
  <c r="W647" i="1"/>
  <c r="U647" i="1"/>
  <c r="V647" i="1" s="1"/>
  <c r="AC646" i="1"/>
  <c r="AB646" i="1"/>
  <c r="AA646" i="1"/>
  <c r="Z646" i="1"/>
  <c r="Y646" i="1"/>
  <c r="W646" i="1"/>
  <c r="X646" i="1" s="1"/>
  <c r="V646" i="1"/>
  <c r="U646" i="1"/>
  <c r="AA645" i="1"/>
  <c r="Z645" i="1"/>
  <c r="W645" i="1"/>
  <c r="V645" i="1"/>
  <c r="AC645" i="1" s="1"/>
  <c r="U645" i="1"/>
  <c r="AB644" i="1"/>
  <c r="AA644" i="1"/>
  <c r="Z644" i="1"/>
  <c r="W644" i="1"/>
  <c r="Y644" i="1" s="1"/>
  <c r="V644" i="1"/>
  <c r="AC644" i="1" s="1"/>
  <c r="U644" i="1"/>
  <c r="AA643" i="1"/>
  <c r="Z643" i="1"/>
  <c r="X643" i="1"/>
  <c r="W643" i="1"/>
  <c r="Y643" i="1" s="1"/>
  <c r="U643" i="1"/>
  <c r="AA642" i="1"/>
  <c r="Z642" i="1"/>
  <c r="Y642" i="1"/>
  <c r="X642" i="1"/>
  <c r="W642" i="1"/>
  <c r="V642" i="1"/>
  <c r="AC642" i="1" s="1"/>
  <c r="U642" i="1"/>
  <c r="AB642" i="1" s="1"/>
  <c r="AA641" i="1"/>
  <c r="Z641" i="1"/>
  <c r="Y641" i="1"/>
  <c r="W641" i="1"/>
  <c r="X641" i="1" s="1"/>
  <c r="V641" i="1"/>
  <c r="U641" i="1"/>
  <c r="AB641" i="1" s="1"/>
  <c r="AB640" i="1"/>
  <c r="AA640" i="1"/>
  <c r="Z640" i="1"/>
  <c r="X640" i="1"/>
  <c r="W640" i="1"/>
  <c r="Y640" i="1" s="1"/>
  <c r="U640" i="1"/>
  <c r="V640" i="1" s="1"/>
  <c r="AA639" i="1"/>
  <c r="AB639" i="1" s="1"/>
  <c r="Z639" i="1"/>
  <c r="Y639" i="1"/>
  <c r="X639" i="1"/>
  <c r="W639" i="1"/>
  <c r="U639" i="1"/>
  <c r="V639" i="1" s="1"/>
  <c r="AB638" i="1"/>
  <c r="AA638" i="1"/>
  <c r="Z638" i="1"/>
  <c r="Y638" i="1"/>
  <c r="W638" i="1"/>
  <c r="X638" i="1" s="1"/>
  <c r="V638" i="1"/>
  <c r="AC638" i="1" s="1"/>
  <c r="U638" i="1"/>
  <c r="AA637" i="1"/>
  <c r="Z637" i="1"/>
  <c r="W637" i="1"/>
  <c r="U637" i="1"/>
  <c r="AB636" i="1"/>
  <c r="AA636" i="1"/>
  <c r="Z636" i="1"/>
  <c r="W636" i="1"/>
  <c r="V636" i="1"/>
  <c r="AC636" i="1" s="1"/>
  <c r="U636" i="1"/>
  <c r="AA635" i="1"/>
  <c r="Z635" i="1"/>
  <c r="W635" i="1"/>
  <c r="U635" i="1"/>
  <c r="AA634" i="1"/>
  <c r="Z634" i="1"/>
  <c r="Y634" i="1"/>
  <c r="X634" i="1"/>
  <c r="W634" i="1"/>
  <c r="V634" i="1"/>
  <c r="AC634" i="1" s="1"/>
  <c r="U634" i="1"/>
  <c r="AB634" i="1" s="1"/>
  <c r="AA633" i="1"/>
  <c r="AB633" i="1" s="1"/>
  <c r="Z633" i="1"/>
  <c r="Y633" i="1"/>
  <c r="W633" i="1"/>
  <c r="X633" i="1" s="1"/>
  <c r="V633" i="1"/>
  <c r="U633" i="1"/>
  <c r="AA632" i="1"/>
  <c r="AB632" i="1" s="1"/>
  <c r="Z632" i="1"/>
  <c r="X632" i="1"/>
  <c r="W632" i="1"/>
  <c r="Y632" i="1" s="1"/>
  <c r="U632" i="1"/>
  <c r="V632" i="1" s="1"/>
  <c r="AA631" i="1"/>
  <c r="Z631" i="1"/>
  <c r="Y631" i="1"/>
  <c r="X631" i="1"/>
  <c r="W631" i="1"/>
  <c r="U631" i="1"/>
  <c r="V631" i="1" s="1"/>
  <c r="AC631" i="1" s="1"/>
  <c r="AA630" i="1"/>
  <c r="Z630" i="1"/>
  <c r="Y630" i="1"/>
  <c r="W630" i="1"/>
  <c r="X630" i="1" s="1"/>
  <c r="V630" i="1"/>
  <c r="AC630" i="1" s="1"/>
  <c r="U630" i="1"/>
  <c r="AB630" i="1" s="1"/>
  <c r="AA629" i="1"/>
  <c r="Z629" i="1"/>
  <c r="W629" i="1"/>
  <c r="V629" i="1"/>
  <c r="AC629" i="1" s="1"/>
  <c r="U629" i="1"/>
  <c r="AB629" i="1" s="1"/>
  <c r="J629" i="1"/>
  <c r="AA628" i="1"/>
  <c r="Z628" i="1"/>
  <c r="X628" i="1"/>
  <c r="W628" i="1"/>
  <c r="Y628" i="1" s="1"/>
  <c r="U628" i="1"/>
  <c r="J628" i="1"/>
  <c r="AA627" i="1"/>
  <c r="Z627" i="1"/>
  <c r="W627" i="1"/>
  <c r="X627" i="1" s="1"/>
  <c r="V627" i="1"/>
  <c r="AC627" i="1" s="1"/>
  <c r="U627" i="1"/>
  <c r="AB627" i="1" s="1"/>
  <c r="J627" i="1"/>
  <c r="AA626" i="1"/>
  <c r="Z626" i="1"/>
  <c r="Y626" i="1"/>
  <c r="W626" i="1"/>
  <c r="X626" i="1" s="1"/>
  <c r="U626" i="1"/>
  <c r="J626" i="1"/>
  <c r="AA625" i="1"/>
  <c r="Z625" i="1"/>
  <c r="W625" i="1"/>
  <c r="U625" i="1"/>
  <c r="J625" i="1"/>
  <c r="AA624" i="1"/>
  <c r="Z624" i="1"/>
  <c r="W624" i="1"/>
  <c r="Y624" i="1" s="1"/>
  <c r="U624" i="1"/>
  <c r="J624" i="1"/>
  <c r="AA623" i="1"/>
  <c r="Z623" i="1"/>
  <c r="Y623" i="1"/>
  <c r="W623" i="1"/>
  <c r="X623" i="1" s="1"/>
  <c r="U623" i="1"/>
  <c r="V623" i="1" s="1"/>
  <c r="AA622" i="1"/>
  <c r="AB622" i="1" s="1"/>
  <c r="Z622" i="1"/>
  <c r="X622" i="1"/>
  <c r="W622" i="1"/>
  <c r="Y622" i="1" s="1"/>
  <c r="V622" i="1"/>
  <c r="U622" i="1"/>
  <c r="AA621" i="1"/>
  <c r="AB621" i="1" s="1"/>
  <c r="Z621" i="1"/>
  <c r="Y621" i="1"/>
  <c r="W621" i="1"/>
  <c r="X621" i="1" s="1"/>
  <c r="U621" i="1"/>
  <c r="V621" i="1" s="1"/>
  <c r="AA620" i="1"/>
  <c r="Z620" i="1"/>
  <c r="Y620" i="1"/>
  <c r="X620" i="1"/>
  <c r="W620" i="1"/>
  <c r="V620" i="1"/>
  <c r="AC620" i="1" s="1"/>
  <c r="U620" i="1"/>
  <c r="AB620" i="1" s="1"/>
  <c r="AA619" i="1"/>
  <c r="Z619" i="1"/>
  <c r="W619" i="1"/>
  <c r="U619" i="1"/>
  <c r="AB618" i="1"/>
  <c r="AA618" i="1"/>
  <c r="Z618" i="1"/>
  <c r="W618" i="1"/>
  <c r="V618" i="1"/>
  <c r="AC618" i="1" s="1"/>
  <c r="U618" i="1"/>
  <c r="AA617" i="1"/>
  <c r="Z617" i="1"/>
  <c r="W617" i="1"/>
  <c r="U617" i="1"/>
  <c r="AB616" i="1"/>
  <c r="AA616" i="1"/>
  <c r="Z616" i="1"/>
  <c r="Y616" i="1"/>
  <c r="X616" i="1"/>
  <c r="W616" i="1"/>
  <c r="V616" i="1"/>
  <c r="AC616" i="1" s="1"/>
  <c r="U616" i="1"/>
  <c r="AA615" i="1"/>
  <c r="Z615" i="1"/>
  <c r="Y615" i="1"/>
  <c r="W615" i="1"/>
  <c r="X615" i="1" s="1"/>
  <c r="U615" i="1"/>
  <c r="V615" i="1" s="1"/>
  <c r="AA614" i="1"/>
  <c r="AB614" i="1" s="1"/>
  <c r="Z614" i="1"/>
  <c r="X614" i="1"/>
  <c r="W614" i="1"/>
  <c r="Y614" i="1" s="1"/>
  <c r="U614" i="1"/>
  <c r="V614" i="1" s="1"/>
  <c r="AA613" i="1"/>
  <c r="Z613" i="1"/>
  <c r="Y613" i="1"/>
  <c r="W613" i="1"/>
  <c r="U613" i="1"/>
  <c r="Q613" i="1"/>
  <c r="N613" i="1"/>
  <c r="K613" i="1"/>
  <c r="I613" i="1"/>
  <c r="AB612" i="1"/>
  <c r="AA612" i="1"/>
  <c r="Z612" i="1"/>
  <c r="Y612" i="1"/>
  <c r="X612" i="1"/>
  <c r="W612" i="1"/>
  <c r="V612" i="1"/>
  <c r="AC612" i="1" s="1"/>
  <c r="U612" i="1"/>
  <c r="AA611" i="1"/>
  <c r="Z611" i="1"/>
  <c r="W611" i="1"/>
  <c r="U611" i="1"/>
  <c r="V611" i="1" s="1"/>
  <c r="AB610" i="1"/>
  <c r="AA610" i="1"/>
  <c r="Z610" i="1"/>
  <c r="X610" i="1"/>
  <c r="W610" i="1"/>
  <c r="Y610" i="1" s="1"/>
  <c r="V610" i="1"/>
  <c r="AC610" i="1" s="1"/>
  <c r="U610" i="1"/>
  <c r="AA609" i="1"/>
  <c r="Z609" i="1"/>
  <c r="Y609" i="1"/>
  <c r="W609" i="1"/>
  <c r="X609" i="1" s="1"/>
  <c r="U609" i="1"/>
  <c r="V609" i="1" s="1"/>
  <c r="AC609" i="1" s="1"/>
  <c r="AA608" i="1"/>
  <c r="Z608" i="1"/>
  <c r="X608" i="1"/>
  <c r="W608" i="1"/>
  <c r="Y608" i="1" s="1"/>
  <c r="V608" i="1"/>
  <c r="AC608" i="1" s="1"/>
  <c r="U608" i="1"/>
  <c r="AB608" i="1" s="1"/>
  <c r="AA607" i="1"/>
  <c r="Z607" i="1"/>
  <c r="W607" i="1"/>
  <c r="U607" i="1"/>
  <c r="AB606" i="1"/>
  <c r="AA606" i="1"/>
  <c r="Z606" i="1"/>
  <c r="X606" i="1"/>
  <c r="W606" i="1"/>
  <c r="Y606" i="1" s="1"/>
  <c r="V606" i="1"/>
  <c r="AC606" i="1" s="1"/>
  <c r="U606" i="1"/>
  <c r="AA605" i="1"/>
  <c r="Z605" i="1"/>
  <c r="Y605" i="1"/>
  <c r="X605" i="1"/>
  <c r="W605" i="1"/>
  <c r="U605" i="1"/>
  <c r="Z604" i="1"/>
  <c r="W604" i="1"/>
  <c r="AA603" i="1"/>
  <c r="Z603" i="1"/>
  <c r="X603" i="1"/>
  <c r="W603" i="1"/>
  <c r="Y603" i="1" s="1"/>
  <c r="AA602" i="1"/>
  <c r="Z602" i="1"/>
  <c r="X602" i="1"/>
  <c r="W602" i="1"/>
  <c r="Y602" i="1" s="1"/>
  <c r="AB601" i="1"/>
  <c r="AA601" i="1"/>
  <c r="Z601" i="1"/>
  <c r="X601" i="1"/>
  <c r="W601" i="1"/>
  <c r="Y601" i="1" s="1"/>
  <c r="V601" i="1"/>
  <c r="AC601" i="1" s="1"/>
  <c r="U601" i="1"/>
  <c r="AA600" i="1"/>
  <c r="Z600" i="1"/>
  <c r="Y600" i="1"/>
  <c r="X600" i="1"/>
  <c r="W600" i="1"/>
  <c r="U600" i="1"/>
  <c r="AA599" i="1"/>
  <c r="Z599" i="1"/>
  <c r="Y599" i="1"/>
  <c r="X599" i="1"/>
  <c r="W599" i="1"/>
  <c r="V599" i="1"/>
  <c r="AC599" i="1" s="1"/>
  <c r="U599" i="1"/>
  <c r="AB599" i="1" s="1"/>
  <c r="AA598" i="1"/>
  <c r="Z598" i="1"/>
  <c r="Y598" i="1"/>
  <c r="W598" i="1"/>
  <c r="X598" i="1" s="1"/>
  <c r="U598" i="1"/>
  <c r="V598" i="1" s="1"/>
  <c r="AC598" i="1" s="1"/>
  <c r="AB597" i="1"/>
  <c r="AA597" i="1"/>
  <c r="Z597" i="1"/>
  <c r="X597" i="1"/>
  <c r="W597" i="1"/>
  <c r="Y597" i="1" s="1"/>
  <c r="U597" i="1"/>
  <c r="V597" i="1" s="1"/>
  <c r="AC597" i="1" s="1"/>
  <c r="AA596" i="1"/>
  <c r="Z596" i="1"/>
  <c r="Y596" i="1"/>
  <c r="X596" i="1"/>
  <c r="W596" i="1"/>
  <c r="U596" i="1"/>
  <c r="AA595" i="1"/>
  <c r="Z595" i="1"/>
  <c r="W595" i="1"/>
  <c r="Y595" i="1" s="1"/>
  <c r="U595" i="1"/>
  <c r="AC594" i="1"/>
  <c r="AA594" i="1"/>
  <c r="Z594" i="1"/>
  <c r="W594" i="1"/>
  <c r="V594" i="1"/>
  <c r="U594" i="1"/>
  <c r="AB593" i="1"/>
  <c r="AA593" i="1"/>
  <c r="Z593" i="1"/>
  <c r="W593" i="1"/>
  <c r="V593" i="1"/>
  <c r="AC593" i="1" s="1"/>
  <c r="U593" i="1"/>
  <c r="AA592" i="1"/>
  <c r="Z592" i="1"/>
  <c r="W592" i="1"/>
  <c r="U592" i="1"/>
  <c r="AA591" i="1"/>
  <c r="Z591" i="1"/>
  <c r="Y591" i="1"/>
  <c r="X591" i="1"/>
  <c r="W591" i="1"/>
  <c r="V591" i="1"/>
  <c r="AC591" i="1" s="1"/>
  <c r="U591" i="1"/>
  <c r="AB591" i="1" s="1"/>
  <c r="AA590" i="1"/>
  <c r="Z590" i="1"/>
  <c r="W590" i="1"/>
  <c r="X590" i="1" s="1"/>
  <c r="U590" i="1"/>
  <c r="V590" i="1" s="1"/>
  <c r="AC590" i="1" s="1"/>
  <c r="AB589" i="1"/>
  <c r="AA589" i="1"/>
  <c r="Z589" i="1"/>
  <c r="X589" i="1"/>
  <c r="W589" i="1"/>
  <c r="Y589" i="1" s="1"/>
  <c r="U589" i="1"/>
  <c r="V589" i="1" s="1"/>
  <c r="AB588" i="1"/>
  <c r="AA588" i="1"/>
  <c r="AC588" i="1" s="1"/>
  <c r="Z588" i="1"/>
  <c r="Y588" i="1"/>
  <c r="X588" i="1"/>
  <c r="W588" i="1"/>
  <c r="U588" i="1"/>
  <c r="V588" i="1" s="1"/>
  <c r="AB587" i="1"/>
  <c r="AA587" i="1"/>
  <c r="Z587" i="1"/>
  <c r="Y587" i="1"/>
  <c r="X587" i="1"/>
  <c r="W587" i="1"/>
  <c r="U587" i="1"/>
  <c r="V587" i="1" s="1"/>
  <c r="AC587" i="1" s="1"/>
  <c r="AA586" i="1"/>
  <c r="Z586" i="1"/>
  <c r="Y586" i="1"/>
  <c r="X586" i="1"/>
  <c r="W586" i="1"/>
  <c r="U586" i="1"/>
  <c r="AB585" i="1"/>
  <c r="AA585" i="1"/>
  <c r="Z585" i="1"/>
  <c r="Y585" i="1"/>
  <c r="W585" i="1"/>
  <c r="X585" i="1" s="1"/>
  <c r="V585" i="1"/>
  <c r="U585" i="1"/>
  <c r="AC584" i="1"/>
  <c r="AB584" i="1"/>
  <c r="AA584" i="1"/>
  <c r="Z584" i="1"/>
  <c r="Y584" i="1"/>
  <c r="X584" i="1"/>
  <c r="W584" i="1"/>
  <c r="U584" i="1"/>
  <c r="V584" i="1" s="1"/>
  <c r="AC583" i="1"/>
  <c r="AB583" i="1"/>
  <c r="AA583" i="1"/>
  <c r="Z583" i="1"/>
  <c r="Y583" i="1"/>
  <c r="X583" i="1"/>
  <c r="W583" i="1"/>
  <c r="U583" i="1"/>
  <c r="V583" i="1" s="1"/>
  <c r="AA582" i="1"/>
  <c r="Z582" i="1"/>
  <c r="Y582" i="1"/>
  <c r="W582" i="1"/>
  <c r="X582" i="1" s="1"/>
  <c r="U582" i="1"/>
  <c r="AA581" i="1"/>
  <c r="Z581" i="1"/>
  <c r="X581" i="1"/>
  <c r="W581" i="1"/>
  <c r="Y581" i="1" s="1"/>
  <c r="U581" i="1"/>
  <c r="AA580" i="1"/>
  <c r="Z580" i="1"/>
  <c r="W580" i="1"/>
  <c r="Y580" i="1" s="1"/>
  <c r="U580" i="1"/>
  <c r="AB579" i="1"/>
  <c r="AA579" i="1"/>
  <c r="Z579" i="1"/>
  <c r="X579" i="1"/>
  <c r="W579" i="1"/>
  <c r="Y579" i="1" s="1"/>
  <c r="V579" i="1"/>
  <c r="AC579" i="1" s="1"/>
  <c r="U579" i="1"/>
  <c r="AC578" i="1"/>
  <c r="AA578" i="1"/>
  <c r="Z578" i="1"/>
  <c r="X578" i="1"/>
  <c r="W578" i="1"/>
  <c r="Y578" i="1" s="1"/>
  <c r="V578" i="1"/>
  <c r="U578" i="1"/>
  <c r="AB578" i="1" s="1"/>
  <c r="AB577" i="1"/>
  <c r="AA577" i="1"/>
  <c r="Z577" i="1"/>
  <c r="X577" i="1"/>
  <c r="W577" i="1"/>
  <c r="Y577" i="1" s="1"/>
  <c r="V577" i="1"/>
  <c r="AC577" i="1" s="1"/>
  <c r="U577" i="1"/>
  <c r="AC576" i="1"/>
  <c r="AA576" i="1"/>
  <c r="Z576" i="1"/>
  <c r="W576" i="1"/>
  <c r="Y576" i="1" s="1"/>
  <c r="U576" i="1"/>
  <c r="V576" i="1" s="1"/>
  <c r="AA575" i="1"/>
  <c r="Z575" i="1"/>
  <c r="Y575" i="1"/>
  <c r="X575" i="1"/>
  <c r="W575" i="1"/>
  <c r="U575" i="1"/>
  <c r="AA574" i="1"/>
  <c r="Z574" i="1"/>
  <c r="W574" i="1"/>
  <c r="X574" i="1" s="1"/>
  <c r="U574" i="1"/>
  <c r="AA573" i="1"/>
  <c r="Z573" i="1"/>
  <c r="X573" i="1"/>
  <c r="W573" i="1"/>
  <c r="Y573" i="1" s="1"/>
  <c r="U573" i="1"/>
  <c r="AB572" i="1"/>
  <c r="AA572" i="1"/>
  <c r="Z572" i="1"/>
  <c r="Y572" i="1"/>
  <c r="X572" i="1"/>
  <c r="W572" i="1"/>
  <c r="V572" i="1"/>
  <c r="AC572" i="1" s="1"/>
  <c r="U572" i="1"/>
  <c r="AA571" i="1"/>
  <c r="Z571" i="1"/>
  <c r="Y571" i="1"/>
  <c r="W571" i="1"/>
  <c r="X571" i="1" s="1"/>
  <c r="U571" i="1"/>
  <c r="V571" i="1" s="1"/>
  <c r="AC571" i="1" s="1"/>
  <c r="AA570" i="1"/>
  <c r="Z570" i="1"/>
  <c r="W570" i="1"/>
  <c r="X570" i="1" s="1"/>
  <c r="U570" i="1"/>
  <c r="AA569" i="1"/>
  <c r="AB569" i="1" s="1"/>
  <c r="Z569" i="1"/>
  <c r="W569" i="1"/>
  <c r="X569" i="1" s="1"/>
  <c r="V569" i="1"/>
  <c r="U569" i="1"/>
  <c r="AA568" i="1"/>
  <c r="AB568" i="1" s="1"/>
  <c r="Z568" i="1"/>
  <c r="Y568" i="1"/>
  <c r="X568" i="1"/>
  <c r="W568" i="1"/>
  <c r="U568" i="1"/>
  <c r="V568" i="1" s="1"/>
  <c r="AA567" i="1"/>
  <c r="AB567" i="1" s="1"/>
  <c r="Z567" i="1"/>
  <c r="Y567" i="1"/>
  <c r="X567" i="1"/>
  <c r="W567" i="1"/>
  <c r="V567" i="1"/>
  <c r="AC567" i="1" s="1"/>
  <c r="U567" i="1"/>
  <c r="AA566" i="1"/>
  <c r="AC566" i="1" s="1"/>
  <c r="Z566" i="1"/>
  <c r="Y566" i="1"/>
  <c r="W566" i="1"/>
  <c r="X566" i="1" s="1"/>
  <c r="V566" i="1"/>
  <c r="U566" i="1"/>
  <c r="AA565" i="1"/>
  <c r="AC565" i="1" s="1"/>
  <c r="Z565" i="1"/>
  <c r="X565" i="1"/>
  <c r="W565" i="1"/>
  <c r="Y565" i="1" s="1"/>
  <c r="V565" i="1"/>
  <c r="U565" i="1"/>
  <c r="J565" i="1"/>
  <c r="AB564" i="1"/>
  <c r="AA564" i="1"/>
  <c r="Z564" i="1"/>
  <c r="Y564" i="1"/>
  <c r="X564" i="1"/>
  <c r="W564" i="1"/>
  <c r="U564" i="1"/>
  <c r="V564" i="1" s="1"/>
  <c r="AC564" i="1" s="1"/>
  <c r="J564" i="1"/>
  <c r="AA563" i="1"/>
  <c r="AB563" i="1" s="1"/>
  <c r="Z563" i="1"/>
  <c r="W563" i="1"/>
  <c r="V563" i="1"/>
  <c r="AC563" i="1" s="1"/>
  <c r="U563" i="1"/>
  <c r="AA562" i="1"/>
  <c r="Z562" i="1"/>
  <c r="X562" i="1"/>
  <c r="W562" i="1"/>
  <c r="Y562" i="1" s="1"/>
  <c r="U562" i="1"/>
  <c r="J562" i="1"/>
  <c r="AC561" i="1"/>
  <c r="AA561" i="1"/>
  <c r="Z561" i="1"/>
  <c r="W561" i="1"/>
  <c r="V561" i="1"/>
  <c r="U561" i="1"/>
  <c r="AB561" i="1" s="1"/>
  <c r="J561" i="1"/>
  <c r="AA560" i="1"/>
  <c r="Z560" i="1"/>
  <c r="Y560" i="1"/>
  <c r="X560" i="1"/>
  <c r="W560" i="1"/>
  <c r="V560" i="1"/>
  <c r="AC560" i="1" s="1"/>
  <c r="U560" i="1"/>
  <c r="AB560" i="1" s="1"/>
  <c r="K560" i="1"/>
  <c r="J560" i="1" s="1"/>
  <c r="AA559" i="1"/>
  <c r="Z559" i="1"/>
  <c r="Y559" i="1"/>
  <c r="X559" i="1"/>
  <c r="W559" i="1"/>
  <c r="U559" i="1"/>
  <c r="AA558" i="1"/>
  <c r="Z558" i="1"/>
  <c r="Y558" i="1"/>
  <c r="X558" i="1"/>
  <c r="W558" i="1"/>
  <c r="K558" i="1"/>
  <c r="J558" i="1" s="1"/>
  <c r="AA557" i="1"/>
  <c r="Z557" i="1"/>
  <c r="Y557" i="1"/>
  <c r="W557" i="1"/>
  <c r="X557" i="1" s="1"/>
  <c r="J557" i="1"/>
  <c r="AA556" i="1"/>
  <c r="Z556" i="1"/>
  <c r="W556" i="1"/>
  <c r="V556" i="1"/>
  <c r="AC556" i="1" s="1"/>
  <c r="U556" i="1"/>
  <c r="K556" i="1"/>
  <c r="J556" i="1"/>
  <c r="AB555" i="1"/>
  <c r="AA555" i="1"/>
  <c r="Z555" i="1"/>
  <c r="Y555" i="1"/>
  <c r="X555" i="1"/>
  <c r="W555" i="1"/>
  <c r="U555" i="1"/>
  <c r="V555" i="1" s="1"/>
  <c r="AC555" i="1" s="1"/>
  <c r="J555" i="1"/>
  <c r="AB554" i="1"/>
  <c r="AA554" i="1"/>
  <c r="Z554" i="1"/>
  <c r="X554" i="1"/>
  <c r="W554" i="1"/>
  <c r="Y554" i="1" s="1"/>
  <c r="V554" i="1"/>
  <c r="AC554" i="1" s="1"/>
  <c r="U554" i="1"/>
  <c r="J554" i="1"/>
  <c r="AA553" i="1"/>
  <c r="Z553" i="1"/>
  <c r="Y553" i="1"/>
  <c r="X553" i="1"/>
  <c r="W553" i="1"/>
  <c r="V553" i="1"/>
  <c r="AC553" i="1" s="1"/>
  <c r="U553" i="1"/>
  <c r="AB553" i="1" s="1"/>
  <c r="J553" i="1"/>
  <c r="AA552" i="1"/>
  <c r="AB552" i="1" s="1"/>
  <c r="Z552" i="1"/>
  <c r="Y552" i="1"/>
  <c r="X552" i="1"/>
  <c r="W552" i="1"/>
  <c r="V552" i="1"/>
  <c r="U552" i="1"/>
  <c r="J552" i="1"/>
  <c r="AC551" i="1"/>
  <c r="AB551" i="1"/>
  <c r="AA551" i="1"/>
  <c r="Z551" i="1"/>
  <c r="X551" i="1"/>
  <c r="W551" i="1"/>
  <c r="V551" i="1"/>
  <c r="U551" i="1"/>
  <c r="K551" i="1"/>
  <c r="AA550" i="1"/>
  <c r="Z550" i="1"/>
  <c r="W550" i="1"/>
  <c r="U550" i="1"/>
  <c r="J550" i="1"/>
  <c r="AA549" i="1"/>
  <c r="Z549" i="1"/>
  <c r="W549" i="1"/>
  <c r="X549" i="1" s="1"/>
  <c r="V549" i="1"/>
  <c r="U549" i="1"/>
  <c r="J549" i="1"/>
  <c r="AC548" i="1"/>
  <c r="AB548" i="1"/>
  <c r="AA548" i="1"/>
  <c r="Z548" i="1"/>
  <c r="Y548" i="1"/>
  <c r="X548" i="1"/>
  <c r="W548" i="1"/>
  <c r="U548" i="1"/>
  <c r="V548" i="1" s="1"/>
  <c r="AA547" i="1"/>
  <c r="Z547" i="1"/>
  <c r="Y547" i="1"/>
  <c r="X547" i="1"/>
  <c r="W547" i="1"/>
  <c r="U547" i="1"/>
  <c r="V547" i="1" s="1"/>
  <c r="AC547" i="1" s="1"/>
  <c r="AA546" i="1"/>
  <c r="Z546" i="1"/>
  <c r="W546" i="1"/>
  <c r="U546" i="1"/>
  <c r="K546" i="1"/>
  <c r="AA545" i="1"/>
  <c r="Z545" i="1"/>
  <c r="W545" i="1"/>
  <c r="Y545" i="1" s="1"/>
  <c r="U545" i="1"/>
  <c r="J545" i="1"/>
  <c r="Z544" i="1"/>
  <c r="X544" i="1"/>
  <c r="W544" i="1"/>
  <c r="Y544" i="1" s="1"/>
  <c r="AA543" i="1"/>
  <c r="Z543" i="1"/>
  <c r="W543" i="1"/>
  <c r="U543" i="1"/>
  <c r="Z542" i="1"/>
  <c r="Y542" i="1"/>
  <c r="W542" i="1"/>
  <c r="X542" i="1" s="1"/>
  <c r="J542" i="1"/>
  <c r="AA541" i="1"/>
  <c r="Z541" i="1"/>
  <c r="W541" i="1"/>
  <c r="J541" i="1"/>
  <c r="AA540" i="1"/>
  <c r="Z540" i="1"/>
  <c r="W540" i="1"/>
  <c r="J540" i="1"/>
  <c r="AA539" i="1"/>
  <c r="Z539" i="1"/>
  <c r="W539" i="1"/>
  <c r="Y539" i="1" s="1"/>
  <c r="U539" i="1"/>
  <c r="T539" i="1"/>
  <c r="J539" i="1"/>
  <c r="Z538" i="1"/>
  <c r="W538" i="1"/>
  <c r="Y538" i="1" s="1"/>
  <c r="J538" i="1"/>
  <c r="AA537" i="1"/>
  <c r="Z537" i="1"/>
  <c r="Y537" i="1"/>
  <c r="X537" i="1"/>
  <c r="W537" i="1"/>
  <c r="U537" i="1"/>
  <c r="T537" i="1"/>
  <c r="J537" i="1"/>
  <c r="AA536" i="1"/>
  <c r="Z536" i="1"/>
  <c r="X536" i="1"/>
  <c r="W536" i="1"/>
  <c r="T536" i="1"/>
  <c r="U536" i="1" s="1"/>
  <c r="V536" i="1" s="1"/>
  <c r="K536" i="1"/>
  <c r="Y536" i="1" s="1"/>
  <c r="J536" i="1"/>
  <c r="AB535" i="1"/>
  <c r="AA535" i="1"/>
  <c r="Z535" i="1"/>
  <c r="X535" i="1"/>
  <c r="W535" i="1"/>
  <c r="Y535" i="1" s="1"/>
  <c r="V535" i="1"/>
  <c r="AC535" i="1" s="1"/>
  <c r="U535" i="1"/>
  <c r="J535" i="1"/>
  <c r="AB534" i="1"/>
  <c r="AA534" i="1"/>
  <c r="Z534" i="1"/>
  <c r="Y534" i="1"/>
  <c r="X534" i="1"/>
  <c r="W534" i="1"/>
  <c r="V534" i="1"/>
  <c r="AC534" i="1" s="1"/>
  <c r="U534" i="1"/>
  <c r="J534" i="1"/>
  <c r="AA533" i="1"/>
  <c r="AB533" i="1" s="1"/>
  <c r="Z533" i="1"/>
  <c r="Y533" i="1"/>
  <c r="X533" i="1"/>
  <c r="W533" i="1"/>
  <c r="V533" i="1"/>
  <c r="U533" i="1"/>
  <c r="J533" i="1"/>
  <c r="AC532" i="1"/>
  <c r="AA532" i="1"/>
  <c r="Z532" i="1"/>
  <c r="Y532" i="1"/>
  <c r="X532" i="1"/>
  <c r="W532" i="1"/>
  <c r="V532" i="1"/>
  <c r="U532" i="1"/>
  <c r="AB532" i="1" s="1"/>
  <c r="T532" i="1"/>
  <c r="J532" i="1"/>
  <c r="AA531" i="1"/>
  <c r="Z531" i="1"/>
  <c r="X531" i="1"/>
  <c r="W531" i="1"/>
  <c r="Y531" i="1" s="1"/>
  <c r="U531" i="1"/>
  <c r="T531" i="1"/>
  <c r="J531" i="1"/>
  <c r="AA530" i="1"/>
  <c r="AB530" i="1" s="1"/>
  <c r="Z530" i="1"/>
  <c r="Y530" i="1"/>
  <c r="X530" i="1"/>
  <c r="W530" i="1"/>
  <c r="V530" i="1"/>
  <c r="U530" i="1"/>
  <c r="J530" i="1"/>
  <c r="AA529" i="1"/>
  <c r="Z529" i="1"/>
  <c r="Y529" i="1"/>
  <c r="X529" i="1"/>
  <c r="W529" i="1"/>
  <c r="U529" i="1"/>
  <c r="J529" i="1"/>
  <c r="AB528" i="1"/>
  <c r="AA528" i="1"/>
  <c r="Z528" i="1"/>
  <c r="W528" i="1"/>
  <c r="Y528" i="1" s="1"/>
  <c r="V528" i="1"/>
  <c r="AC528" i="1" s="1"/>
  <c r="U528" i="1"/>
  <c r="AA527" i="1"/>
  <c r="Z527" i="1"/>
  <c r="W527" i="1"/>
  <c r="Y527" i="1" s="1"/>
  <c r="U527" i="1"/>
  <c r="J527" i="1"/>
  <c r="AA526" i="1"/>
  <c r="Z526" i="1"/>
  <c r="Y526" i="1"/>
  <c r="W526" i="1"/>
  <c r="X526" i="1" s="1"/>
  <c r="U526" i="1"/>
  <c r="V526" i="1" s="1"/>
  <c r="AC526" i="1" s="1"/>
  <c r="J526" i="1"/>
  <c r="AC525" i="1"/>
  <c r="AB525" i="1"/>
  <c r="AA525" i="1"/>
  <c r="Z525" i="1"/>
  <c r="Y525" i="1"/>
  <c r="W525" i="1"/>
  <c r="X525" i="1" s="1"/>
  <c r="U525" i="1"/>
  <c r="V525" i="1" s="1"/>
  <c r="J525" i="1"/>
  <c r="AA524" i="1"/>
  <c r="Z524" i="1"/>
  <c r="W524" i="1"/>
  <c r="V524" i="1"/>
  <c r="U524" i="1"/>
  <c r="J524" i="1"/>
  <c r="AA523" i="1"/>
  <c r="Z523" i="1"/>
  <c r="X523" i="1"/>
  <c r="W523" i="1"/>
  <c r="Y523" i="1" s="1"/>
  <c r="U523" i="1"/>
  <c r="J523" i="1"/>
  <c r="AA522" i="1"/>
  <c r="Z522" i="1"/>
  <c r="Y522" i="1"/>
  <c r="W522" i="1"/>
  <c r="X522" i="1" s="1"/>
  <c r="U522" i="1"/>
  <c r="V522" i="1" s="1"/>
  <c r="AC522" i="1" s="1"/>
  <c r="J522" i="1"/>
  <c r="AA521" i="1"/>
  <c r="Z521" i="1"/>
  <c r="Y521" i="1"/>
  <c r="W521" i="1"/>
  <c r="X521" i="1" s="1"/>
  <c r="U521" i="1"/>
  <c r="J521" i="1"/>
  <c r="AA520" i="1"/>
  <c r="Z520" i="1"/>
  <c r="W520" i="1"/>
  <c r="V520" i="1"/>
  <c r="AC520" i="1" s="1"/>
  <c r="U520" i="1"/>
  <c r="AB520" i="1" s="1"/>
  <c r="J520" i="1"/>
  <c r="AA519" i="1"/>
  <c r="Z519" i="1"/>
  <c r="W519" i="1"/>
  <c r="U519" i="1"/>
  <c r="J519" i="1"/>
  <c r="AA518" i="1"/>
  <c r="Z518" i="1"/>
  <c r="W518" i="1"/>
  <c r="X518" i="1" s="1"/>
  <c r="U518" i="1"/>
  <c r="V518" i="1" s="1"/>
  <c r="AB517" i="1"/>
  <c r="AA517" i="1"/>
  <c r="Z517" i="1"/>
  <c r="Y517" i="1"/>
  <c r="X517" i="1"/>
  <c r="W517" i="1"/>
  <c r="V517" i="1"/>
  <c r="AC517" i="1" s="1"/>
  <c r="U517" i="1"/>
  <c r="J517" i="1"/>
  <c r="AB516" i="1"/>
  <c r="AA516" i="1"/>
  <c r="Z516" i="1"/>
  <c r="Y516" i="1"/>
  <c r="X516" i="1"/>
  <c r="W516" i="1"/>
  <c r="V516" i="1"/>
  <c r="AC516" i="1" s="1"/>
  <c r="U516" i="1"/>
  <c r="AA515" i="1"/>
  <c r="Z515" i="1"/>
  <c r="W515" i="1"/>
  <c r="U515" i="1"/>
  <c r="J515" i="1"/>
  <c r="AA514" i="1"/>
  <c r="Z514" i="1"/>
  <c r="W514" i="1"/>
  <c r="Y514" i="1" s="1"/>
  <c r="U514" i="1"/>
  <c r="AB513" i="1"/>
  <c r="AA513" i="1"/>
  <c r="Z513" i="1"/>
  <c r="Y513" i="1"/>
  <c r="X513" i="1"/>
  <c r="W513" i="1"/>
  <c r="V513" i="1"/>
  <c r="AC513" i="1" s="1"/>
  <c r="U513" i="1"/>
  <c r="AA512" i="1"/>
  <c r="Z512" i="1"/>
  <c r="W512" i="1"/>
  <c r="X512" i="1" s="1"/>
  <c r="U512" i="1"/>
  <c r="V512" i="1" s="1"/>
  <c r="AA511" i="1"/>
  <c r="Z511" i="1"/>
  <c r="Y511" i="1"/>
  <c r="X511" i="1"/>
  <c r="W511" i="1"/>
  <c r="J511" i="1"/>
  <c r="AB510" i="1"/>
  <c r="AA510" i="1"/>
  <c r="Z510" i="1"/>
  <c r="Y510" i="1"/>
  <c r="X510" i="1"/>
  <c r="W510" i="1"/>
  <c r="V510" i="1"/>
  <c r="AC510" i="1" s="1"/>
  <c r="U510" i="1"/>
  <c r="AA509" i="1"/>
  <c r="Z509" i="1"/>
  <c r="W509" i="1"/>
  <c r="X509" i="1" s="1"/>
  <c r="U509" i="1"/>
  <c r="V509" i="1" s="1"/>
  <c r="AB508" i="1"/>
  <c r="AA508" i="1"/>
  <c r="Z508" i="1"/>
  <c r="Y508" i="1"/>
  <c r="X508" i="1"/>
  <c r="W508" i="1"/>
  <c r="V508" i="1"/>
  <c r="AC508" i="1" s="1"/>
  <c r="U508" i="1"/>
  <c r="AA507" i="1"/>
  <c r="Z507" i="1"/>
  <c r="Y507" i="1"/>
  <c r="W507" i="1"/>
  <c r="X507" i="1" s="1"/>
  <c r="AA506" i="1"/>
  <c r="Z506" i="1"/>
  <c r="W506" i="1"/>
  <c r="Y506" i="1" s="1"/>
  <c r="AC505" i="1"/>
  <c r="AA505" i="1"/>
  <c r="Z505" i="1"/>
  <c r="W505" i="1"/>
  <c r="V505" i="1"/>
  <c r="U505" i="1"/>
  <c r="AB504" i="1"/>
  <c r="AA504" i="1"/>
  <c r="Z504" i="1"/>
  <c r="W504" i="1"/>
  <c r="V504" i="1"/>
  <c r="AC504" i="1" s="1"/>
  <c r="U504" i="1"/>
  <c r="AA503" i="1"/>
  <c r="Z503" i="1"/>
  <c r="W503" i="1"/>
  <c r="U503" i="1"/>
  <c r="AA502" i="1"/>
  <c r="Z502" i="1"/>
  <c r="Y502" i="1"/>
  <c r="X502" i="1"/>
  <c r="W502" i="1"/>
  <c r="V502" i="1"/>
  <c r="AC502" i="1" s="1"/>
  <c r="U502" i="1"/>
  <c r="AB502" i="1" s="1"/>
  <c r="AA501" i="1"/>
  <c r="Z501" i="1"/>
  <c r="W501" i="1"/>
  <c r="X501" i="1" s="1"/>
  <c r="V501" i="1"/>
  <c r="U501" i="1"/>
  <c r="AB501" i="1" s="1"/>
  <c r="AA500" i="1"/>
  <c r="AB500" i="1" s="1"/>
  <c r="Z500" i="1"/>
  <c r="Y500" i="1"/>
  <c r="X500" i="1"/>
  <c r="W500" i="1"/>
  <c r="V500" i="1"/>
  <c r="U500" i="1"/>
  <c r="AA499" i="1"/>
  <c r="AB499" i="1" s="1"/>
  <c r="Z499" i="1"/>
  <c r="Y499" i="1"/>
  <c r="X499" i="1"/>
  <c r="W499" i="1"/>
  <c r="U499" i="1"/>
  <c r="V499" i="1" s="1"/>
  <c r="J499" i="1"/>
  <c r="AA498" i="1"/>
  <c r="Z498" i="1"/>
  <c r="W498" i="1"/>
  <c r="U498" i="1"/>
  <c r="AB497" i="1"/>
  <c r="AA497" i="1"/>
  <c r="Z497" i="1"/>
  <c r="X497" i="1"/>
  <c r="W497" i="1"/>
  <c r="Y497" i="1" s="1"/>
  <c r="V497" i="1"/>
  <c r="AC497" i="1" s="1"/>
  <c r="U497" i="1"/>
  <c r="AA496" i="1"/>
  <c r="Z496" i="1"/>
  <c r="Y496" i="1"/>
  <c r="X496" i="1"/>
  <c r="W496" i="1"/>
  <c r="U496" i="1"/>
  <c r="AA495" i="1"/>
  <c r="Z495" i="1"/>
  <c r="Y495" i="1"/>
  <c r="X495" i="1"/>
  <c r="W495" i="1"/>
  <c r="V495" i="1"/>
  <c r="AC495" i="1" s="1"/>
  <c r="U495" i="1"/>
  <c r="AB495" i="1" s="1"/>
  <c r="AA494" i="1"/>
  <c r="Z494" i="1"/>
  <c r="W494" i="1"/>
  <c r="V494" i="1"/>
  <c r="U494" i="1"/>
  <c r="AB494" i="1" s="1"/>
  <c r="AB493" i="1"/>
  <c r="AA493" i="1"/>
  <c r="Z493" i="1"/>
  <c r="Y493" i="1"/>
  <c r="X493" i="1"/>
  <c r="W493" i="1"/>
  <c r="V493" i="1"/>
  <c r="U493" i="1"/>
  <c r="AA492" i="1"/>
  <c r="Z492" i="1"/>
  <c r="Y492" i="1"/>
  <c r="X492" i="1"/>
  <c r="W492" i="1"/>
  <c r="U492" i="1"/>
  <c r="AC491" i="1"/>
  <c r="AA491" i="1"/>
  <c r="Z491" i="1"/>
  <c r="Y491" i="1"/>
  <c r="X491" i="1"/>
  <c r="W491" i="1"/>
  <c r="V491" i="1"/>
  <c r="U491" i="1"/>
  <c r="AB491" i="1" s="1"/>
  <c r="AA490" i="1"/>
  <c r="Z490" i="1"/>
  <c r="W490" i="1"/>
  <c r="V490" i="1"/>
  <c r="AC490" i="1" s="1"/>
  <c r="U490" i="1"/>
  <c r="AB489" i="1"/>
  <c r="AA489" i="1"/>
  <c r="Z489" i="1"/>
  <c r="W489" i="1"/>
  <c r="Y489" i="1" s="1"/>
  <c r="V489" i="1"/>
  <c r="AC489" i="1" s="1"/>
  <c r="U489" i="1"/>
  <c r="AA488" i="1"/>
  <c r="Z488" i="1"/>
  <c r="W488" i="1"/>
  <c r="Y488" i="1" s="1"/>
  <c r="U488" i="1"/>
  <c r="AA487" i="1"/>
  <c r="Z487" i="1"/>
  <c r="Y487" i="1"/>
  <c r="X487" i="1"/>
  <c r="W487" i="1"/>
  <c r="V487" i="1"/>
  <c r="AC487" i="1" s="1"/>
  <c r="U487" i="1"/>
  <c r="AB487" i="1" s="1"/>
  <c r="AA486" i="1"/>
  <c r="Z486" i="1"/>
  <c r="W486" i="1"/>
  <c r="U486" i="1"/>
  <c r="V486" i="1" s="1"/>
  <c r="AC486" i="1" s="1"/>
  <c r="AB485" i="1"/>
  <c r="AA485" i="1"/>
  <c r="Z485" i="1"/>
  <c r="X485" i="1"/>
  <c r="W485" i="1"/>
  <c r="Y485" i="1" s="1"/>
  <c r="V485" i="1"/>
  <c r="U485" i="1"/>
  <c r="AC484" i="1"/>
  <c r="AB484" i="1"/>
  <c r="AA484" i="1"/>
  <c r="Z484" i="1"/>
  <c r="Y484" i="1"/>
  <c r="W484" i="1"/>
  <c r="X484" i="1" s="1"/>
  <c r="U484" i="1"/>
  <c r="V484" i="1" s="1"/>
  <c r="AC483" i="1"/>
  <c r="AA483" i="1"/>
  <c r="Z483" i="1"/>
  <c r="Y483" i="1"/>
  <c r="X483" i="1"/>
  <c r="W483" i="1"/>
  <c r="U483" i="1"/>
  <c r="V483" i="1" s="1"/>
  <c r="AA482" i="1"/>
  <c r="Z482" i="1"/>
  <c r="W482" i="1"/>
  <c r="U482" i="1"/>
  <c r="AB481" i="1"/>
  <c r="AA481" i="1"/>
  <c r="Z481" i="1"/>
  <c r="X481" i="1"/>
  <c r="W481" i="1"/>
  <c r="Y481" i="1" s="1"/>
  <c r="V481" i="1"/>
  <c r="AC481" i="1" s="1"/>
  <c r="U481" i="1"/>
  <c r="AA480" i="1"/>
  <c r="Z480" i="1"/>
  <c r="Y480" i="1"/>
  <c r="X480" i="1"/>
  <c r="W480" i="1"/>
  <c r="U480" i="1"/>
  <c r="AA479" i="1"/>
  <c r="Z479" i="1"/>
  <c r="Y479" i="1"/>
  <c r="X479" i="1"/>
  <c r="W479" i="1"/>
  <c r="V479" i="1"/>
  <c r="AC479" i="1" s="1"/>
  <c r="U479" i="1"/>
  <c r="AB479" i="1" s="1"/>
  <c r="AA478" i="1"/>
  <c r="Z478" i="1"/>
  <c r="Y478" i="1"/>
  <c r="W478" i="1"/>
  <c r="X478" i="1" s="1"/>
  <c r="U478" i="1"/>
  <c r="V478" i="1" s="1"/>
  <c r="AC478" i="1" s="1"/>
  <c r="AB477" i="1"/>
  <c r="AA477" i="1"/>
  <c r="Z477" i="1"/>
  <c r="X477" i="1"/>
  <c r="W477" i="1"/>
  <c r="Y477" i="1" s="1"/>
  <c r="V477" i="1"/>
  <c r="AC477" i="1" s="1"/>
  <c r="U477" i="1"/>
  <c r="AC476" i="1"/>
  <c r="AA476" i="1"/>
  <c r="Z476" i="1"/>
  <c r="Y476" i="1"/>
  <c r="W476" i="1"/>
  <c r="X476" i="1" s="1"/>
  <c r="U476" i="1"/>
  <c r="V476" i="1" s="1"/>
  <c r="AB475" i="1"/>
  <c r="AA475" i="1"/>
  <c r="Z475" i="1"/>
  <c r="Y475" i="1"/>
  <c r="X475" i="1"/>
  <c r="W475" i="1"/>
  <c r="V475" i="1"/>
  <c r="AC475" i="1" s="1"/>
  <c r="U475" i="1"/>
  <c r="AA474" i="1"/>
  <c r="Z474" i="1"/>
  <c r="W474" i="1"/>
  <c r="U474" i="1"/>
  <c r="AB473" i="1"/>
  <c r="AA473" i="1"/>
  <c r="Z473" i="1"/>
  <c r="X473" i="1"/>
  <c r="W473" i="1"/>
  <c r="Y473" i="1" s="1"/>
  <c r="V473" i="1"/>
  <c r="AC473" i="1" s="1"/>
  <c r="U473" i="1"/>
  <c r="AA472" i="1"/>
  <c r="Z472" i="1"/>
  <c r="Y472" i="1"/>
  <c r="X472" i="1"/>
  <c r="W472" i="1"/>
  <c r="U472" i="1"/>
  <c r="AB471" i="1"/>
  <c r="AA471" i="1"/>
  <c r="Z471" i="1"/>
  <c r="Y471" i="1"/>
  <c r="X471" i="1"/>
  <c r="W471" i="1"/>
  <c r="V471" i="1"/>
  <c r="AC471" i="1" s="1"/>
  <c r="U471" i="1"/>
  <c r="AA470" i="1"/>
  <c r="Z470" i="1"/>
  <c r="Y470" i="1"/>
  <c r="W470" i="1"/>
  <c r="X470" i="1" s="1"/>
  <c r="U470" i="1"/>
  <c r="V470" i="1" s="1"/>
  <c r="AC470" i="1" s="1"/>
  <c r="AB469" i="1"/>
  <c r="AA469" i="1"/>
  <c r="Z469" i="1"/>
  <c r="X469" i="1"/>
  <c r="W469" i="1"/>
  <c r="Y469" i="1" s="1"/>
  <c r="V469" i="1"/>
  <c r="AC469" i="1" s="1"/>
  <c r="U469" i="1"/>
  <c r="AC468" i="1"/>
  <c r="AB468" i="1"/>
  <c r="AA468" i="1"/>
  <c r="Z468" i="1"/>
  <c r="Y468" i="1"/>
  <c r="W468" i="1"/>
  <c r="X468" i="1" s="1"/>
  <c r="U468" i="1"/>
  <c r="V468" i="1" s="1"/>
  <c r="AB467" i="1"/>
  <c r="AA467" i="1"/>
  <c r="Z467" i="1"/>
  <c r="Y467" i="1"/>
  <c r="X467" i="1"/>
  <c r="W467" i="1"/>
  <c r="V467" i="1"/>
  <c r="AC467" i="1" s="1"/>
  <c r="U467" i="1"/>
  <c r="AA466" i="1"/>
  <c r="Z466" i="1"/>
  <c r="W466" i="1"/>
  <c r="U466" i="1"/>
  <c r="AB465" i="1"/>
  <c r="AA465" i="1"/>
  <c r="Z465" i="1"/>
  <c r="X465" i="1"/>
  <c r="W465" i="1"/>
  <c r="Y465" i="1" s="1"/>
  <c r="V465" i="1"/>
  <c r="AC465" i="1" s="1"/>
  <c r="U465" i="1"/>
  <c r="AA464" i="1"/>
  <c r="Z464" i="1"/>
  <c r="Y464" i="1"/>
  <c r="X464" i="1"/>
  <c r="W464" i="1"/>
  <c r="U464" i="1"/>
  <c r="AB463" i="1"/>
  <c r="AA463" i="1"/>
  <c r="Z463" i="1"/>
  <c r="Y463" i="1"/>
  <c r="X463" i="1"/>
  <c r="W463" i="1"/>
  <c r="V463" i="1"/>
  <c r="AC463" i="1" s="1"/>
  <c r="U463" i="1"/>
  <c r="AA462" i="1"/>
  <c r="Z462" i="1"/>
  <c r="Y462" i="1"/>
  <c r="W462" i="1"/>
  <c r="X462" i="1" s="1"/>
  <c r="U462" i="1"/>
  <c r="V462" i="1" s="1"/>
  <c r="AC462" i="1" s="1"/>
  <c r="AB461" i="1"/>
  <c r="AA461" i="1"/>
  <c r="Z461" i="1"/>
  <c r="X461" i="1"/>
  <c r="W461" i="1"/>
  <c r="Y461" i="1" s="1"/>
  <c r="V461" i="1"/>
  <c r="AC461" i="1" s="1"/>
  <c r="U461" i="1"/>
  <c r="AA460" i="1"/>
  <c r="Z460" i="1"/>
  <c r="Y460" i="1"/>
  <c r="W460" i="1"/>
  <c r="X460" i="1" s="1"/>
  <c r="U460" i="1"/>
  <c r="AB459" i="1"/>
  <c r="AA459" i="1"/>
  <c r="Z459" i="1"/>
  <c r="Y459" i="1"/>
  <c r="X459" i="1"/>
  <c r="W459" i="1"/>
  <c r="V459" i="1"/>
  <c r="AC459" i="1" s="1"/>
  <c r="U459" i="1"/>
  <c r="AA458" i="1"/>
  <c r="Z458" i="1"/>
  <c r="W458" i="1"/>
  <c r="U458" i="1"/>
  <c r="AB457" i="1"/>
  <c r="AA457" i="1"/>
  <c r="Z457" i="1"/>
  <c r="X457" i="1"/>
  <c r="W457" i="1"/>
  <c r="Y457" i="1" s="1"/>
  <c r="V457" i="1"/>
  <c r="AC457" i="1" s="1"/>
  <c r="U457" i="1"/>
  <c r="AA456" i="1"/>
  <c r="Z456" i="1"/>
  <c r="W456" i="1"/>
  <c r="J456" i="1"/>
  <c r="I456" i="1"/>
  <c r="E960" i="1" s="1"/>
  <c r="AB455" i="1"/>
  <c r="AA455" i="1"/>
  <c r="Z455" i="1"/>
  <c r="W455" i="1"/>
  <c r="V455" i="1"/>
  <c r="AC455" i="1" s="1"/>
  <c r="U455" i="1"/>
  <c r="AA454" i="1"/>
  <c r="Z454" i="1"/>
  <c r="W454" i="1"/>
  <c r="Y454" i="1" s="1"/>
  <c r="U454" i="1"/>
  <c r="AA453" i="1"/>
  <c r="Z453" i="1"/>
  <c r="Y453" i="1"/>
  <c r="X453" i="1"/>
  <c r="W453" i="1"/>
  <c r="V453" i="1"/>
  <c r="AC453" i="1" s="1"/>
  <c r="U453" i="1"/>
  <c r="AB453" i="1" s="1"/>
  <c r="AA452" i="1"/>
  <c r="Z452" i="1"/>
  <c r="Y452" i="1"/>
  <c r="W452" i="1"/>
  <c r="X452" i="1" s="1"/>
  <c r="V452" i="1"/>
  <c r="AC452" i="1" s="1"/>
  <c r="U452" i="1"/>
  <c r="AB452" i="1" s="1"/>
  <c r="AA451" i="1"/>
  <c r="AB451" i="1" s="1"/>
  <c r="Z451" i="1"/>
  <c r="X451" i="1"/>
  <c r="W451" i="1"/>
  <c r="Y451" i="1" s="1"/>
  <c r="V451" i="1"/>
  <c r="U451" i="1"/>
  <c r="AA450" i="1"/>
  <c r="AB450" i="1" s="1"/>
  <c r="Z450" i="1"/>
  <c r="Y450" i="1"/>
  <c r="W450" i="1"/>
  <c r="X450" i="1" s="1"/>
  <c r="U450" i="1"/>
  <c r="V450" i="1" s="1"/>
  <c r="AC450" i="1" s="1"/>
  <c r="AB449" i="1"/>
  <c r="AA449" i="1"/>
  <c r="Z449" i="1"/>
  <c r="Y449" i="1"/>
  <c r="X449" i="1"/>
  <c r="W449" i="1"/>
  <c r="V449" i="1"/>
  <c r="AC449" i="1" s="1"/>
  <c r="U449" i="1"/>
  <c r="AA448" i="1"/>
  <c r="Z448" i="1"/>
  <c r="W448" i="1"/>
  <c r="U448" i="1"/>
  <c r="AB448" i="1" s="1"/>
  <c r="AB447" i="1"/>
  <c r="AA447" i="1"/>
  <c r="Z447" i="1"/>
  <c r="W447" i="1"/>
  <c r="Y447" i="1" s="1"/>
  <c r="V447" i="1"/>
  <c r="AC447" i="1" s="1"/>
  <c r="U447" i="1"/>
  <c r="AA446" i="1"/>
  <c r="Z446" i="1"/>
  <c r="X446" i="1"/>
  <c r="W446" i="1"/>
  <c r="Y446" i="1" s="1"/>
  <c r="U446" i="1"/>
  <c r="AA445" i="1"/>
  <c r="Z445" i="1"/>
  <c r="Y445" i="1"/>
  <c r="X445" i="1"/>
  <c r="W445" i="1"/>
  <c r="V445" i="1"/>
  <c r="AC445" i="1" s="1"/>
  <c r="U445" i="1"/>
  <c r="AB445" i="1" s="1"/>
  <c r="AA444" i="1"/>
  <c r="Z444" i="1"/>
  <c r="Y444" i="1"/>
  <c r="W444" i="1"/>
  <c r="X444" i="1" s="1"/>
  <c r="U444" i="1"/>
  <c r="V444" i="1" s="1"/>
  <c r="AC444" i="1" s="1"/>
  <c r="AA443" i="1"/>
  <c r="AB443" i="1" s="1"/>
  <c r="Z443" i="1"/>
  <c r="X443" i="1"/>
  <c r="W443" i="1"/>
  <c r="Y443" i="1" s="1"/>
  <c r="V443" i="1"/>
  <c r="AC443" i="1" s="1"/>
  <c r="U443" i="1"/>
  <c r="AA442" i="1"/>
  <c r="Z442" i="1"/>
  <c r="Y442" i="1"/>
  <c r="W442" i="1"/>
  <c r="X442" i="1" s="1"/>
  <c r="U442" i="1"/>
  <c r="AA441" i="1"/>
  <c r="Z441" i="1"/>
  <c r="Y441" i="1"/>
  <c r="X441" i="1"/>
  <c r="W441" i="1"/>
  <c r="V441" i="1"/>
  <c r="AC441" i="1" s="1"/>
  <c r="U441" i="1"/>
  <c r="AB441" i="1" s="1"/>
  <c r="AA440" i="1"/>
  <c r="Z440" i="1"/>
  <c r="W440" i="1"/>
  <c r="U440" i="1"/>
  <c r="AB439" i="1"/>
  <c r="AA439" i="1"/>
  <c r="Z439" i="1"/>
  <c r="W439" i="1"/>
  <c r="V439" i="1"/>
  <c r="AC439" i="1" s="1"/>
  <c r="U439" i="1"/>
  <c r="AA438" i="1"/>
  <c r="Z438" i="1"/>
  <c r="W438" i="1"/>
  <c r="U438" i="1"/>
  <c r="AA437" i="1"/>
  <c r="Z437" i="1"/>
  <c r="Y437" i="1"/>
  <c r="X437" i="1"/>
  <c r="W437" i="1"/>
  <c r="V437" i="1"/>
  <c r="AC437" i="1" s="1"/>
  <c r="U437" i="1"/>
  <c r="AB437" i="1" s="1"/>
  <c r="AA436" i="1"/>
  <c r="Z436" i="1"/>
  <c r="W436" i="1"/>
  <c r="X436" i="1" s="1"/>
  <c r="V436" i="1"/>
  <c r="U436" i="1"/>
  <c r="AA435" i="1"/>
  <c r="AB435" i="1" s="1"/>
  <c r="Z435" i="1"/>
  <c r="X435" i="1"/>
  <c r="W435" i="1"/>
  <c r="Y435" i="1" s="1"/>
  <c r="V435" i="1"/>
  <c r="U435" i="1"/>
  <c r="AA434" i="1"/>
  <c r="Z434" i="1"/>
  <c r="Y434" i="1"/>
  <c r="X434" i="1"/>
  <c r="W434" i="1"/>
  <c r="U434" i="1"/>
  <c r="V434" i="1" s="1"/>
  <c r="AC434" i="1" s="1"/>
  <c r="AB433" i="1"/>
  <c r="AA433" i="1"/>
  <c r="Z433" i="1"/>
  <c r="Y433" i="1"/>
  <c r="X433" i="1"/>
  <c r="W433" i="1"/>
  <c r="V433" i="1"/>
  <c r="AC433" i="1" s="1"/>
  <c r="U433" i="1"/>
  <c r="AA432" i="1"/>
  <c r="Z432" i="1"/>
  <c r="W432" i="1"/>
  <c r="U432" i="1"/>
  <c r="AB432" i="1" s="1"/>
  <c r="AB431" i="1"/>
  <c r="AA431" i="1"/>
  <c r="Z431" i="1"/>
  <c r="W431" i="1"/>
  <c r="Y431" i="1" s="1"/>
  <c r="V431" i="1"/>
  <c r="AC431" i="1" s="1"/>
  <c r="U431" i="1"/>
  <c r="AA430" i="1"/>
  <c r="Z430" i="1"/>
  <c r="X430" i="1"/>
  <c r="W430" i="1"/>
  <c r="Y430" i="1" s="1"/>
  <c r="U430" i="1"/>
  <c r="AA429" i="1"/>
  <c r="Z429" i="1"/>
  <c r="Y429" i="1"/>
  <c r="X429" i="1"/>
  <c r="W429" i="1"/>
  <c r="V429" i="1"/>
  <c r="AC429" i="1" s="1"/>
  <c r="U429" i="1"/>
  <c r="AB429" i="1" s="1"/>
  <c r="AA428" i="1"/>
  <c r="Z428" i="1"/>
  <c r="Y428" i="1"/>
  <c r="W428" i="1"/>
  <c r="X428" i="1" s="1"/>
  <c r="U428" i="1"/>
  <c r="V428" i="1" s="1"/>
  <c r="AC428" i="1" s="1"/>
  <c r="AA427" i="1"/>
  <c r="AB427" i="1" s="1"/>
  <c r="Z427" i="1"/>
  <c r="X427" i="1"/>
  <c r="W427" i="1"/>
  <c r="Y427" i="1" s="1"/>
  <c r="V427" i="1"/>
  <c r="AC427" i="1" s="1"/>
  <c r="U427" i="1"/>
  <c r="AA426" i="1"/>
  <c r="Z426" i="1"/>
  <c r="Y426" i="1"/>
  <c r="W426" i="1"/>
  <c r="X426" i="1" s="1"/>
  <c r="U426" i="1"/>
  <c r="AA425" i="1"/>
  <c r="Z425" i="1"/>
  <c r="Y425" i="1"/>
  <c r="X425" i="1"/>
  <c r="W425" i="1"/>
  <c r="V425" i="1"/>
  <c r="AC425" i="1" s="1"/>
  <c r="U425" i="1"/>
  <c r="AB425" i="1" s="1"/>
  <c r="AA424" i="1"/>
  <c r="Z424" i="1"/>
  <c r="W424" i="1"/>
  <c r="U424" i="1"/>
  <c r="AB423" i="1"/>
  <c r="AA423" i="1"/>
  <c r="Z423" i="1"/>
  <c r="W423" i="1"/>
  <c r="V423" i="1"/>
  <c r="AC423" i="1" s="1"/>
  <c r="U423" i="1"/>
  <c r="J423" i="1"/>
  <c r="AA422" i="1"/>
  <c r="Z422" i="1"/>
  <c r="Y422" i="1"/>
  <c r="X422" i="1"/>
  <c r="W422" i="1"/>
  <c r="V422" i="1"/>
  <c r="AC422" i="1" s="1"/>
  <c r="U422" i="1"/>
  <c r="AB422" i="1" s="1"/>
  <c r="AA421" i="1"/>
  <c r="Z421" i="1"/>
  <c r="Y421" i="1"/>
  <c r="W421" i="1"/>
  <c r="X421" i="1" s="1"/>
  <c r="V421" i="1"/>
  <c r="U421" i="1"/>
  <c r="AB421" i="1" s="1"/>
  <c r="AB420" i="1"/>
  <c r="AA420" i="1"/>
  <c r="Z420" i="1"/>
  <c r="X420" i="1"/>
  <c r="W420" i="1"/>
  <c r="Y420" i="1" s="1"/>
  <c r="V420" i="1"/>
  <c r="AC420" i="1" s="1"/>
  <c r="U420" i="1"/>
  <c r="AC419" i="1"/>
  <c r="AB419" i="1"/>
  <c r="AA419" i="1"/>
  <c r="Z419" i="1"/>
  <c r="Y419" i="1"/>
  <c r="X419" i="1"/>
  <c r="W419" i="1"/>
  <c r="U419" i="1"/>
  <c r="V419" i="1" s="1"/>
  <c r="AC418" i="1"/>
  <c r="AA418" i="1"/>
  <c r="Z418" i="1"/>
  <c r="Y418" i="1"/>
  <c r="X418" i="1"/>
  <c r="W418" i="1"/>
  <c r="U418" i="1"/>
  <c r="V418" i="1" s="1"/>
  <c r="J418" i="1"/>
  <c r="AB417" i="1"/>
  <c r="AA417" i="1"/>
  <c r="Z417" i="1"/>
  <c r="X417" i="1"/>
  <c r="W417" i="1"/>
  <c r="Y417" i="1" s="1"/>
  <c r="V417" i="1"/>
  <c r="AC417" i="1" s="1"/>
  <c r="U417" i="1"/>
  <c r="AA416" i="1"/>
  <c r="Z416" i="1"/>
  <c r="Y416" i="1"/>
  <c r="X416" i="1"/>
  <c r="W416" i="1"/>
  <c r="U416" i="1"/>
  <c r="AB415" i="1"/>
  <c r="AA415" i="1"/>
  <c r="Z415" i="1"/>
  <c r="Y415" i="1"/>
  <c r="X415" i="1"/>
  <c r="W415" i="1"/>
  <c r="V415" i="1"/>
  <c r="AC415" i="1" s="1"/>
  <c r="U415" i="1"/>
  <c r="K415" i="1"/>
  <c r="J415" i="1" s="1"/>
  <c r="AC414" i="1"/>
  <c r="AA414" i="1"/>
  <c r="Z414" i="1"/>
  <c r="Y414" i="1"/>
  <c r="W414" i="1"/>
  <c r="X414" i="1" s="1"/>
  <c r="U414" i="1"/>
  <c r="V414" i="1" s="1"/>
  <c r="AC413" i="1"/>
  <c r="AA413" i="1"/>
  <c r="Z413" i="1"/>
  <c r="Y413" i="1"/>
  <c r="X413" i="1"/>
  <c r="W413" i="1"/>
  <c r="U413" i="1"/>
  <c r="V413" i="1" s="1"/>
  <c r="AA412" i="1"/>
  <c r="Z412" i="1"/>
  <c r="Y412" i="1"/>
  <c r="W412" i="1"/>
  <c r="X412" i="1" s="1"/>
  <c r="U412" i="1"/>
  <c r="AA411" i="1"/>
  <c r="Z411" i="1"/>
  <c r="X411" i="1"/>
  <c r="W411" i="1"/>
  <c r="Y411" i="1" s="1"/>
  <c r="U411" i="1"/>
  <c r="AA410" i="1"/>
  <c r="Z410" i="1"/>
  <c r="Y410" i="1"/>
  <c r="W410" i="1"/>
  <c r="X410" i="1" s="1"/>
  <c r="U410" i="1"/>
  <c r="AB409" i="1"/>
  <c r="AA409" i="1"/>
  <c r="Z409" i="1"/>
  <c r="W409" i="1"/>
  <c r="V409" i="1"/>
  <c r="AC409" i="1" s="1"/>
  <c r="U409" i="1"/>
  <c r="AA408" i="1"/>
  <c r="Z408" i="1"/>
  <c r="W408" i="1"/>
  <c r="V408" i="1"/>
  <c r="U408" i="1"/>
  <c r="AA407" i="1"/>
  <c r="AB407" i="1" s="1"/>
  <c r="Z407" i="1"/>
  <c r="W407" i="1"/>
  <c r="V407" i="1"/>
  <c r="U407" i="1"/>
  <c r="AC406" i="1"/>
  <c r="AB406" i="1"/>
  <c r="AA406" i="1"/>
  <c r="Z406" i="1"/>
  <c r="W406" i="1"/>
  <c r="U406" i="1"/>
  <c r="V406" i="1" s="1"/>
  <c r="AC405" i="1"/>
  <c r="AB405" i="1"/>
  <c r="AA405" i="1"/>
  <c r="Z405" i="1"/>
  <c r="Y405" i="1"/>
  <c r="X405" i="1"/>
  <c r="W405" i="1"/>
  <c r="U405" i="1"/>
  <c r="V405" i="1" s="1"/>
  <c r="AA404" i="1"/>
  <c r="Z404" i="1"/>
  <c r="W404" i="1"/>
  <c r="U404" i="1"/>
  <c r="AA403" i="1"/>
  <c r="Z403" i="1"/>
  <c r="W403" i="1"/>
  <c r="Y403" i="1" s="1"/>
  <c r="U403" i="1"/>
  <c r="AC402" i="1"/>
  <c r="AA402" i="1"/>
  <c r="Z402" i="1"/>
  <c r="Y402" i="1"/>
  <c r="X402" i="1"/>
  <c r="W402" i="1"/>
  <c r="V402" i="1"/>
  <c r="U402" i="1"/>
  <c r="AB402" i="1" s="1"/>
  <c r="AA401" i="1"/>
  <c r="Z401" i="1"/>
  <c r="Y401" i="1"/>
  <c r="W401" i="1"/>
  <c r="X401" i="1" s="1"/>
  <c r="V401" i="1"/>
  <c r="AC401" i="1" s="1"/>
  <c r="U401" i="1"/>
  <c r="AB401" i="1" s="1"/>
  <c r="AA400" i="1"/>
  <c r="Z400" i="1"/>
  <c r="Y400" i="1"/>
  <c r="W400" i="1"/>
  <c r="X400" i="1" s="1"/>
  <c r="V400" i="1"/>
  <c r="AC400" i="1" s="1"/>
  <c r="U400" i="1"/>
  <c r="AB400" i="1" s="1"/>
  <c r="AA399" i="1"/>
  <c r="AB399" i="1" s="1"/>
  <c r="Z399" i="1"/>
  <c r="Y399" i="1"/>
  <c r="W399" i="1"/>
  <c r="X399" i="1" s="1"/>
  <c r="V399" i="1"/>
  <c r="AC399" i="1" s="1"/>
  <c r="U399" i="1"/>
  <c r="AA398" i="1"/>
  <c r="Z398" i="1"/>
  <c r="W398" i="1"/>
  <c r="Y398" i="1" s="1"/>
  <c r="U398" i="1"/>
  <c r="V398" i="1" s="1"/>
  <c r="AA397" i="1"/>
  <c r="AB397" i="1" s="1"/>
  <c r="Z397" i="1"/>
  <c r="Y397" i="1"/>
  <c r="X397" i="1"/>
  <c r="W397" i="1"/>
  <c r="V397" i="1"/>
  <c r="U397" i="1"/>
  <c r="AB396" i="1"/>
  <c r="AA396" i="1"/>
  <c r="Z396" i="1"/>
  <c r="W396" i="1"/>
  <c r="V396" i="1"/>
  <c r="U396" i="1"/>
  <c r="AA395" i="1"/>
  <c r="AB395" i="1" s="1"/>
  <c r="Z395" i="1"/>
  <c r="X395" i="1"/>
  <c r="W395" i="1"/>
  <c r="Y395" i="1" s="1"/>
  <c r="V395" i="1"/>
  <c r="AC395" i="1" s="1"/>
  <c r="U395" i="1"/>
  <c r="AA394" i="1"/>
  <c r="AB394" i="1" s="1"/>
  <c r="Z394" i="1"/>
  <c r="Y394" i="1"/>
  <c r="X394" i="1"/>
  <c r="W394" i="1"/>
  <c r="U394" i="1"/>
  <c r="V394" i="1" s="1"/>
  <c r="AC394" i="1" s="1"/>
  <c r="AA393" i="1"/>
  <c r="Z393" i="1"/>
  <c r="Y393" i="1"/>
  <c r="X393" i="1"/>
  <c r="W393" i="1"/>
  <c r="U393" i="1"/>
  <c r="AA392" i="1"/>
  <c r="Z392" i="1"/>
  <c r="Y392" i="1"/>
  <c r="X392" i="1"/>
  <c r="W392" i="1"/>
  <c r="U392" i="1"/>
  <c r="AB391" i="1"/>
  <c r="AA391" i="1"/>
  <c r="Z391" i="1"/>
  <c r="Y391" i="1"/>
  <c r="X391" i="1"/>
  <c r="W391" i="1"/>
  <c r="V391" i="1"/>
  <c r="AC391" i="1" s="1"/>
  <c r="U391" i="1"/>
  <c r="AA390" i="1"/>
  <c r="Z390" i="1"/>
  <c r="Y390" i="1"/>
  <c r="W390" i="1"/>
  <c r="X390" i="1" s="1"/>
  <c r="U390" i="1"/>
  <c r="AC389" i="1"/>
  <c r="AA389" i="1"/>
  <c r="Z389" i="1"/>
  <c r="Y389" i="1"/>
  <c r="X389" i="1"/>
  <c r="W389" i="1"/>
  <c r="V389" i="1"/>
  <c r="U389" i="1"/>
  <c r="AB389" i="1" s="1"/>
  <c r="AB388" i="1"/>
  <c r="AA388" i="1"/>
  <c r="Z388" i="1"/>
  <c r="W388" i="1"/>
  <c r="X388" i="1" s="1"/>
  <c r="U388" i="1"/>
  <c r="V388" i="1" s="1"/>
  <c r="AC388" i="1" s="1"/>
  <c r="AB387" i="1"/>
  <c r="AA387" i="1"/>
  <c r="Z387" i="1"/>
  <c r="W387" i="1"/>
  <c r="Y387" i="1" s="1"/>
  <c r="V387" i="1"/>
  <c r="AC387" i="1" s="1"/>
  <c r="U387" i="1"/>
  <c r="AA386" i="1"/>
  <c r="AB386" i="1" s="1"/>
  <c r="Z386" i="1"/>
  <c r="W386" i="1"/>
  <c r="V386" i="1"/>
  <c r="AC386" i="1" s="1"/>
  <c r="U386" i="1"/>
  <c r="AA385" i="1"/>
  <c r="Z385" i="1"/>
  <c r="X385" i="1"/>
  <c r="W385" i="1"/>
  <c r="Y385" i="1" s="1"/>
  <c r="U385" i="1"/>
  <c r="AA384" i="1"/>
  <c r="Z384" i="1"/>
  <c r="W384" i="1"/>
  <c r="Y384" i="1" s="1"/>
  <c r="U384" i="1"/>
  <c r="AB383" i="1"/>
  <c r="AA383" i="1"/>
  <c r="Z383" i="1"/>
  <c r="X383" i="1"/>
  <c r="W383" i="1"/>
  <c r="Y383" i="1" s="1"/>
  <c r="V383" i="1"/>
  <c r="U383" i="1"/>
  <c r="AA382" i="1"/>
  <c r="Z382" i="1"/>
  <c r="Y382" i="1"/>
  <c r="X382" i="1"/>
  <c r="W382" i="1"/>
  <c r="U382" i="1"/>
  <c r="AA381" i="1"/>
  <c r="Z381" i="1"/>
  <c r="Y381" i="1"/>
  <c r="X381" i="1"/>
  <c r="W381" i="1"/>
  <c r="U381" i="1"/>
  <c r="AB381" i="1" s="1"/>
  <c r="AA380" i="1"/>
  <c r="Z380" i="1"/>
  <c r="Y380" i="1"/>
  <c r="W380" i="1"/>
  <c r="X380" i="1" s="1"/>
  <c r="U380" i="1"/>
  <c r="AA379" i="1"/>
  <c r="Z379" i="1"/>
  <c r="X379" i="1"/>
  <c r="W379" i="1"/>
  <c r="Y379" i="1" s="1"/>
  <c r="U379" i="1"/>
  <c r="AA378" i="1"/>
  <c r="Z378" i="1"/>
  <c r="W378" i="1"/>
  <c r="X378" i="1" s="1"/>
  <c r="V378" i="1"/>
  <c r="AC378" i="1" s="1"/>
  <c r="U378" i="1"/>
  <c r="AB378" i="1" s="1"/>
  <c r="J378" i="1"/>
  <c r="AA377" i="1"/>
  <c r="AC377" i="1" s="1"/>
  <c r="Z377" i="1"/>
  <c r="X377" i="1"/>
  <c r="W377" i="1"/>
  <c r="Y377" i="1" s="1"/>
  <c r="V377" i="1"/>
  <c r="U377" i="1"/>
  <c r="AA376" i="1"/>
  <c r="AB376" i="1" s="1"/>
  <c r="Z376" i="1"/>
  <c r="X376" i="1"/>
  <c r="W376" i="1"/>
  <c r="Y376" i="1" s="1"/>
  <c r="V376" i="1"/>
  <c r="U376" i="1"/>
  <c r="AA375" i="1"/>
  <c r="AC375" i="1" s="1"/>
  <c r="Z375" i="1"/>
  <c r="Y375" i="1"/>
  <c r="X375" i="1"/>
  <c r="W375" i="1"/>
  <c r="U375" i="1"/>
  <c r="V375" i="1" s="1"/>
  <c r="AA374" i="1"/>
  <c r="AB374" i="1" s="1"/>
  <c r="Z374" i="1"/>
  <c r="Y374" i="1"/>
  <c r="X374" i="1"/>
  <c r="W374" i="1"/>
  <c r="U374" i="1"/>
  <c r="V374" i="1" s="1"/>
  <c r="AC374" i="1" s="1"/>
  <c r="AC373" i="1"/>
  <c r="AB373" i="1"/>
  <c r="AA373" i="1"/>
  <c r="Z373" i="1"/>
  <c r="Y373" i="1"/>
  <c r="W373" i="1"/>
  <c r="X373" i="1" s="1"/>
  <c r="U373" i="1"/>
  <c r="V373" i="1" s="1"/>
  <c r="AB372" i="1"/>
  <c r="AA372" i="1"/>
  <c r="Z372" i="1"/>
  <c r="W372" i="1"/>
  <c r="U372" i="1"/>
  <c r="V372" i="1" s="1"/>
  <c r="AC372" i="1" s="1"/>
  <c r="AA371" i="1"/>
  <c r="Z371" i="1"/>
  <c r="Y371" i="1"/>
  <c r="X371" i="1"/>
  <c r="W371" i="1"/>
  <c r="U371" i="1"/>
  <c r="AA370" i="1"/>
  <c r="Z370" i="1"/>
  <c r="Y370" i="1"/>
  <c r="W370" i="1"/>
  <c r="X370" i="1" s="1"/>
  <c r="U370" i="1"/>
  <c r="AA369" i="1"/>
  <c r="Z369" i="1"/>
  <c r="Y369" i="1"/>
  <c r="W369" i="1"/>
  <c r="X369" i="1" s="1"/>
  <c r="U369" i="1"/>
  <c r="AA368" i="1"/>
  <c r="Z368" i="1"/>
  <c r="Y368" i="1"/>
  <c r="W368" i="1"/>
  <c r="X368" i="1" s="1"/>
  <c r="U368" i="1"/>
  <c r="AA367" i="1"/>
  <c r="AB367" i="1" s="1"/>
  <c r="Z367" i="1"/>
  <c r="W367" i="1"/>
  <c r="Y367" i="1" s="1"/>
  <c r="V367" i="1"/>
  <c r="AC367" i="1" s="1"/>
  <c r="U367" i="1"/>
  <c r="AC366" i="1"/>
  <c r="AA366" i="1"/>
  <c r="Z366" i="1"/>
  <c r="W366" i="1"/>
  <c r="Y366" i="1" s="1"/>
  <c r="U366" i="1"/>
  <c r="V366" i="1" s="1"/>
  <c r="AA365" i="1"/>
  <c r="Z365" i="1"/>
  <c r="Y365" i="1"/>
  <c r="X365" i="1"/>
  <c r="W365" i="1"/>
  <c r="U365" i="1"/>
  <c r="J365" i="1"/>
  <c r="AA364" i="1"/>
  <c r="AB364" i="1" s="1"/>
  <c r="Z364" i="1"/>
  <c r="X364" i="1"/>
  <c r="W364" i="1"/>
  <c r="Y364" i="1" s="1"/>
  <c r="V364" i="1"/>
  <c r="U364" i="1"/>
  <c r="AA363" i="1"/>
  <c r="Z363" i="1"/>
  <c r="Y363" i="1"/>
  <c r="X363" i="1"/>
  <c r="W363" i="1"/>
  <c r="U363" i="1"/>
  <c r="J363" i="1"/>
  <c r="AA362" i="1"/>
  <c r="Z362" i="1"/>
  <c r="W362" i="1"/>
  <c r="U362" i="1"/>
  <c r="AA361" i="1"/>
  <c r="AB361" i="1" s="1"/>
  <c r="Z361" i="1"/>
  <c r="X361" i="1"/>
  <c r="W361" i="1"/>
  <c r="Y361" i="1" s="1"/>
  <c r="V361" i="1"/>
  <c r="AC361" i="1" s="1"/>
  <c r="U361" i="1"/>
  <c r="AC360" i="1"/>
  <c r="AA360" i="1"/>
  <c r="Z360" i="1"/>
  <c r="Y360" i="1"/>
  <c r="X360" i="1"/>
  <c r="W360" i="1"/>
  <c r="U360" i="1"/>
  <c r="V360" i="1" s="1"/>
  <c r="AA359" i="1"/>
  <c r="Z359" i="1"/>
  <c r="Y359" i="1"/>
  <c r="X359" i="1"/>
  <c r="W359" i="1"/>
  <c r="U359" i="1"/>
  <c r="AA358" i="1"/>
  <c r="Z358" i="1"/>
  <c r="Y358" i="1"/>
  <c r="W358" i="1"/>
  <c r="X358" i="1" s="1"/>
  <c r="V358" i="1"/>
  <c r="AC358" i="1" s="1"/>
  <c r="U358" i="1"/>
  <c r="AB357" i="1"/>
  <c r="AA357" i="1"/>
  <c r="Z357" i="1"/>
  <c r="W357" i="1"/>
  <c r="V357" i="1"/>
  <c r="AC357" i="1" s="1"/>
  <c r="U357" i="1"/>
  <c r="AB356" i="1"/>
  <c r="AA356" i="1"/>
  <c r="Z356" i="1"/>
  <c r="W356" i="1"/>
  <c r="Y356" i="1" s="1"/>
  <c r="U356" i="1"/>
  <c r="V356" i="1" s="1"/>
  <c r="AC356" i="1" s="1"/>
  <c r="AB355" i="1"/>
  <c r="AA355" i="1"/>
  <c r="Z355" i="1"/>
  <c r="Y355" i="1"/>
  <c r="X355" i="1"/>
  <c r="W355" i="1"/>
  <c r="V355" i="1"/>
  <c r="AC355" i="1" s="1"/>
  <c r="U355" i="1"/>
  <c r="AC354" i="1"/>
  <c r="AA354" i="1"/>
  <c r="Z354" i="1"/>
  <c r="W354" i="1"/>
  <c r="V354" i="1"/>
  <c r="U354" i="1"/>
  <c r="AB354" i="1" s="1"/>
  <c r="AA353" i="1"/>
  <c r="AB353" i="1" s="1"/>
  <c r="Z353" i="1"/>
  <c r="W353" i="1"/>
  <c r="Y353" i="1" s="1"/>
  <c r="V353" i="1"/>
  <c r="U353" i="1"/>
  <c r="AA352" i="1"/>
  <c r="Z352" i="1"/>
  <c r="W352" i="1"/>
  <c r="U352" i="1"/>
  <c r="AA351" i="1"/>
  <c r="Z351" i="1"/>
  <c r="Y351" i="1"/>
  <c r="X351" i="1"/>
  <c r="W351" i="1"/>
  <c r="U351" i="1"/>
  <c r="AB351" i="1" s="1"/>
  <c r="AB350" i="1"/>
  <c r="AA350" i="1"/>
  <c r="Z350" i="1"/>
  <c r="W350" i="1"/>
  <c r="V350" i="1"/>
  <c r="AC350" i="1" s="1"/>
  <c r="U350" i="1"/>
  <c r="AB349" i="1"/>
  <c r="AA349" i="1"/>
  <c r="Z349" i="1"/>
  <c r="W349" i="1"/>
  <c r="V349" i="1"/>
  <c r="AC349" i="1" s="1"/>
  <c r="U349" i="1"/>
  <c r="AB348" i="1"/>
  <c r="AA348" i="1"/>
  <c r="Z348" i="1"/>
  <c r="W348" i="1"/>
  <c r="V348" i="1"/>
  <c r="AC348" i="1" s="1"/>
  <c r="U348" i="1"/>
  <c r="AA347" i="1"/>
  <c r="Z347" i="1"/>
  <c r="W347" i="1"/>
  <c r="U347" i="1"/>
  <c r="AA346" i="1"/>
  <c r="Z346" i="1"/>
  <c r="W346" i="1"/>
  <c r="Y346" i="1" s="1"/>
  <c r="U346" i="1"/>
  <c r="AA345" i="1"/>
  <c r="AB345" i="1" s="1"/>
  <c r="Z345" i="1"/>
  <c r="Y345" i="1"/>
  <c r="X345" i="1"/>
  <c r="W345" i="1"/>
  <c r="V345" i="1"/>
  <c r="U345" i="1"/>
  <c r="AA344" i="1"/>
  <c r="Z344" i="1"/>
  <c r="Y344" i="1"/>
  <c r="X344" i="1"/>
  <c r="W344" i="1"/>
  <c r="U344" i="1"/>
  <c r="AA343" i="1"/>
  <c r="AB343" i="1" s="1"/>
  <c r="Z343" i="1"/>
  <c r="Y343" i="1"/>
  <c r="X343" i="1"/>
  <c r="W343" i="1"/>
  <c r="V343" i="1"/>
  <c r="AC343" i="1" s="1"/>
  <c r="U343" i="1"/>
  <c r="AA342" i="1"/>
  <c r="AB342" i="1" s="1"/>
  <c r="Z342" i="1"/>
  <c r="Y342" i="1"/>
  <c r="W342" i="1"/>
  <c r="X342" i="1" s="1"/>
  <c r="V342" i="1"/>
  <c r="AC342" i="1" s="1"/>
  <c r="U342" i="1"/>
  <c r="AA341" i="1"/>
  <c r="AB341" i="1" s="1"/>
  <c r="Z341" i="1"/>
  <c r="X341" i="1"/>
  <c r="W341" i="1"/>
  <c r="Y341" i="1" s="1"/>
  <c r="V341" i="1"/>
  <c r="U341" i="1"/>
  <c r="AA340" i="1"/>
  <c r="AB340" i="1" s="1"/>
  <c r="Z340" i="1"/>
  <c r="Y340" i="1"/>
  <c r="W340" i="1"/>
  <c r="X340" i="1" s="1"/>
  <c r="U340" i="1"/>
  <c r="V340" i="1" s="1"/>
  <c r="AA339" i="1"/>
  <c r="Z339" i="1"/>
  <c r="X339" i="1"/>
  <c r="W339" i="1"/>
  <c r="T339" i="1"/>
  <c r="U339" i="1" s="1"/>
  <c r="J339" i="1"/>
  <c r="I339" i="1"/>
  <c r="K339" i="1" s="1"/>
  <c r="Y339" i="1" s="1"/>
  <c r="AA338" i="1"/>
  <c r="Z338" i="1"/>
  <c r="W338" i="1"/>
  <c r="U338" i="1"/>
  <c r="AB337" i="1"/>
  <c r="AA337" i="1"/>
  <c r="Z337" i="1"/>
  <c r="W337" i="1"/>
  <c r="Y337" i="1" s="1"/>
  <c r="V337" i="1"/>
  <c r="AC337" i="1" s="1"/>
  <c r="U337" i="1"/>
  <c r="AA336" i="1"/>
  <c r="Z336" i="1"/>
  <c r="W336" i="1"/>
  <c r="Y336" i="1" s="1"/>
  <c r="U336" i="1"/>
  <c r="AA335" i="1"/>
  <c r="AB335" i="1" s="1"/>
  <c r="Z335" i="1"/>
  <c r="Y335" i="1"/>
  <c r="X335" i="1"/>
  <c r="W335" i="1"/>
  <c r="V335" i="1"/>
  <c r="AC335" i="1" s="1"/>
  <c r="U335" i="1"/>
  <c r="AA334" i="1"/>
  <c r="AB334" i="1" s="1"/>
  <c r="Z334" i="1"/>
  <c r="Y334" i="1"/>
  <c r="W334" i="1"/>
  <c r="X334" i="1" s="1"/>
  <c r="U334" i="1"/>
  <c r="V334" i="1" s="1"/>
  <c r="AA333" i="1"/>
  <c r="AB333" i="1" s="1"/>
  <c r="Z333" i="1"/>
  <c r="Y333" i="1"/>
  <c r="X333" i="1"/>
  <c r="W333" i="1"/>
  <c r="U333" i="1"/>
  <c r="V333" i="1" s="1"/>
  <c r="AA332" i="1"/>
  <c r="Z332" i="1"/>
  <c r="Y332" i="1"/>
  <c r="W332" i="1"/>
  <c r="X332" i="1" s="1"/>
  <c r="U332" i="1"/>
  <c r="AA331" i="1"/>
  <c r="Z331" i="1"/>
  <c r="W331" i="1"/>
  <c r="Y331" i="1" s="1"/>
  <c r="V331" i="1"/>
  <c r="AC331" i="1" s="1"/>
  <c r="U331" i="1"/>
  <c r="AB331" i="1" s="1"/>
  <c r="AA330" i="1"/>
  <c r="Z330" i="1"/>
  <c r="W330" i="1"/>
  <c r="U330" i="1"/>
  <c r="AB330" i="1" s="1"/>
  <c r="AB329" i="1"/>
  <c r="AA329" i="1"/>
  <c r="Z329" i="1"/>
  <c r="W329" i="1"/>
  <c r="Y329" i="1" s="1"/>
  <c r="U329" i="1"/>
  <c r="I329" i="1"/>
  <c r="AA328" i="1"/>
  <c r="AB328" i="1" s="1"/>
  <c r="Z328" i="1"/>
  <c r="Y328" i="1"/>
  <c r="X328" i="1"/>
  <c r="W328" i="1"/>
  <c r="V328" i="1"/>
  <c r="AC328" i="1" s="1"/>
  <c r="U328" i="1"/>
  <c r="J328" i="1"/>
  <c r="AB327" i="1"/>
  <c r="AA327" i="1"/>
  <c r="Z327" i="1"/>
  <c r="Y327" i="1"/>
  <c r="X327" i="1"/>
  <c r="W327" i="1"/>
  <c r="U327" i="1"/>
  <c r="V327" i="1" s="1"/>
  <c r="AC327" i="1" s="1"/>
  <c r="AC326" i="1"/>
  <c r="AB326" i="1"/>
  <c r="AA326" i="1"/>
  <c r="Z326" i="1"/>
  <c r="Y326" i="1"/>
  <c r="W326" i="1"/>
  <c r="X326" i="1" s="1"/>
  <c r="U326" i="1"/>
  <c r="V326" i="1" s="1"/>
  <c r="AC325" i="1"/>
  <c r="AB325" i="1"/>
  <c r="AA325" i="1"/>
  <c r="Z325" i="1"/>
  <c r="W325" i="1"/>
  <c r="Y325" i="1" s="1"/>
  <c r="V325" i="1"/>
  <c r="U325" i="1"/>
  <c r="AA324" i="1"/>
  <c r="Z324" i="1"/>
  <c r="W324" i="1"/>
  <c r="U324" i="1"/>
  <c r="AB323" i="1"/>
  <c r="AA323" i="1"/>
  <c r="Z323" i="1"/>
  <c r="X323" i="1"/>
  <c r="W323" i="1"/>
  <c r="Y323" i="1" s="1"/>
  <c r="V323" i="1"/>
  <c r="AC323" i="1" s="1"/>
  <c r="U323" i="1"/>
  <c r="AA322" i="1"/>
  <c r="Z322" i="1"/>
  <c r="X322" i="1"/>
  <c r="W322" i="1"/>
  <c r="Y322" i="1" s="1"/>
  <c r="U322" i="1"/>
  <c r="AA321" i="1"/>
  <c r="Z321" i="1"/>
  <c r="Y321" i="1"/>
  <c r="X321" i="1"/>
  <c r="W321" i="1"/>
  <c r="Q321" i="1"/>
  <c r="U321" i="1" s="1"/>
  <c r="AB320" i="1"/>
  <c r="AA320" i="1"/>
  <c r="Z320" i="1"/>
  <c r="Y320" i="1"/>
  <c r="X320" i="1"/>
  <c r="W320" i="1"/>
  <c r="U320" i="1"/>
  <c r="V320" i="1" s="1"/>
  <c r="AC320" i="1" s="1"/>
  <c r="AC319" i="1"/>
  <c r="AB319" i="1"/>
  <c r="AA319" i="1"/>
  <c r="Z319" i="1"/>
  <c r="Y319" i="1"/>
  <c r="W319" i="1"/>
  <c r="X319" i="1" s="1"/>
  <c r="Q319" i="1"/>
  <c r="U319" i="1" s="1"/>
  <c r="V319" i="1" s="1"/>
  <c r="AA318" i="1"/>
  <c r="AC318" i="1" s="1"/>
  <c r="Z318" i="1"/>
  <c r="W318" i="1"/>
  <c r="V318" i="1"/>
  <c r="U318" i="1"/>
  <c r="Q318" i="1"/>
  <c r="AA317" i="1"/>
  <c r="Z317" i="1"/>
  <c r="Y317" i="1"/>
  <c r="X317" i="1"/>
  <c r="W317" i="1"/>
  <c r="U317" i="1"/>
  <c r="Q317" i="1"/>
  <c r="AA316" i="1"/>
  <c r="Z316" i="1"/>
  <c r="Y316" i="1"/>
  <c r="W316" i="1"/>
  <c r="X316" i="1" s="1"/>
  <c r="Q316" i="1"/>
  <c r="U316" i="1" s="1"/>
  <c r="AA315" i="1"/>
  <c r="Z315" i="1"/>
  <c r="Y315" i="1"/>
  <c r="W315" i="1"/>
  <c r="X315" i="1" s="1"/>
  <c r="Q315" i="1"/>
  <c r="U315" i="1" s="1"/>
  <c r="AA314" i="1"/>
  <c r="Z314" i="1"/>
  <c r="W314" i="1"/>
  <c r="U314" i="1"/>
  <c r="AB314" i="1" s="1"/>
  <c r="Q314" i="1"/>
  <c r="AA313" i="1"/>
  <c r="Z313" i="1"/>
  <c r="W313" i="1"/>
  <c r="U313" i="1"/>
  <c r="Q313" i="1"/>
  <c r="AA312" i="1"/>
  <c r="Z312" i="1"/>
  <c r="Y312" i="1"/>
  <c r="W312" i="1"/>
  <c r="X312" i="1" s="1"/>
  <c r="Q312" i="1"/>
  <c r="U312" i="1" s="1"/>
  <c r="AC311" i="1"/>
  <c r="AB311" i="1"/>
  <c r="AA311" i="1"/>
  <c r="Z311" i="1"/>
  <c r="Y311" i="1"/>
  <c r="W311" i="1"/>
  <c r="X311" i="1" s="1"/>
  <c r="Q311" i="1"/>
  <c r="U311" i="1" s="1"/>
  <c r="V311" i="1" s="1"/>
  <c r="AA310" i="1"/>
  <c r="AC310" i="1" s="1"/>
  <c r="Z310" i="1"/>
  <c r="W310" i="1"/>
  <c r="V310" i="1"/>
  <c r="U310" i="1"/>
  <c r="Q310" i="1"/>
  <c r="AA309" i="1"/>
  <c r="Z309" i="1"/>
  <c r="Y309" i="1"/>
  <c r="X309" i="1"/>
  <c r="W309" i="1"/>
  <c r="U309" i="1"/>
  <c r="AA308" i="1"/>
  <c r="AB308" i="1" s="1"/>
  <c r="Z308" i="1"/>
  <c r="Y308" i="1"/>
  <c r="X308" i="1"/>
  <c r="W308" i="1"/>
  <c r="V308" i="1"/>
  <c r="AC308" i="1" s="1"/>
  <c r="U308" i="1"/>
  <c r="AA307" i="1"/>
  <c r="AB307" i="1" s="1"/>
  <c r="Z307" i="1"/>
  <c r="W307" i="1"/>
  <c r="U307" i="1"/>
  <c r="V307" i="1" s="1"/>
  <c r="AC307" i="1" s="1"/>
  <c r="AA306" i="1"/>
  <c r="AB306" i="1" s="1"/>
  <c r="Z306" i="1"/>
  <c r="Y306" i="1"/>
  <c r="X306" i="1"/>
  <c r="W306" i="1"/>
  <c r="U306" i="1"/>
  <c r="V306" i="1" s="1"/>
  <c r="AA305" i="1"/>
  <c r="Z305" i="1"/>
  <c r="Y305" i="1"/>
  <c r="W305" i="1"/>
  <c r="X305" i="1" s="1"/>
  <c r="AA304" i="1"/>
  <c r="Z304" i="1"/>
  <c r="Y304" i="1"/>
  <c r="X304" i="1"/>
  <c r="W304" i="1"/>
  <c r="Q304" i="1"/>
  <c r="U304" i="1" s="1"/>
  <c r="AA303" i="1"/>
  <c r="Z303" i="1"/>
  <c r="Y303" i="1"/>
  <c r="X303" i="1"/>
  <c r="W303" i="1"/>
  <c r="Q303" i="1"/>
  <c r="U303" i="1" s="1"/>
  <c r="V303" i="1" s="1"/>
  <c r="AC303" i="1" s="1"/>
  <c r="AA302" i="1"/>
  <c r="Z302" i="1"/>
  <c r="W302" i="1"/>
  <c r="Y302" i="1" s="1"/>
  <c r="V302" i="1"/>
  <c r="AC302" i="1" s="1"/>
  <c r="U302" i="1"/>
  <c r="AB302" i="1" s="1"/>
  <c r="Q302" i="1"/>
  <c r="AA301" i="1"/>
  <c r="Z301" i="1"/>
  <c r="W301" i="1"/>
  <c r="Y301" i="1" s="1"/>
  <c r="V301" i="1"/>
  <c r="AC301" i="1" s="1"/>
  <c r="Q301" i="1"/>
  <c r="U301" i="1" s="1"/>
  <c r="AB301" i="1" s="1"/>
  <c r="AA300" i="1"/>
  <c r="Z300" i="1"/>
  <c r="Y300" i="1"/>
  <c r="X300" i="1"/>
  <c r="W300" i="1"/>
  <c r="Q300" i="1"/>
  <c r="U300" i="1" s="1"/>
  <c r="AB299" i="1"/>
  <c r="AA299" i="1"/>
  <c r="Z299" i="1"/>
  <c r="Y299" i="1"/>
  <c r="X299" i="1"/>
  <c r="W299" i="1"/>
  <c r="U299" i="1"/>
  <c r="V299" i="1" s="1"/>
  <c r="AC299" i="1" s="1"/>
  <c r="AC298" i="1"/>
  <c r="AB298" i="1"/>
  <c r="AA298" i="1"/>
  <c r="Z298" i="1"/>
  <c r="Y298" i="1"/>
  <c r="W298" i="1"/>
  <c r="X298" i="1" s="1"/>
  <c r="Q298" i="1"/>
  <c r="U298" i="1" s="1"/>
  <c r="V298" i="1" s="1"/>
  <c r="AA297" i="1"/>
  <c r="AC297" i="1" s="1"/>
  <c r="Z297" i="1"/>
  <c r="W297" i="1"/>
  <c r="V297" i="1"/>
  <c r="U297" i="1"/>
  <c r="Q297" i="1"/>
  <c r="AA296" i="1"/>
  <c r="Z296" i="1"/>
  <c r="Y296" i="1"/>
  <c r="X296" i="1"/>
  <c r="W296" i="1"/>
  <c r="U296" i="1"/>
  <c r="Q296" i="1"/>
  <c r="AA295" i="1"/>
  <c r="Z295" i="1"/>
  <c r="Y295" i="1"/>
  <c r="W295" i="1"/>
  <c r="X295" i="1" s="1"/>
  <c r="Q295" i="1"/>
  <c r="U295" i="1" s="1"/>
  <c r="AA294" i="1"/>
  <c r="Z294" i="1"/>
  <c r="Y294" i="1"/>
  <c r="W294" i="1"/>
  <c r="X294" i="1" s="1"/>
  <c r="Q294" i="1"/>
  <c r="U294" i="1" s="1"/>
  <c r="AA293" i="1"/>
  <c r="Z293" i="1"/>
  <c r="W293" i="1"/>
  <c r="V293" i="1"/>
  <c r="AC293" i="1" s="1"/>
  <c r="U293" i="1"/>
  <c r="AB293" i="1" s="1"/>
  <c r="AB292" i="1"/>
  <c r="AA292" i="1"/>
  <c r="Z292" i="1"/>
  <c r="X292" i="1"/>
  <c r="W292" i="1"/>
  <c r="Y292" i="1" s="1"/>
  <c r="V292" i="1"/>
  <c r="AC292" i="1" s="1"/>
  <c r="U292" i="1"/>
  <c r="AA291" i="1"/>
  <c r="Z291" i="1"/>
  <c r="Y291" i="1"/>
  <c r="X291" i="1"/>
  <c r="W291" i="1"/>
  <c r="U291" i="1"/>
  <c r="Q291" i="1"/>
  <c r="AA290" i="1"/>
  <c r="Z290" i="1"/>
  <c r="Y290" i="1"/>
  <c r="W290" i="1"/>
  <c r="X290" i="1" s="1"/>
  <c r="U290" i="1"/>
  <c r="V290" i="1" s="1"/>
  <c r="J290" i="1"/>
  <c r="AC289" i="1"/>
  <c r="AB289" i="1"/>
  <c r="AA289" i="1"/>
  <c r="Z289" i="1"/>
  <c r="Y289" i="1"/>
  <c r="W289" i="1"/>
  <c r="X289" i="1" s="1"/>
  <c r="U289" i="1"/>
  <c r="V289" i="1" s="1"/>
  <c r="Q289" i="1"/>
  <c r="AA288" i="1"/>
  <c r="AC288" i="1" s="1"/>
  <c r="Z288" i="1"/>
  <c r="W288" i="1"/>
  <c r="V288" i="1"/>
  <c r="U288" i="1"/>
  <c r="AA287" i="1"/>
  <c r="Z287" i="1"/>
  <c r="W287" i="1"/>
  <c r="Y287" i="1" s="1"/>
  <c r="Q287" i="1"/>
  <c r="U287" i="1" s="1"/>
  <c r="AB286" i="1"/>
  <c r="AA286" i="1"/>
  <c r="Z286" i="1"/>
  <c r="Y286" i="1"/>
  <c r="X286" i="1"/>
  <c r="W286" i="1"/>
  <c r="V286" i="1"/>
  <c r="AC286" i="1" s="1"/>
  <c r="U286" i="1"/>
  <c r="AA285" i="1"/>
  <c r="Z285" i="1"/>
  <c r="W285" i="1"/>
  <c r="U285" i="1"/>
  <c r="V285" i="1" s="1"/>
  <c r="AC285" i="1" s="1"/>
  <c r="Q285" i="1"/>
  <c r="AB284" i="1"/>
  <c r="AA284" i="1"/>
  <c r="Z284" i="1"/>
  <c r="Y284" i="1"/>
  <c r="W284" i="1"/>
  <c r="X284" i="1" s="1"/>
  <c r="U284" i="1"/>
  <c r="V284" i="1" s="1"/>
  <c r="AC284" i="1" s="1"/>
  <c r="Q284" i="1"/>
  <c r="AA283" i="1"/>
  <c r="Z283" i="1"/>
  <c r="W283" i="1"/>
  <c r="U283" i="1"/>
  <c r="Q283" i="1"/>
  <c r="AA282" i="1"/>
  <c r="Z282" i="1"/>
  <c r="Y282" i="1"/>
  <c r="X282" i="1"/>
  <c r="W282" i="1"/>
  <c r="U282" i="1"/>
  <c r="Q282" i="1"/>
  <c r="AA281" i="1"/>
  <c r="Z281" i="1"/>
  <c r="Y281" i="1"/>
  <c r="W281" i="1"/>
  <c r="X281" i="1" s="1"/>
  <c r="U281" i="1"/>
  <c r="V281" i="1" s="1"/>
  <c r="Q281" i="1"/>
  <c r="AC280" i="1"/>
  <c r="AB280" i="1"/>
  <c r="AA280" i="1"/>
  <c r="Z280" i="1"/>
  <c r="Y280" i="1"/>
  <c r="W280" i="1"/>
  <c r="X280" i="1" s="1"/>
  <c r="U280" i="1"/>
  <c r="V280" i="1" s="1"/>
  <c r="AB279" i="1"/>
  <c r="AA279" i="1"/>
  <c r="Z279" i="1"/>
  <c r="X279" i="1"/>
  <c r="W279" i="1"/>
  <c r="Y279" i="1" s="1"/>
  <c r="V279" i="1"/>
  <c r="AC279" i="1" s="1"/>
  <c r="U279" i="1"/>
  <c r="Q279" i="1"/>
  <c r="AB278" i="1"/>
  <c r="AA278" i="1"/>
  <c r="Z278" i="1"/>
  <c r="W278" i="1"/>
  <c r="V278" i="1"/>
  <c r="AC278" i="1" s="1"/>
  <c r="Q278" i="1"/>
  <c r="U278" i="1" s="1"/>
  <c r="AA277" i="1"/>
  <c r="Z277" i="1"/>
  <c r="Y277" i="1"/>
  <c r="X277" i="1"/>
  <c r="W277" i="1"/>
  <c r="V277" i="1"/>
  <c r="AC277" i="1" s="1"/>
  <c r="Q277" i="1"/>
  <c r="U277" i="1" s="1"/>
  <c r="AB277" i="1" s="1"/>
  <c r="AA276" i="1"/>
  <c r="Z276" i="1"/>
  <c r="Y276" i="1"/>
  <c r="X276" i="1"/>
  <c r="W276" i="1"/>
  <c r="Q276" i="1"/>
  <c r="U276" i="1" s="1"/>
  <c r="J276" i="1"/>
  <c r="AA275" i="1"/>
  <c r="Z275" i="1"/>
  <c r="W275" i="1"/>
  <c r="V275" i="1"/>
  <c r="AC275" i="1" s="1"/>
  <c r="U275" i="1"/>
  <c r="AB275" i="1" s="1"/>
  <c r="Q275" i="1"/>
  <c r="AA274" i="1"/>
  <c r="Z274" i="1"/>
  <c r="W274" i="1"/>
  <c r="Y274" i="1" s="1"/>
  <c r="U274" i="1"/>
  <c r="Q274" i="1"/>
  <c r="AA273" i="1"/>
  <c r="Z273" i="1"/>
  <c r="W273" i="1"/>
  <c r="U273" i="1"/>
  <c r="V273" i="1" s="1"/>
  <c r="AC273" i="1" s="1"/>
  <c r="Q273" i="1"/>
  <c r="AA272" i="1"/>
  <c r="Z272" i="1"/>
  <c r="Y272" i="1"/>
  <c r="W272" i="1"/>
  <c r="X272" i="1" s="1"/>
  <c r="Q272" i="1"/>
  <c r="U272" i="1" s="1"/>
  <c r="AA271" i="1"/>
  <c r="Z271" i="1"/>
  <c r="W271" i="1"/>
  <c r="U271" i="1"/>
  <c r="Q271" i="1"/>
  <c r="AA270" i="1"/>
  <c r="Z270" i="1"/>
  <c r="Y270" i="1"/>
  <c r="X270" i="1"/>
  <c r="W270" i="1"/>
  <c r="U270" i="1"/>
  <c r="Q270" i="1"/>
  <c r="AA269" i="1"/>
  <c r="Z269" i="1"/>
  <c r="Y269" i="1"/>
  <c r="W269" i="1"/>
  <c r="X269" i="1" s="1"/>
  <c r="U269" i="1"/>
  <c r="V269" i="1" s="1"/>
  <c r="Q269" i="1"/>
  <c r="AA268" i="1"/>
  <c r="AC268" i="1" s="1"/>
  <c r="Z268" i="1"/>
  <c r="Y268" i="1"/>
  <c r="W268" i="1"/>
  <c r="X268" i="1" s="1"/>
  <c r="U268" i="1"/>
  <c r="V268" i="1" s="1"/>
  <c r="Q268" i="1"/>
  <c r="AC267" i="1"/>
  <c r="AA267" i="1"/>
  <c r="Z267" i="1"/>
  <c r="W267" i="1"/>
  <c r="V267" i="1"/>
  <c r="U267" i="1"/>
  <c r="Q267" i="1"/>
  <c r="J267" i="1"/>
  <c r="AA266" i="1"/>
  <c r="Z266" i="1"/>
  <c r="Y266" i="1"/>
  <c r="X266" i="1"/>
  <c r="W266" i="1"/>
  <c r="V266" i="1"/>
  <c r="AC266" i="1" s="1"/>
  <c r="Q266" i="1"/>
  <c r="U266" i="1" s="1"/>
  <c r="AB266" i="1" s="1"/>
  <c r="AA265" i="1"/>
  <c r="Z265" i="1"/>
  <c r="Y265" i="1"/>
  <c r="X265" i="1"/>
  <c r="W265" i="1"/>
  <c r="Q265" i="1"/>
  <c r="U265" i="1" s="1"/>
  <c r="V265" i="1" s="1"/>
  <c r="AA264" i="1"/>
  <c r="Z264" i="1"/>
  <c r="X264" i="1"/>
  <c r="W264" i="1"/>
  <c r="Y264" i="1" s="1"/>
  <c r="V264" i="1"/>
  <c r="AC264" i="1" s="1"/>
  <c r="U264" i="1"/>
  <c r="AB264" i="1" s="1"/>
  <c r="Q264" i="1"/>
  <c r="AA263" i="1"/>
  <c r="Z263" i="1"/>
  <c r="X263" i="1"/>
  <c r="W263" i="1"/>
  <c r="Y263" i="1" s="1"/>
  <c r="V263" i="1"/>
  <c r="AC263" i="1" s="1"/>
  <c r="Q263" i="1"/>
  <c r="U263" i="1" s="1"/>
  <c r="AB263" i="1" s="1"/>
  <c r="AA262" i="1"/>
  <c r="Z262" i="1"/>
  <c r="X262" i="1"/>
  <c r="W262" i="1"/>
  <c r="Y262" i="1" s="1"/>
  <c r="AA261" i="1"/>
  <c r="Z261" i="1"/>
  <c r="Y261" i="1"/>
  <c r="W261" i="1"/>
  <c r="X261" i="1" s="1"/>
  <c r="AA260" i="1"/>
  <c r="Z260" i="1"/>
  <c r="Y260" i="1"/>
  <c r="X260" i="1"/>
  <c r="W260" i="1"/>
  <c r="Q260" i="1"/>
  <c r="U260" i="1" s="1"/>
  <c r="AA259" i="1"/>
  <c r="Z259" i="1"/>
  <c r="X259" i="1"/>
  <c r="W259" i="1"/>
  <c r="Y259" i="1" s="1"/>
  <c r="U259" i="1"/>
  <c r="AA258" i="1"/>
  <c r="Z258" i="1"/>
  <c r="Y258" i="1"/>
  <c r="W258" i="1"/>
  <c r="X258" i="1" s="1"/>
  <c r="AA257" i="1"/>
  <c r="Z257" i="1"/>
  <c r="Y257" i="1"/>
  <c r="X257" i="1"/>
  <c r="W257" i="1"/>
  <c r="AA256" i="1"/>
  <c r="Z256" i="1"/>
  <c r="W256" i="1"/>
  <c r="Q256" i="1"/>
  <c r="AC255" i="1"/>
  <c r="AA255" i="1"/>
  <c r="Z255" i="1"/>
  <c r="W255" i="1"/>
  <c r="V255" i="1"/>
  <c r="U255" i="1"/>
  <c r="J255" i="1"/>
  <c r="AA254" i="1"/>
  <c r="Z254" i="1"/>
  <c r="W254" i="1"/>
  <c r="K254" i="1"/>
  <c r="K948" i="1" s="1"/>
  <c r="AA253" i="1"/>
  <c r="Z253" i="1"/>
  <c r="W253" i="1"/>
  <c r="V253" i="1"/>
  <c r="AC253" i="1" s="1"/>
  <c r="U253" i="1"/>
  <c r="AB253" i="1" s="1"/>
  <c r="AB252" i="1"/>
  <c r="AA252" i="1"/>
  <c r="Z252" i="1"/>
  <c r="X252" i="1"/>
  <c r="W252" i="1"/>
  <c r="Y252" i="1" s="1"/>
  <c r="V252" i="1"/>
  <c r="AC252" i="1" s="1"/>
  <c r="U252" i="1"/>
  <c r="AA251" i="1"/>
  <c r="Z251" i="1"/>
  <c r="Y251" i="1"/>
  <c r="X251" i="1"/>
  <c r="W251" i="1"/>
  <c r="U251" i="1"/>
  <c r="AB250" i="1"/>
  <c r="AA250" i="1"/>
  <c r="Z250" i="1"/>
  <c r="Y250" i="1"/>
  <c r="X250" i="1"/>
  <c r="W250" i="1"/>
  <c r="V250" i="1"/>
  <c r="AC250" i="1" s="1"/>
  <c r="U250" i="1"/>
  <c r="AA249" i="1"/>
  <c r="Z249" i="1"/>
  <c r="W249" i="1"/>
  <c r="U249" i="1"/>
  <c r="V249" i="1" s="1"/>
  <c r="AB248" i="1"/>
  <c r="AA248" i="1"/>
  <c r="Z248" i="1"/>
  <c r="Y248" i="1"/>
  <c r="X248" i="1"/>
  <c r="W248" i="1"/>
  <c r="V248" i="1"/>
  <c r="AC248" i="1" s="1"/>
  <c r="U248" i="1"/>
  <c r="AA247" i="1"/>
  <c r="Z247" i="1"/>
  <c r="Y247" i="1"/>
  <c r="W247" i="1"/>
  <c r="X247" i="1" s="1"/>
  <c r="U247" i="1"/>
  <c r="AA246" i="1"/>
  <c r="Z246" i="1"/>
  <c r="X246" i="1"/>
  <c r="W246" i="1"/>
  <c r="Y246" i="1" s="1"/>
  <c r="U246" i="1"/>
  <c r="AA245" i="1"/>
  <c r="Z245" i="1"/>
  <c r="W245" i="1"/>
  <c r="U245" i="1"/>
  <c r="AB245" i="1" s="1"/>
  <c r="AB244" i="1"/>
  <c r="AA244" i="1"/>
  <c r="Z244" i="1"/>
  <c r="X244" i="1"/>
  <c r="W244" i="1"/>
  <c r="Y244" i="1" s="1"/>
  <c r="V244" i="1"/>
  <c r="AC244" i="1" s="1"/>
  <c r="U244" i="1"/>
  <c r="AA243" i="1"/>
  <c r="Z243" i="1"/>
  <c r="Y243" i="1"/>
  <c r="W243" i="1"/>
  <c r="X243" i="1" s="1"/>
  <c r="U243" i="1"/>
  <c r="AB242" i="1"/>
  <c r="AA242" i="1"/>
  <c r="Z242" i="1"/>
  <c r="Y242" i="1"/>
  <c r="X242" i="1"/>
  <c r="W242" i="1"/>
  <c r="V242" i="1"/>
  <c r="AC242" i="1" s="1"/>
  <c r="U242" i="1"/>
  <c r="AA241" i="1"/>
  <c r="Z241" i="1"/>
  <c r="W241" i="1"/>
  <c r="U241" i="1"/>
  <c r="V241" i="1" s="1"/>
  <c r="J241" i="1"/>
  <c r="AA240" i="1"/>
  <c r="AB240" i="1" s="1"/>
  <c r="Z240" i="1"/>
  <c r="Y240" i="1"/>
  <c r="W240" i="1"/>
  <c r="X240" i="1" s="1"/>
  <c r="U240" i="1"/>
  <c r="V240" i="1" s="1"/>
  <c r="AC240" i="1" s="1"/>
  <c r="AA239" i="1"/>
  <c r="Z239" i="1"/>
  <c r="X239" i="1"/>
  <c r="W239" i="1"/>
  <c r="Y239" i="1" s="1"/>
  <c r="V239" i="1"/>
  <c r="AC239" i="1" s="1"/>
  <c r="U239" i="1"/>
  <c r="AB239" i="1" s="1"/>
  <c r="AA238" i="1"/>
  <c r="Z238" i="1"/>
  <c r="W238" i="1"/>
  <c r="V238" i="1"/>
  <c r="AC238" i="1" s="1"/>
  <c r="U238" i="1"/>
  <c r="AB238" i="1" s="1"/>
  <c r="AB237" i="1"/>
  <c r="AA237" i="1"/>
  <c r="Z237" i="1"/>
  <c r="W237" i="1"/>
  <c r="V237" i="1"/>
  <c r="AC237" i="1" s="1"/>
  <c r="U237" i="1"/>
  <c r="AA236" i="1"/>
  <c r="Z236" i="1"/>
  <c r="W236" i="1"/>
  <c r="U236" i="1"/>
  <c r="AB235" i="1"/>
  <c r="AA235" i="1"/>
  <c r="Z235" i="1"/>
  <c r="Y235" i="1"/>
  <c r="X235" i="1"/>
  <c r="W235" i="1"/>
  <c r="V235" i="1"/>
  <c r="AC235" i="1" s="1"/>
  <c r="U235" i="1"/>
  <c r="AA234" i="1"/>
  <c r="Z234" i="1"/>
  <c r="Y234" i="1"/>
  <c r="W234" i="1"/>
  <c r="X234" i="1" s="1"/>
  <c r="U234" i="1"/>
  <c r="V234" i="1" s="1"/>
  <c r="AA233" i="1"/>
  <c r="AB233" i="1" s="1"/>
  <c r="Z233" i="1"/>
  <c r="Y233" i="1"/>
  <c r="X233" i="1"/>
  <c r="W233" i="1"/>
  <c r="V233" i="1"/>
  <c r="U233" i="1"/>
  <c r="AB232" i="1"/>
  <c r="AA232" i="1"/>
  <c r="Z232" i="1"/>
  <c r="Y232" i="1"/>
  <c r="W232" i="1"/>
  <c r="X232" i="1" s="1"/>
  <c r="U232" i="1"/>
  <c r="V232" i="1" s="1"/>
  <c r="AC232" i="1" s="1"/>
  <c r="AA231" i="1"/>
  <c r="Z231" i="1"/>
  <c r="X231" i="1"/>
  <c r="W231" i="1"/>
  <c r="Y231" i="1" s="1"/>
  <c r="V231" i="1"/>
  <c r="AC231" i="1" s="1"/>
  <c r="U231" i="1"/>
  <c r="AB231" i="1" s="1"/>
  <c r="AA230" i="1"/>
  <c r="Z230" i="1"/>
  <c r="W230" i="1"/>
  <c r="V230" i="1"/>
  <c r="AC230" i="1" s="1"/>
  <c r="U230" i="1"/>
  <c r="AB230" i="1" s="1"/>
  <c r="AB229" i="1"/>
  <c r="AA229" i="1"/>
  <c r="Z229" i="1"/>
  <c r="W229" i="1"/>
  <c r="V229" i="1"/>
  <c r="AC229" i="1" s="1"/>
  <c r="U229" i="1"/>
  <c r="AA228" i="1"/>
  <c r="Z228" i="1"/>
  <c r="W228" i="1"/>
  <c r="U228" i="1"/>
  <c r="AB227" i="1"/>
  <c r="AA227" i="1"/>
  <c r="Z227" i="1"/>
  <c r="Y227" i="1"/>
  <c r="X227" i="1"/>
  <c r="W227" i="1"/>
  <c r="V227" i="1"/>
  <c r="AC227" i="1" s="1"/>
  <c r="U227" i="1"/>
  <c r="AA226" i="1"/>
  <c r="Z226" i="1"/>
  <c r="Y226" i="1"/>
  <c r="W226" i="1"/>
  <c r="X226" i="1" s="1"/>
  <c r="U226" i="1"/>
  <c r="V226" i="1" s="1"/>
  <c r="AA225" i="1"/>
  <c r="AB225" i="1" s="1"/>
  <c r="Z225" i="1"/>
  <c r="Y225" i="1"/>
  <c r="X225" i="1"/>
  <c r="W225" i="1"/>
  <c r="V225" i="1"/>
  <c r="U225" i="1"/>
  <c r="AA224" i="1"/>
  <c r="AB224" i="1" s="1"/>
  <c r="Z224" i="1"/>
  <c r="Y224" i="1"/>
  <c r="W224" i="1"/>
  <c r="X224" i="1" s="1"/>
  <c r="U224" i="1"/>
  <c r="V224" i="1" s="1"/>
  <c r="AC224" i="1" s="1"/>
  <c r="AA223" i="1"/>
  <c r="Z223" i="1"/>
  <c r="X223" i="1"/>
  <c r="W223" i="1"/>
  <c r="Y223" i="1" s="1"/>
  <c r="V223" i="1"/>
  <c r="AC223" i="1" s="1"/>
  <c r="U223" i="1"/>
  <c r="AB223" i="1" s="1"/>
  <c r="AA222" i="1"/>
  <c r="Z222" i="1"/>
  <c r="W222" i="1"/>
  <c r="V222" i="1"/>
  <c r="AC222" i="1" s="1"/>
  <c r="U222" i="1"/>
  <c r="AB222" i="1" s="1"/>
  <c r="AB221" i="1"/>
  <c r="AA221" i="1"/>
  <c r="Z221" i="1"/>
  <c r="W221" i="1"/>
  <c r="V221" i="1"/>
  <c r="AC221" i="1" s="1"/>
  <c r="U221" i="1"/>
  <c r="AA220" i="1"/>
  <c r="Z220" i="1"/>
  <c r="W220" i="1"/>
  <c r="U220" i="1"/>
  <c r="AB219" i="1"/>
  <c r="AA219" i="1"/>
  <c r="Z219" i="1"/>
  <c r="Y219" i="1"/>
  <c r="X219" i="1"/>
  <c r="W219" i="1"/>
  <c r="V219" i="1"/>
  <c r="AC219" i="1" s="1"/>
  <c r="U219" i="1"/>
  <c r="AA218" i="1"/>
  <c r="Z218" i="1"/>
  <c r="Y218" i="1"/>
  <c r="W218" i="1"/>
  <c r="X218" i="1" s="1"/>
  <c r="U218" i="1"/>
  <c r="V218" i="1" s="1"/>
  <c r="AA217" i="1"/>
  <c r="AB217" i="1" s="1"/>
  <c r="Z217" i="1"/>
  <c r="Y217" i="1"/>
  <c r="X217" i="1"/>
  <c r="W217" i="1"/>
  <c r="V217" i="1"/>
  <c r="U217" i="1"/>
  <c r="AB216" i="1"/>
  <c r="AA216" i="1"/>
  <c r="Z216" i="1"/>
  <c r="Y216" i="1"/>
  <c r="W216" i="1"/>
  <c r="X216" i="1" s="1"/>
  <c r="U216" i="1"/>
  <c r="V216" i="1" s="1"/>
  <c r="AC216" i="1" s="1"/>
  <c r="AA215" i="1"/>
  <c r="Z215" i="1"/>
  <c r="X215" i="1"/>
  <c r="W215" i="1"/>
  <c r="Y215" i="1" s="1"/>
  <c r="V215" i="1"/>
  <c r="AC215" i="1" s="1"/>
  <c r="U215" i="1"/>
  <c r="AB215" i="1" s="1"/>
  <c r="AA214" i="1"/>
  <c r="Z214" i="1"/>
  <c r="W214" i="1"/>
  <c r="V214" i="1"/>
  <c r="AC214" i="1" s="1"/>
  <c r="U214" i="1"/>
  <c r="AB214" i="1" s="1"/>
  <c r="AB213" i="1"/>
  <c r="AA213" i="1"/>
  <c r="Z213" i="1"/>
  <c r="W213" i="1"/>
  <c r="V213" i="1"/>
  <c r="AC213" i="1" s="1"/>
  <c r="U213" i="1"/>
  <c r="AA212" i="1"/>
  <c r="Z212" i="1"/>
  <c r="W212" i="1"/>
  <c r="U212" i="1"/>
  <c r="AB211" i="1"/>
  <c r="AA211" i="1"/>
  <c r="Z211" i="1"/>
  <c r="Y211" i="1"/>
  <c r="X211" i="1"/>
  <c r="W211" i="1"/>
  <c r="V211" i="1"/>
  <c r="AC211" i="1" s="1"/>
  <c r="U211" i="1"/>
  <c r="AA210" i="1"/>
  <c r="Z210" i="1"/>
  <c r="Y210" i="1"/>
  <c r="W210" i="1"/>
  <c r="X210" i="1" s="1"/>
  <c r="U210" i="1"/>
  <c r="V210" i="1" s="1"/>
  <c r="AA209" i="1"/>
  <c r="AB209" i="1" s="1"/>
  <c r="Z209" i="1"/>
  <c r="Y209" i="1"/>
  <c r="X209" i="1"/>
  <c r="W209" i="1"/>
  <c r="V209" i="1"/>
  <c r="U209" i="1"/>
  <c r="AA208" i="1"/>
  <c r="AB208" i="1" s="1"/>
  <c r="Z208" i="1"/>
  <c r="Y208" i="1"/>
  <c r="W208" i="1"/>
  <c r="X208" i="1" s="1"/>
  <c r="U208" i="1"/>
  <c r="V208" i="1" s="1"/>
  <c r="AA207" i="1"/>
  <c r="Z207" i="1"/>
  <c r="X207" i="1"/>
  <c r="W207" i="1"/>
  <c r="Y207" i="1" s="1"/>
  <c r="V207" i="1"/>
  <c r="AC207" i="1" s="1"/>
  <c r="U207" i="1"/>
  <c r="AB207" i="1" s="1"/>
  <c r="AA206" i="1"/>
  <c r="Z206" i="1"/>
  <c r="W206" i="1"/>
  <c r="V206" i="1"/>
  <c r="AC206" i="1" s="1"/>
  <c r="U206" i="1"/>
  <c r="AB206" i="1" s="1"/>
  <c r="AB205" i="1"/>
  <c r="AA205" i="1"/>
  <c r="Z205" i="1"/>
  <c r="W205" i="1"/>
  <c r="V205" i="1"/>
  <c r="AC205" i="1" s="1"/>
  <c r="U205" i="1"/>
  <c r="AA204" i="1"/>
  <c r="Z204" i="1"/>
  <c r="W204" i="1"/>
  <c r="U204" i="1"/>
  <c r="AB203" i="1"/>
  <c r="AA203" i="1"/>
  <c r="Z203" i="1"/>
  <c r="Y203" i="1"/>
  <c r="X203" i="1"/>
  <c r="W203" i="1"/>
  <c r="V203" i="1"/>
  <c r="AC203" i="1" s="1"/>
  <c r="U203" i="1"/>
  <c r="AA202" i="1"/>
  <c r="Z202" i="1"/>
  <c r="Y202" i="1"/>
  <c r="W202" i="1"/>
  <c r="X202" i="1" s="1"/>
  <c r="U202" i="1"/>
  <c r="V202" i="1" s="1"/>
  <c r="AA201" i="1"/>
  <c r="AB201" i="1" s="1"/>
  <c r="Z201" i="1"/>
  <c r="Y201" i="1"/>
  <c r="X201" i="1"/>
  <c r="W201" i="1"/>
  <c r="V201" i="1"/>
  <c r="U201" i="1"/>
  <c r="AB200" i="1"/>
  <c r="AA200" i="1"/>
  <c r="Z200" i="1"/>
  <c r="Y200" i="1"/>
  <c r="W200" i="1"/>
  <c r="X200" i="1" s="1"/>
  <c r="U200" i="1"/>
  <c r="V200" i="1" s="1"/>
  <c r="AA199" i="1"/>
  <c r="Z199" i="1"/>
  <c r="X199" i="1"/>
  <c r="W199" i="1"/>
  <c r="Y199" i="1" s="1"/>
  <c r="V199" i="1"/>
  <c r="AC199" i="1" s="1"/>
  <c r="U199" i="1"/>
  <c r="AB199" i="1" s="1"/>
  <c r="AA198" i="1"/>
  <c r="Z198" i="1"/>
  <c r="W198" i="1"/>
  <c r="V198" i="1"/>
  <c r="AC198" i="1" s="1"/>
  <c r="U198" i="1"/>
  <c r="AB198" i="1" s="1"/>
  <c r="AB197" i="1"/>
  <c r="AA197" i="1"/>
  <c r="Z197" i="1"/>
  <c r="W197" i="1"/>
  <c r="V197" i="1"/>
  <c r="AC197" i="1" s="1"/>
  <c r="U197" i="1"/>
  <c r="AA196" i="1"/>
  <c r="Z196" i="1"/>
  <c r="W196" i="1"/>
  <c r="U196" i="1"/>
  <c r="AB195" i="1"/>
  <c r="AA195" i="1"/>
  <c r="Z195" i="1"/>
  <c r="Y195" i="1"/>
  <c r="X195" i="1"/>
  <c r="W195" i="1"/>
  <c r="V195" i="1"/>
  <c r="AC195" i="1" s="1"/>
  <c r="U195" i="1"/>
  <c r="AA194" i="1"/>
  <c r="Z194" i="1"/>
  <c r="Y194" i="1"/>
  <c r="W194" i="1"/>
  <c r="X194" i="1" s="1"/>
  <c r="U194" i="1"/>
  <c r="V194" i="1" s="1"/>
  <c r="AA193" i="1"/>
  <c r="AB193" i="1" s="1"/>
  <c r="Z193" i="1"/>
  <c r="Y193" i="1"/>
  <c r="X193" i="1"/>
  <c r="W193" i="1"/>
  <c r="V193" i="1"/>
  <c r="U193" i="1"/>
  <c r="AA192" i="1"/>
  <c r="AB192" i="1" s="1"/>
  <c r="Z192" i="1"/>
  <c r="Y192" i="1"/>
  <c r="W192" i="1"/>
  <c r="X192" i="1" s="1"/>
  <c r="U192" i="1"/>
  <c r="V192" i="1" s="1"/>
  <c r="AA191" i="1"/>
  <c r="Z191" i="1"/>
  <c r="X191" i="1"/>
  <c r="W191" i="1"/>
  <c r="Y191" i="1" s="1"/>
  <c r="V191" i="1"/>
  <c r="AC191" i="1" s="1"/>
  <c r="U191" i="1"/>
  <c r="AB191" i="1" s="1"/>
  <c r="AA190" i="1"/>
  <c r="Z190" i="1"/>
  <c r="W190" i="1"/>
  <c r="V190" i="1"/>
  <c r="AC190" i="1" s="1"/>
  <c r="U190" i="1"/>
  <c r="AB190" i="1" s="1"/>
  <c r="AB189" i="1"/>
  <c r="AA189" i="1"/>
  <c r="Z189" i="1"/>
  <c r="W189" i="1"/>
  <c r="V189" i="1"/>
  <c r="AC189" i="1" s="1"/>
  <c r="U189" i="1"/>
  <c r="AA188" i="1"/>
  <c r="Z188" i="1"/>
  <c r="W188" i="1"/>
  <c r="U188" i="1"/>
  <c r="AB187" i="1"/>
  <c r="AA187" i="1"/>
  <c r="Z187" i="1"/>
  <c r="Y187" i="1"/>
  <c r="X187" i="1"/>
  <c r="W187" i="1"/>
  <c r="V187" i="1"/>
  <c r="AC187" i="1" s="1"/>
  <c r="U187" i="1"/>
  <c r="AA186" i="1"/>
  <c r="Z186" i="1"/>
  <c r="Y186" i="1"/>
  <c r="W186" i="1"/>
  <c r="X186" i="1" s="1"/>
  <c r="U186" i="1"/>
  <c r="V186" i="1" s="1"/>
  <c r="AA185" i="1"/>
  <c r="AB185" i="1" s="1"/>
  <c r="Z185" i="1"/>
  <c r="Y185" i="1"/>
  <c r="X185" i="1"/>
  <c r="W185" i="1"/>
  <c r="V185" i="1"/>
  <c r="U185" i="1"/>
  <c r="AA184" i="1"/>
  <c r="AB184" i="1" s="1"/>
  <c r="Z184" i="1"/>
  <c r="Y184" i="1"/>
  <c r="W184" i="1"/>
  <c r="X184" i="1" s="1"/>
  <c r="U184" i="1"/>
  <c r="V184" i="1" s="1"/>
  <c r="AA183" i="1"/>
  <c r="Z183" i="1"/>
  <c r="X183" i="1"/>
  <c r="W183" i="1"/>
  <c r="Y183" i="1" s="1"/>
  <c r="V183" i="1"/>
  <c r="AC183" i="1" s="1"/>
  <c r="U183" i="1"/>
  <c r="AB183" i="1" s="1"/>
  <c r="AA182" i="1"/>
  <c r="Z182" i="1"/>
  <c r="W182" i="1"/>
  <c r="V182" i="1"/>
  <c r="AC182" i="1" s="1"/>
  <c r="U182" i="1"/>
  <c r="AB182" i="1" s="1"/>
  <c r="AB181" i="1"/>
  <c r="AA181" i="1"/>
  <c r="Z181" i="1"/>
  <c r="W181" i="1"/>
  <c r="V181" i="1"/>
  <c r="AC181" i="1" s="1"/>
  <c r="U181" i="1"/>
  <c r="AA180" i="1"/>
  <c r="Z180" i="1"/>
  <c r="W180" i="1"/>
  <c r="U180" i="1"/>
  <c r="AB179" i="1"/>
  <c r="AA179" i="1"/>
  <c r="Z179" i="1"/>
  <c r="Y179" i="1"/>
  <c r="X179" i="1"/>
  <c r="W179" i="1"/>
  <c r="V179" i="1"/>
  <c r="AC179" i="1" s="1"/>
  <c r="U179" i="1"/>
  <c r="AA178" i="1"/>
  <c r="Z178" i="1"/>
  <c r="Y178" i="1"/>
  <c r="W178" i="1"/>
  <c r="X178" i="1" s="1"/>
  <c r="U178" i="1"/>
  <c r="V178" i="1" s="1"/>
  <c r="AA177" i="1"/>
  <c r="AB177" i="1" s="1"/>
  <c r="Z177" i="1"/>
  <c r="Y177" i="1"/>
  <c r="X177" i="1"/>
  <c r="W177" i="1"/>
  <c r="V177" i="1"/>
  <c r="U177" i="1"/>
  <c r="AA176" i="1"/>
  <c r="AB176" i="1" s="1"/>
  <c r="Z176" i="1"/>
  <c r="Y176" i="1"/>
  <c r="W176" i="1"/>
  <c r="X176" i="1" s="1"/>
  <c r="U176" i="1"/>
  <c r="V176" i="1" s="1"/>
  <c r="AC176" i="1" s="1"/>
  <c r="AA175" i="1"/>
  <c r="Z175" i="1"/>
  <c r="X175" i="1"/>
  <c r="W175" i="1"/>
  <c r="Y175" i="1" s="1"/>
  <c r="V175" i="1"/>
  <c r="AC175" i="1" s="1"/>
  <c r="U175" i="1"/>
  <c r="AB175" i="1" s="1"/>
  <c r="AA174" i="1"/>
  <c r="Z174" i="1"/>
  <c r="W174" i="1"/>
  <c r="V174" i="1"/>
  <c r="AC174" i="1" s="1"/>
  <c r="U174" i="1"/>
  <c r="AB174" i="1" s="1"/>
  <c r="AB173" i="1"/>
  <c r="AA173" i="1"/>
  <c r="Z173" i="1"/>
  <c r="W173" i="1"/>
  <c r="V173" i="1"/>
  <c r="AC173" i="1" s="1"/>
  <c r="U173" i="1"/>
  <c r="AA172" i="1"/>
  <c r="Z172" i="1"/>
  <c r="W172" i="1"/>
  <c r="U172" i="1"/>
  <c r="AB171" i="1"/>
  <c r="AA171" i="1"/>
  <c r="Z171" i="1"/>
  <c r="Y171" i="1"/>
  <c r="X171" i="1"/>
  <c r="W171" i="1"/>
  <c r="V171" i="1"/>
  <c r="AC171" i="1" s="1"/>
  <c r="U171" i="1"/>
  <c r="AA170" i="1"/>
  <c r="Z170" i="1"/>
  <c r="Y170" i="1"/>
  <c r="W170" i="1"/>
  <c r="X170" i="1" s="1"/>
  <c r="U170" i="1"/>
  <c r="V170" i="1" s="1"/>
  <c r="AA169" i="1"/>
  <c r="AB169" i="1" s="1"/>
  <c r="Z169" i="1"/>
  <c r="Y169" i="1"/>
  <c r="X169" i="1"/>
  <c r="W169" i="1"/>
  <c r="U169" i="1"/>
  <c r="V169" i="1" s="1"/>
  <c r="AA168" i="1"/>
  <c r="Z168" i="1"/>
  <c r="Y168" i="1"/>
  <c r="W168" i="1"/>
  <c r="X168" i="1" s="1"/>
  <c r="U168" i="1"/>
  <c r="AA167" i="1"/>
  <c r="Z167" i="1"/>
  <c r="W167" i="1"/>
  <c r="Y167" i="1" s="1"/>
  <c r="V167" i="1"/>
  <c r="AC167" i="1" s="1"/>
  <c r="U167" i="1"/>
  <c r="AB167" i="1" s="1"/>
  <c r="AA166" i="1"/>
  <c r="Z166" i="1"/>
  <c r="W166" i="1"/>
  <c r="U166" i="1"/>
  <c r="AB166" i="1" s="1"/>
  <c r="AB165" i="1"/>
  <c r="AA165" i="1"/>
  <c r="Z165" i="1"/>
  <c r="X165" i="1"/>
  <c r="W165" i="1"/>
  <c r="Y165" i="1" s="1"/>
  <c r="V165" i="1"/>
  <c r="AC165" i="1" s="1"/>
  <c r="U165" i="1"/>
  <c r="AA164" i="1"/>
  <c r="Z164" i="1"/>
  <c r="Y164" i="1"/>
  <c r="X164" i="1"/>
  <c r="W164" i="1"/>
  <c r="U164" i="1"/>
  <c r="AA163" i="1"/>
  <c r="AB163" i="1" s="1"/>
  <c r="Z163" i="1"/>
  <c r="Y163" i="1"/>
  <c r="X163" i="1"/>
  <c r="W163" i="1"/>
  <c r="V163" i="1"/>
  <c r="AC163" i="1" s="1"/>
  <c r="U163" i="1"/>
  <c r="AA162" i="1"/>
  <c r="AB162" i="1" s="1"/>
  <c r="Z162" i="1"/>
  <c r="Y162" i="1"/>
  <c r="W162" i="1"/>
  <c r="X162" i="1" s="1"/>
  <c r="U162" i="1"/>
  <c r="V162" i="1" s="1"/>
  <c r="AC162" i="1" s="1"/>
  <c r="AA161" i="1"/>
  <c r="Z161" i="1"/>
  <c r="Y161" i="1"/>
  <c r="X161" i="1"/>
  <c r="W161" i="1"/>
  <c r="U161" i="1"/>
  <c r="V161" i="1" s="1"/>
  <c r="AC161" i="1" s="1"/>
  <c r="AA160" i="1"/>
  <c r="Z160" i="1"/>
  <c r="Y160" i="1"/>
  <c r="W160" i="1"/>
  <c r="X160" i="1" s="1"/>
  <c r="U160" i="1"/>
  <c r="AB160" i="1" s="1"/>
  <c r="AA159" i="1"/>
  <c r="Z159" i="1"/>
  <c r="W159" i="1"/>
  <c r="U159" i="1"/>
  <c r="AB159" i="1" s="1"/>
  <c r="AB158" i="1"/>
  <c r="AA158" i="1"/>
  <c r="Z158" i="1"/>
  <c r="X158" i="1"/>
  <c r="W158" i="1"/>
  <c r="Y158" i="1" s="1"/>
  <c r="V158" i="1"/>
  <c r="AC158" i="1" s="1"/>
  <c r="U158" i="1"/>
  <c r="AA157" i="1"/>
  <c r="Z157" i="1"/>
  <c r="Y157" i="1"/>
  <c r="X157" i="1"/>
  <c r="W157" i="1"/>
  <c r="U157" i="1"/>
  <c r="AA156" i="1"/>
  <c r="Z156" i="1"/>
  <c r="Y156" i="1"/>
  <c r="X156" i="1"/>
  <c r="W156" i="1"/>
  <c r="U156" i="1"/>
  <c r="AB155" i="1"/>
  <c r="AA155" i="1"/>
  <c r="Z155" i="1"/>
  <c r="W155" i="1"/>
  <c r="Y155" i="1" s="1"/>
  <c r="V155" i="1"/>
  <c r="AC155" i="1" s="1"/>
  <c r="U155" i="1"/>
  <c r="AA154" i="1"/>
  <c r="Z154" i="1"/>
  <c r="Y154" i="1"/>
  <c r="X154" i="1"/>
  <c r="W154" i="1"/>
  <c r="U154" i="1"/>
  <c r="AA153" i="1"/>
  <c r="Z153" i="1"/>
  <c r="Y153" i="1"/>
  <c r="X153" i="1"/>
  <c r="W153" i="1"/>
  <c r="V153" i="1"/>
  <c r="AC153" i="1" s="1"/>
  <c r="U153" i="1"/>
  <c r="AB153" i="1" s="1"/>
  <c r="AA152" i="1"/>
  <c r="Z152" i="1"/>
  <c r="Y152" i="1"/>
  <c r="W152" i="1"/>
  <c r="X152" i="1" s="1"/>
  <c r="V152" i="1"/>
  <c r="U152" i="1"/>
  <c r="AA151" i="1"/>
  <c r="Z151" i="1"/>
  <c r="X151" i="1"/>
  <c r="W151" i="1"/>
  <c r="Y151" i="1" s="1"/>
  <c r="V151" i="1"/>
  <c r="U151" i="1"/>
  <c r="AA150" i="1"/>
  <c r="AB150" i="1" s="1"/>
  <c r="Z150" i="1"/>
  <c r="Y150" i="1"/>
  <c r="W150" i="1"/>
  <c r="X150" i="1" s="1"/>
  <c r="V150" i="1"/>
  <c r="AC150" i="1" s="1"/>
  <c r="U150" i="1"/>
  <c r="AB149" i="1"/>
  <c r="AA149" i="1"/>
  <c r="Z149" i="1"/>
  <c r="X149" i="1"/>
  <c r="W149" i="1"/>
  <c r="Y149" i="1" s="1"/>
  <c r="U149" i="1"/>
  <c r="V149" i="1" s="1"/>
  <c r="AC149" i="1" s="1"/>
  <c r="AA148" i="1"/>
  <c r="Z148" i="1"/>
  <c r="X148" i="1"/>
  <c r="W148" i="1"/>
  <c r="Y148" i="1" s="1"/>
  <c r="U148" i="1"/>
  <c r="AB147" i="1"/>
  <c r="AA147" i="1"/>
  <c r="Z147" i="1"/>
  <c r="X147" i="1"/>
  <c r="W147" i="1"/>
  <c r="Y147" i="1" s="1"/>
  <c r="V147" i="1"/>
  <c r="U147" i="1"/>
  <c r="AC146" i="1"/>
  <c r="AB146" i="1"/>
  <c r="AA146" i="1"/>
  <c r="Z146" i="1"/>
  <c r="Y146" i="1"/>
  <c r="X146" i="1"/>
  <c r="W146" i="1"/>
  <c r="U146" i="1"/>
  <c r="V146" i="1" s="1"/>
  <c r="AA145" i="1"/>
  <c r="Z145" i="1"/>
  <c r="Y145" i="1"/>
  <c r="X145" i="1"/>
  <c r="W145" i="1"/>
  <c r="U145" i="1"/>
  <c r="V145" i="1" s="1"/>
  <c r="AC145" i="1" s="1"/>
  <c r="AC144" i="1"/>
  <c r="AB144" i="1"/>
  <c r="AA144" i="1"/>
  <c r="Z144" i="1"/>
  <c r="Y144" i="1"/>
  <c r="W144" i="1"/>
  <c r="X144" i="1" s="1"/>
  <c r="U144" i="1"/>
  <c r="V144" i="1" s="1"/>
  <c r="AC143" i="1"/>
  <c r="AB143" i="1"/>
  <c r="AA143" i="1"/>
  <c r="Z143" i="1"/>
  <c r="X143" i="1"/>
  <c r="W143" i="1"/>
  <c r="Y143" i="1" s="1"/>
  <c r="U143" i="1"/>
  <c r="V143" i="1" s="1"/>
  <c r="AB142" i="1"/>
  <c r="AA142" i="1"/>
  <c r="Z142" i="1"/>
  <c r="Y142" i="1"/>
  <c r="W142" i="1"/>
  <c r="X142" i="1" s="1"/>
  <c r="U142" i="1"/>
  <c r="V142" i="1" s="1"/>
  <c r="AC142" i="1" s="1"/>
  <c r="AA141" i="1"/>
  <c r="Z141" i="1"/>
  <c r="W141" i="1"/>
  <c r="U141" i="1"/>
  <c r="AB141" i="1" s="1"/>
  <c r="AA140" i="1"/>
  <c r="Z140" i="1"/>
  <c r="W140" i="1"/>
  <c r="V140" i="1"/>
  <c r="AC140" i="1" s="1"/>
  <c r="U140" i="1"/>
  <c r="AB140" i="1" s="1"/>
  <c r="AA139" i="1"/>
  <c r="AB139" i="1" s="1"/>
  <c r="Z139" i="1"/>
  <c r="W139" i="1"/>
  <c r="V139" i="1"/>
  <c r="U139" i="1"/>
  <c r="AA138" i="1"/>
  <c r="Z138" i="1"/>
  <c r="X138" i="1"/>
  <c r="W138" i="1"/>
  <c r="Y138" i="1" s="1"/>
  <c r="U138" i="1"/>
  <c r="V138" i="1" s="1"/>
  <c r="AC138" i="1" s="1"/>
  <c r="AB137" i="1"/>
  <c r="AA137" i="1"/>
  <c r="Z137" i="1"/>
  <c r="Y137" i="1"/>
  <c r="X137" i="1"/>
  <c r="W137" i="1"/>
  <c r="V137" i="1"/>
  <c r="AC137" i="1" s="1"/>
  <c r="U137" i="1"/>
  <c r="AB136" i="1"/>
  <c r="AA136" i="1"/>
  <c r="Z136" i="1"/>
  <c r="W136" i="1"/>
  <c r="X136" i="1" s="1"/>
  <c r="V136" i="1"/>
  <c r="AC136" i="1" s="1"/>
  <c r="U136" i="1"/>
  <c r="AB135" i="1"/>
  <c r="AA135" i="1"/>
  <c r="Z135" i="1"/>
  <c r="W135" i="1"/>
  <c r="Y135" i="1" s="1"/>
  <c r="V135" i="1"/>
  <c r="AC135" i="1" s="1"/>
  <c r="U135" i="1"/>
  <c r="AA134" i="1"/>
  <c r="Z134" i="1"/>
  <c r="Y134" i="1"/>
  <c r="W134" i="1"/>
  <c r="X134" i="1" s="1"/>
  <c r="U134" i="1"/>
  <c r="AA133" i="1"/>
  <c r="Z133" i="1"/>
  <c r="Y133" i="1"/>
  <c r="X133" i="1"/>
  <c r="W133" i="1"/>
  <c r="V133" i="1"/>
  <c r="AC133" i="1" s="1"/>
  <c r="U133" i="1"/>
  <c r="AB133" i="1" s="1"/>
  <c r="AA132" i="1"/>
  <c r="Z132" i="1"/>
  <c r="Y132" i="1"/>
  <c r="X132" i="1"/>
  <c r="W132" i="1"/>
  <c r="V132" i="1"/>
  <c r="AC132" i="1" s="1"/>
  <c r="U132" i="1"/>
  <c r="AB132" i="1" s="1"/>
  <c r="AA131" i="1"/>
  <c r="AB131" i="1" s="1"/>
  <c r="Z131" i="1"/>
  <c r="Y131" i="1"/>
  <c r="W131" i="1"/>
  <c r="X131" i="1" s="1"/>
  <c r="V131" i="1"/>
  <c r="U131" i="1"/>
  <c r="AB130" i="1"/>
  <c r="AA130" i="1"/>
  <c r="Z130" i="1"/>
  <c r="X130" i="1"/>
  <c r="W130" i="1"/>
  <c r="Y130" i="1" s="1"/>
  <c r="U130" i="1"/>
  <c r="V130" i="1" s="1"/>
  <c r="AA129" i="1"/>
  <c r="AC129" i="1" s="1"/>
  <c r="Z129" i="1"/>
  <c r="Y129" i="1"/>
  <c r="X129" i="1"/>
  <c r="W129" i="1"/>
  <c r="U129" i="1"/>
  <c r="V129" i="1" s="1"/>
  <c r="AA128" i="1"/>
  <c r="Z128" i="1"/>
  <c r="Y128" i="1"/>
  <c r="W128" i="1"/>
  <c r="X128" i="1" s="1"/>
  <c r="V128" i="1"/>
  <c r="AC128" i="1" s="1"/>
  <c r="U128" i="1"/>
  <c r="AB128" i="1" s="1"/>
  <c r="AA127" i="1"/>
  <c r="Z127" i="1"/>
  <c r="W127" i="1"/>
  <c r="V127" i="1"/>
  <c r="AC127" i="1" s="1"/>
  <c r="U127" i="1"/>
  <c r="AB127" i="1" s="1"/>
  <c r="AB126" i="1"/>
  <c r="AA126" i="1"/>
  <c r="Z126" i="1"/>
  <c r="W126" i="1"/>
  <c r="Y126" i="1" s="1"/>
  <c r="V126" i="1"/>
  <c r="AC126" i="1" s="1"/>
  <c r="U126" i="1"/>
  <c r="AA125" i="1"/>
  <c r="Z125" i="1"/>
  <c r="W125" i="1"/>
  <c r="Y125" i="1" s="1"/>
  <c r="U125" i="1"/>
  <c r="AA124" i="1"/>
  <c r="Z124" i="1"/>
  <c r="Y124" i="1"/>
  <c r="X124" i="1"/>
  <c r="W124" i="1"/>
  <c r="V124" i="1"/>
  <c r="AC124" i="1" s="1"/>
  <c r="U124" i="1"/>
  <c r="AB124" i="1" s="1"/>
  <c r="AA123" i="1"/>
  <c r="AB123" i="1" s="1"/>
  <c r="Z123" i="1"/>
  <c r="W123" i="1"/>
  <c r="X123" i="1" s="1"/>
  <c r="V123" i="1"/>
  <c r="U123" i="1"/>
  <c r="AA122" i="1"/>
  <c r="AB122" i="1" s="1"/>
  <c r="Z122" i="1"/>
  <c r="X122" i="1"/>
  <c r="W122" i="1"/>
  <c r="Y122" i="1" s="1"/>
  <c r="U122" i="1"/>
  <c r="V122" i="1" s="1"/>
  <c r="AC122" i="1" s="1"/>
  <c r="AA121" i="1"/>
  <c r="Z121" i="1"/>
  <c r="Y121" i="1"/>
  <c r="X121" i="1"/>
  <c r="W121" i="1"/>
  <c r="U121" i="1"/>
  <c r="V121" i="1" s="1"/>
  <c r="AC121" i="1" s="1"/>
  <c r="AA120" i="1"/>
  <c r="Z120" i="1"/>
  <c r="Y120" i="1"/>
  <c r="W120" i="1"/>
  <c r="X120" i="1" s="1"/>
  <c r="U120" i="1"/>
  <c r="AB120" i="1" s="1"/>
  <c r="AA119" i="1"/>
  <c r="Z119" i="1"/>
  <c r="W119" i="1"/>
  <c r="U119" i="1"/>
  <c r="AB119" i="1" s="1"/>
  <c r="AB118" i="1"/>
  <c r="AA118" i="1"/>
  <c r="Z118" i="1"/>
  <c r="X118" i="1"/>
  <c r="W118" i="1"/>
  <c r="Y118" i="1" s="1"/>
  <c r="V118" i="1"/>
  <c r="AC118" i="1" s="1"/>
  <c r="U118" i="1"/>
  <c r="AA117" i="1"/>
  <c r="Z117" i="1"/>
  <c r="Y117" i="1"/>
  <c r="X117" i="1"/>
  <c r="W117" i="1"/>
  <c r="U117" i="1"/>
  <c r="AA116" i="1"/>
  <c r="Z116" i="1"/>
  <c r="Y116" i="1"/>
  <c r="X116" i="1"/>
  <c r="W116" i="1"/>
  <c r="V116" i="1"/>
  <c r="AC116" i="1" s="1"/>
  <c r="U116" i="1"/>
  <c r="AB116" i="1" s="1"/>
  <c r="AA115" i="1"/>
  <c r="AB115" i="1" s="1"/>
  <c r="Z115" i="1"/>
  <c r="Y115" i="1"/>
  <c r="W115" i="1"/>
  <c r="X115" i="1" s="1"/>
  <c r="V115" i="1"/>
  <c r="AC115" i="1" s="1"/>
  <c r="U115" i="1"/>
  <c r="AB114" i="1"/>
  <c r="AA114" i="1"/>
  <c r="Z114" i="1"/>
  <c r="X114" i="1"/>
  <c r="W114" i="1"/>
  <c r="Y114" i="1" s="1"/>
  <c r="U114" i="1"/>
  <c r="V114" i="1" s="1"/>
  <c r="AC114" i="1" s="1"/>
  <c r="AC113" i="1"/>
  <c r="AA113" i="1"/>
  <c r="Z113" i="1"/>
  <c r="Y113" i="1"/>
  <c r="X113" i="1"/>
  <c r="W113" i="1"/>
  <c r="U113" i="1"/>
  <c r="V113" i="1" s="1"/>
  <c r="AC112" i="1"/>
  <c r="AA112" i="1"/>
  <c r="Z112" i="1"/>
  <c r="Y112" i="1"/>
  <c r="W112" i="1"/>
  <c r="X112" i="1" s="1"/>
  <c r="V112" i="1"/>
  <c r="U112" i="1"/>
  <c r="AB112" i="1" s="1"/>
  <c r="AC111" i="1"/>
  <c r="AA111" i="1"/>
  <c r="Z111" i="1"/>
  <c r="W111" i="1"/>
  <c r="V111" i="1"/>
  <c r="U111" i="1"/>
  <c r="AB111" i="1" s="1"/>
  <c r="AB110" i="1"/>
  <c r="AA110" i="1"/>
  <c r="Z110" i="1"/>
  <c r="W110" i="1"/>
  <c r="Y110" i="1" s="1"/>
  <c r="V110" i="1"/>
  <c r="AC110" i="1" s="1"/>
  <c r="U110" i="1"/>
  <c r="AA109" i="1"/>
  <c r="Z109" i="1"/>
  <c r="Y109" i="1"/>
  <c r="W109" i="1"/>
  <c r="X109" i="1" s="1"/>
  <c r="U109" i="1"/>
  <c r="AA108" i="1"/>
  <c r="Z108" i="1"/>
  <c r="Y108" i="1"/>
  <c r="X108" i="1"/>
  <c r="W108" i="1"/>
  <c r="V108" i="1"/>
  <c r="AC108" i="1" s="1"/>
  <c r="U108" i="1"/>
  <c r="AB108" i="1" s="1"/>
  <c r="AA107" i="1"/>
  <c r="AB107" i="1" s="1"/>
  <c r="Z107" i="1"/>
  <c r="W107" i="1"/>
  <c r="X107" i="1" s="1"/>
  <c r="V107" i="1"/>
  <c r="AC107" i="1" s="1"/>
  <c r="U107" i="1"/>
  <c r="AA106" i="1"/>
  <c r="AB106" i="1" s="1"/>
  <c r="Z106" i="1"/>
  <c r="X106" i="1"/>
  <c r="W106" i="1"/>
  <c r="Y106" i="1" s="1"/>
  <c r="U106" i="1"/>
  <c r="V106" i="1" s="1"/>
  <c r="AC106" i="1" s="1"/>
  <c r="AB105" i="1"/>
  <c r="AA105" i="1"/>
  <c r="Z105" i="1"/>
  <c r="Y105" i="1"/>
  <c r="X105" i="1"/>
  <c r="W105" i="1"/>
  <c r="U105" i="1"/>
  <c r="V105" i="1" s="1"/>
  <c r="AC105" i="1" s="1"/>
  <c r="AB104" i="1"/>
  <c r="AA104" i="1"/>
  <c r="Z104" i="1"/>
  <c r="Y104" i="1"/>
  <c r="W104" i="1"/>
  <c r="X104" i="1" s="1"/>
  <c r="U104" i="1"/>
  <c r="V104" i="1" s="1"/>
  <c r="AC104" i="1" s="1"/>
  <c r="AA103" i="1"/>
  <c r="Z103" i="1"/>
  <c r="W103" i="1"/>
  <c r="U103" i="1"/>
  <c r="AB102" i="1"/>
  <c r="AA102" i="1"/>
  <c r="Z102" i="1"/>
  <c r="X102" i="1"/>
  <c r="W102" i="1"/>
  <c r="Y102" i="1" s="1"/>
  <c r="V102" i="1"/>
  <c r="AC102" i="1" s="1"/>
  <c r="U102" i="1"/>
  <c r="AA101" i="1"/>
  <c r="Z101" i="1"/>
  <c r="Y101" i="1"/>
  <c r="X101" i="1"/>
  <c r="W101" i="1"/>
  <c r="U101" i="1"/>
  <c r="AA100" i="1"/>
  <c r="Z100" i="1"/>
  <c r="Y100" i="1"/>
  <c r="X100" i="1"/>
  <c r="W100" i="1"/>
  <c r="V100" i="1"/>
  <c r="AC100" i="1" s="1"/>
  <c r="U100" i="1"/>
  <c r="AB100" i="1" s="1"/>
  <c r="AA99" i="1"/>
  <c r="AB99" i="1" s="1"/>
  <c r="Z99" i="1"/>
  <c r="Y99" i="1"/>
  <c r="W99" i="1"/>
  <c r="X99" i="1" s="1"/>
  <c r="V99" i="1"/>
  <c r="AC99" i="1" s="1"/>
  <c r="U99" i="1"/>
  <c r="AB98" i="1"/>
  <c r="AA98" i="1"/>
  <c r="Z98" i="1"/>
  <c r="X98" i="1"/>
  <c r="W98" i="1"/>
  <c r="Y98" i="1" s="1"/>
  <c r="U98" i="1"/>
  <c r="V98" i="1" s="1"/>
  <c r="AC98" i="1" s="1"/>
  <c r="AA97" i="1"/>
  <c r="AC97" i="1" s="1"/>
  <c r="Z97" i="1"/>
  <c r="Y97" i="1"/>
  <c r="X97" i="1"/>
  <c r="W97" i="1"/>
  <c r="U97" i="1"/>
  <c r="V97" i="1" s="1"/>
  <c r="AA96" i="1"/>
  <c r="Z96" i="1"/>
  <c r="Y96" i="1"/>
  <c r="W96" i="1"/>
  <c r="X96" i="1" s="1"/>
  <c r="V96" i="1"/>
  <c r="AC96" i="1" s="1"/>
  <c r="U96" i="1"/>
  <c r="AB96" i="1" s="1"/>
  <c r="AC95" i="1"/>
  <c r="AA95" i="1"/>
  <c r="Z95" i="1"/>
  <c r="W95" i="1"/>
  <c r="V95" i="1"/>
  <c r="U95" i="1"/>
  <c r="AB94" i="1"/>
  <c r="AA94" i="1"/>
  <c r="Z94" i="1"/>
  <c r="W94" i="1"/>
  <c r="Y94" i="1" s="1"/>
  <c r="V94" i="1"/>
  <c r="AC94" i="1" s="1"/>
  <c r="U94" i="1"/>
  <c r="AA93" i="1"/>
  <c r="Z93" i="1"/>
  <c r="W93" i="1"/>
  <c r="Y93" i="1" s="1"/>
  <c r="U93" i="1"/>
  <c r="AA92" i="1"/>
  <c r="Z92" i="1"/>
  <c r="Y92" i="1"/>
  <c r="X92" i="1"/>
  <c r="W92" i="1"/>
  <c r="V92" i="1"/>
  <c r="AC92" i="1" s="1"/>
  <c r="U92" i="1"/>
  <c r="AB92" i="1" s="1"/>
  <c r="AA91" i="1"/>
  <c r="AB91" i="1" s="1"/>
  <c r="Z91" i="1"/>
  <c r="W91" i="1"/>
  <c r="X91" i="1" s="1"/>
  <c r="V91" i="1"/>
  <c r="AC91" i="1" s="1"/>
  <c r="U91" i="1"/>
  <c r="AA90" i="1"/>
  <c r="AB90" i="1" s="1"/>
  <c r="Z90" i="1"/>
  <c r="X90" i="1"/>
  <c r="W90" i="1"/>
  <c r="Y90" i="1" s="1"/>
  <c r="U90" i="1"/>
  <c r="V90" i="1" s="1"/>
  <c r="AA89" i="1"/>
  <c r="Z89" i="1"/>
  <c r="Y89" i="1"/>
  <c r="X89" i="1"/>
  <c r="W89" i="1"/>
  <c r="U89" i="1"/>
  <c r="V89" i="1" s="1"/>
  <c r="AC89" i="1" s="1"/>
  <c r="AA88" i="1"/>
  <c r="Z88" i="1"/>
  <c r="Y88" i="1"/>
  <c r="W88" i="1"/>
  <c r="X88" i="1" s="1"/>
  <c r="U88" i="1"/>
  <c r="V88" i="1" s="1"/>
  <c r="AC88" i="1" s="1"/>
  <c r="AA87" i="1"/>
  <c r="Z87" i="1"/>
  <c r="W87" i="1"/>
  <c r="U87" i="1"/>
  <c r="AB86" i="1"/>
  <c r="AA86" i="1"/>
  <c r="Z86" i="1"/>
  <c r="X86" i="1"/>
  <c r="W86" i="1"/>
  <c r="Y86" i="1" s="1"/>
  <c r="V86" i="1"/>
  <c r="AC86" i="1" s="1"/>
  <c r="U86" i="1"/>
  <c r="AA85" i="1"/>
  <c r="Z85" i="1"/>
  <c r="Y85" i="1"/>
  <c r="X85" i="1"/>
  <c r="W85" i="1"/>
  <c r="U85" i="1"/>
  <c r="AA84" i="1"/>
  <c r="Z84" i="1"/>
  <c r="Y84" i="1"/>
  <c r="X84" i="1"/>
  <c r="W84" i="1"/>
  <c r="V84" i="1"/>
  <c r="AC84" i="1" s="1"/>
  <c r="U84" i="1"/>
  <c r="AB84" i="1" s="1"/>
  <c r="AA83" i="1"/>
  <c r="AB83" i="1" s="1"/>
  <c r="Z83" i="1"/>
  <c r="Y83" i="1"/>
  <c r="W83" i="1"/>
  <c r="X83" i="1" s="1"/>
  <c r="V83" i="1"/>
  <c r="U83" i="1"/>
  <c r="AB82" i="1"/>
  <c r="AA82" i="1"/>
  <c r="Z82" i="1"/>
  <c r="X82" i="1"/>
  <c r="W82" i="1"/>
  <c r="Y82" i="1" s="1"/>
  <c r="U82" i="1"/>
  <c r="V82" i="1" s="1"/>
  <c r="AC81" i="1"/>
  <c r="AA81" i="1"/>
  <c r="AB81" i="1" s="1"/>
  <c r="Z81" i="1"/>
  <c r="Y81" i="1"/>
  <c r="X81" i="1"/>
  <c r="W81" i="1"/>
  <c r="U81" i="1"/>
  <c r="V81" i="1" s="1"/>
  <c r="AC80" i="1"/>
  <c r="AB80" i="1"/>
  <c r="AA80" i="1"/>
  <c r="Z80" i="1"/>
  <c r="Y80" i="1"/>
  <c r="W80" i="1"/>
  <c r="X80" i="1" s="1"/>
  <c r="V80" i="1"/>
  <c r="U80" i="1"/>
  <c r="AA79" i="1"/>
  <c r="Z79" i="1"/>
  <c r="W79" i="1"/>
  <c r="V79" i="1"/>
  <c r="AC79" i="1" s="1"/>
  <c r="U79" i="1"/>
  <c r="AB78" i="1"/>
  <c r="AA78" i="1"/>
  <c r="Z78" i="1"/>
  <c r="W78" i="1"/>
  <c r="Y78" i="1" s="1"/>
  <c r="V78" i="1"/>
  <c r="AC78" i="1" s="1"/>
  <c r="U78" i="1"/>
  <c r="AA77" i="1"/>
  <c r="Z77" i="1"/>
  <c r="Y77" i="1"/>
  <c r="W77" i="1"/>
  <c r="X77" i="1" s="1"/>
  <c r="U77" i="1"/>
  <c r="AA76" i="1"/>
  <c r="Z76" i="1"/>
  <c r="Y76" i="1"/>
  <c r="X76" i="1"/>
  <c r="W76" i="1"/>
  <c r="V76" i="1"/>
  <c r="AC76" i="1" s="1"/>
  <c r="U76" i="1"/>
  <c r="AB76" i="1" s="1"/>
  <c r="AA75" i="1"/>
  <c r="AB75" i="1" s="1"/>
  <c r="Z75" i="1"/>
  <c r="W75" i="1"/>
  <c r="X75" i="1" s="1"/>
  <c r="V75" i="1"/>
  <c r="U75" i="1"/>
  <c r="AA74" i="1"/>
  <c r="AB74" i="1" s="1"/>
  <c r="Z74" i="1"/>
  <c r="X74" i="1"/>
  <c r="W74" i="1"/>
  <c r="Y74" i="1" s="1"/>
  <c r="U74" i="1"/>
  <c r="V74" i="1" s="1"/>
  <c r="AB73" i="1"/>
  <c r="AA73" i="1"/>
  <c r="Z73" i="1"/>
  <c r="Y73" i="1"/>
  <c r="X73" i="1"/>
  <c r="W73" i="1"/>
  <c r="U73" i="1"/>
  <c r="V73" i="1" s="1"/>
  <c r="AC73" i="1" s="1"/>
  <c r="AB72" i="1"/>
  <c r="AA72" i="1"/>
  <c r="Z72" i="1"/>
  <c r="Y72" i="1"/>
  <c r="W72" i="1"/>
  <c r="X72" i="1" s="1"/>
  <c r="U72" i="1"/>
  <c r="V72" i="1" s="1"/>
  <c r="AC72" i="1" s="1"/>
  <c r="AA71" i="1"/>
  <c r="Z71" i="1"/>
  <c r="W71" i="1"/>
  <c r="U71" i="1"/>
  <c r="AB71" i="1" s="1"/>
  <c r="AB70" i="1"/>
  <c r="AA70" i="1"/>
  <c r="Z70" i="1"/>
  <c r="X70" i="1"/>
  <c r="W70" i="1"/>
  <c r="Y70" i="1" s="1"/>
  <c r="V70" i="1"/>
  <c r="AC70" i="1" s="1"/>
  <c r="U70" i="1"/>
  <c r="AA69" i="1"/>
  <c r="Z69" i="1"/>
  <c r="X69" i="1"/>
  <c r="W69" i="1"/>
  <c r="Y69" i="1" s="1"/>
  <c r="U69" i="1"/>
  <c r="AA68" i="1"/>
  <c r="Z68" i="1"/>
  <c r="Y68" i="1"/>
  <c r="X68" i="1"/>
  <c r="W68" i="1"/>
  <c r="V68" i="1"/>
  <c r="AC68" i="1" s="1"/>
  <c r="U68" i="1"/>
  <c r="AB68" i="1" s="1"/>
  <c r="AA67" i="1"/>
  <c r="AB67" i="1" s="1"/>
  <c r="Z67" i="1"/>
  <c r="Y67" i="1"/>
  <c r="W67" i="1"/>
  <c r="X67" i="1" s="1"/>
  <c r="V67" i="1"/>
  <c r="U67" i="1"/>
  <c r="AB66" i="1"/>
  <c r="AA66" i="1"/>
  <c r="Z66" i="1"/>
  <c r="X66" i="1"/>
  <c r="W66" i="1"/>
  <c r="Y66" i="1" s="1"/>
  <c r="U66" i="1"/>
  <c r="V66" i="1" s="1"/>
  <c r="AA65" i="1"/>
  <c r="AC65" i="1" s="1"/>
  <c r="Z65" i="1"/>
  <c r="Y65" i="1"/>
  <c r="X65" i="1"/>
  <c r="W65" i="1"/>
  <c r="U65" i="1"/>
  <c r="V65" i="1" s="1"/>
  <c r="AA64" i="1"/>
  <c r="Z64" i="1"/>
  <c r="Y64" i="1"/>
  <c r="W64" i="1"/>
  <c r="X64" i="1" s="1"/>
  <c r="V64" i="1"/>
  <c r="AC64" i="1" s="1"/>
  <c r="U64" i="1"/>
  <c r="AB64" i="1" s="1"/>
  <c r="AA63" i="1"/>
  <c r="Z63" i="1"/>
  <c r="W63" i="1"/>
  <c r="V63" i="1"/>
  <c r="AC63" i="1" s="1"/>
  <c r="U63" i="1"/>
  <c r="AB63" i="1" s="1"/>
  <c r="AB62" i="1"/>
  <c r="AA62" i="1"/>
  <c r="Z62" i="1"/>
  <c r="W62" i="1"/>
  <c r="Y62" i="1" s="1"/>
  <c r="V62" i="1"/>
  <c r="AC62" i="1" s="1"/>
  <c r="U62" i="1"/>
  <c r="AA61" i="1"/>
  <c r="Z61" i="1"/>
  <c r="W61" i="1"/>
  <c r="Y61" i="1" s="1"/>
  <c r="U61" i="1"/>
  <c r="AA60" i="1"/>
  <c r="Z60" i="1"/>
  <c r="Y60" i="1"/>
  <c r="X60" i="1"/>
  <c r="W60" i="1"/>
  <c r="V60" i="1"/>
  <c r="AC60" i="1" s="1"/>
  <c r="U60" i="1"/>
  <c r="AB60" i="1" s="1"/>
  <c r="AA59" i="1"/>
  <c r="AB59" i="1" s="1"/>
  <c r="Z59" i="1"/>
  <c r="W59" i="1"/>
  <c r="X59" i="1" s="1"/>
  <c r="V59" i="1"/>
  <c r="U59" i="1"/>
  <c r="AA58" i="1"/>
  <c r="AB58" i="1" s="1"/>
  <c r="Z58" i="1"/>
  <c r="X58" i="1"/>
  <c r="W58" i="1"/>
  <c r="Y58" i="1" s="1"/>
  <c r="U58" i="1"/>
  <c r="V58" i="1" s="1"/>
  <c r="AC58" i="1" s="1"/>
  <c r="AA57" i="1"/>
  <c r="Z57" i="1"/>
  <c r="Y57" i="1"/>
  <c r="X57" i="1"/>
  <c r="W57" i="1"/>
  <c r="U57" i="1"/>
  <c r="V57" i="1" s="1"/>
  <c r="AC57" i="1" s="1"/>
  <c r="AA56" i="1"/>
  <c r="Z56" i="1"/>
  <c r="Y56" i="1"/>
  <c r="W56" i="1"/>
  <c r="X56" i="1" s="1"/>
  <c r="U56" i="1"/>
  <c r="AB56" i="1" s="1"/>
  <c r="AA55" i="1"/>
  <c r="Z55" i="1"/>
  <c r="W55" i="1"/>
  <c r="U55" i="1"/>
  <c r="AB55" i="1" s="1"/>
  <c r="AB54" i="1"/>
  <c r="AA54" i="1"/>
  <c r="Z54" i="1"/>
  <c r="X54" i="1"/>
  <c r="W54" i="1"/>
  <c r="Y54" i="1" s="1"/>
  <c r="V54" i="1"/>
  <c r="AC54" i="1" s="1"/>
  <c r="U54" i="1"/>
  <c r="AA53" i="1"/>
  <c r="Z53" i="1"/>
  <c r="Y53" i="1"/>
  <c r="X53" i="1"/>
  <c r="W53" i="1"/>
  <c r="U53" i="1"/>
  <c r="AA52" i="1"/>
  <c r="Z52" i="1"/>
  <c r="Y52" i="1"/>
  <c r="X52" i="1"/>
  <c r="W52" i="1"/>
  <c r="V52" i="1"/>
  <c r="AC52" i="1" s="1"/>
  <c r="U52" i="1"/>
  <c r="AB52" i="1" s="1"/>
  <c r="AA51" i="1"/>
  <c r="AB51" i="1" s="1"/>
  <c r="Z51" i="1"/>
  <c r="Y51" i="1"/>
  <c r="W51" i="1"/>
  <c r="X51" i="1" s="1"/>
  <c r="V51" i="1"/>
  <c r="AC51" i="1" s="1"/>
  <c r="U51" i="1"/>
  <c r="J51" i="1"/>
  <c r="AB50" i="1"/>
  <c r="AA50" i="1"/>
  <c r="Z50" i="1"/>
  <c r="Y50" i="1"/>
  <c r="X50" i="1"/>
  <c r="W50" i="1"/>
  <c r="U50" i="1"/>
  <c r="V50" i="1" s="1"/>
  <c r="AC50" i="1" s="1"/>
  <c r="AB49" i="1"/>
  <c r="AA49" i="1"/>
  <c r="Z49" i="1"/>
  <c r="Y49" i="1"/>
  <c r="W49" i="1"/>
  <c r="X49" i="1" s="1"/>
  <c r="U49" i="1"/>
  <c r="V49" i="1" s="1"/>
  <c r="AC49" i="1" s="1"/>
  <c r="AA48" i="1"/>
  <c r="Z48" i="1"/>
  <c r="W48" i="1"/>
  <c r="U48" i="1"/>
  <c r="AB48" i="1" s="1"/>
  <c r="AB47" i="1"/>
  <c r="AA47" i="1"/>
  <c r="Z47" i="1"/>
  <c r="X47" i="1"/>
  <c r="W47" i="1"/>
  <c r="Y47" i="1" s="1"/>
  <c r="V47" i="1"/>
  <c r="AC47" i="1" s="1"/>
  <c r="U47" i="1"/>
  <c r="AA46" i="1"/>
  <c r="Z46" i="1"/>
  <c r="X46" i="1"/>
  <c r="W46" i="1"/>
  <c r="Y46" i="1" s="1"/>
  <c r="U46" i="1"/>
  <c r="AA45" i="1"/>
  <c r="Z45" i="1"/>
  <c r="Y45" i="1"/>
  <c r="X45" i="1"/>
  <c r="W45" i="1"/>
  <c r="V45" i="1"/>
  <c r="AC45" i="1" s="1"/>
  <c r="U45" i="1"/>
  <c r="AB45" i="1" s="1"/>
  <c r="AA44" i="1"/>
  <c r="AB44" i="1" s="1"/>
  <c r="Z44" i="1"/>
  <c r="Y44" i="1"/>
  <c r="W44" i="1"/>
  <c r="X44" i="1" s="1"/>
  <c r="V44" i="1"/>
  <c r="U44" i="1"/>
  <c r="AB43" i="1"/>
  <c r="AA43" i="1"/>
  <c r="Z43" i="1"/>
  <c r="X43" i="1"/>
  <c r="W43" i="1"/>
  <c r="Y43" i="1" s="1"/>
  <c r="U43" i="1"/>
  <c r="V43" i="1" s="1"/>
  <c r="AA42" i="1"/>
  <c r="AC42" i="1" s="1"/>
  <c r="Z42" i="1"/>
  <c r="Y42" i="1"/>
  <c r="X42" i="1"/>
  <c r="W42" i="1"/>
  <c r="U42" i="1"/>
  <c r="V42" i="1" s="1"/>
  <c r="AA41" i="1"/>
  <c r="Z41" i="1"/>
  <c r="Y41" i="1"/>
  <c r="W41" i="1"/>
  <c r="X41" i="1" s="1"/>
  <c r="V41" i="1"/>
  <c r="AC41" i="1" s="1"/>
  <c r="U41" i="1"/>
  <c r="AB41" i="1" s="1"/>
  <c r="AA40" i="1"/>
  <c r="Z40" i="1"/>
  <c r="W40" i="1"/>
  <c r="V40" i="1"/>
  <c r="AC40" i="1" s="1"/>
  <c r="U40" i="1"/>
  <c r="AB40" i="1" s="1"/>
  <c r="AB39" i="1"/>
  <c r="AA39" i="1"/>
  <c r="Z39" i="1"/>
  <c r="W39" i="1"/>
  <c r="Y39" i="1" s="1"/>
  <c r="V39" i="1"/>
  <c r="AC39" i="1" s="1"/>
  <c r="U39" i="1"/>
  <c r="AA38" i="1"/>
  <c r="Z38" i="1"/>
  <c r="W38" i="1"/>
  <c r="Y38" i="1" s="1"/>
  <c r="U38" i="1"/>
  <c r="AA37" i="1"/>
  <c r="Z37" i="1"/>
  <c r="Y37" i="1"/>
  <c r="X37" i="1"/>
  <c r="W37" i="1"/>
  <c r="V37" i="1"/>
  <c r="AC37" i="1" s="1"/>
  <c r="U37" i="1"/>
  <c r="AB37" i="1" s="1"/>
  <c r="AA36" i="1"/>
  <c r="AB36" i="1" s="1"/>
  <c r="Z36" i="1"/>
  <c r="W36" i="1"/>
  <c r="X36" i="1" s="1"/>
  <c r="V36" i="1"/>
  <c r="U36" i="1"/>
  <c r="AA35" i="1"/>
  <c r="AB35" i="1" s="1"/>
  <c r="Z35" i="1"/>
  <c r="X35" i="1"/>
  <c r="W35" i="1"/>
  <c r="Y35" i="1" s="1"/>
  <c r="U35" i="1"/>
  <c r="V35" i="1" s="1"/>
  <c r="AC35" i="1" s="1"/>
  <c r="AA34" i="1"/>
  <c r="Z34" i="1"/>
  <c r="Y34" i="1"/>
  <c r="X34" i="1"/>
  <c r="W34" i="1"/>
  <c r="U34" i="1"/>
  <c r="V34" i="1" s="1"/>
  <c r="AC34" i="1" s="1"/>
  <c r="AA33" i="1"/>
  <c r="Z33" i="1"/>
  <c r="Y33" i="1"/>
  <c r="W33" i="1"/>
  <c r="X33" i="1" s="1"/>
  <c r="U33" i="1"/>
  <c r="AB33" i="1" s="1"/>
  <c r="AA32" i="1"/>
  <c r="Z32" i="1"/>
  <c r="W32" i="1"/>
  <c r="U32" i="1"/>
  <c r="AB32" i="1" s="1"/>
  <c r="AB31" i="1"/>
  <c r="AA31" i="1"/>
  <c r="Z31" i="1"/>
  <c r="X31" i="1"/>
  <c r="W31" i="1"/>
  <c r="Y31" i="1" s="1"/>
  <c r="V31" i="1"/>
  <c r="AC31" i="1" s="1"/>
  <c r="U31" i="1"/>
  <c r="AA30" i="1"/>
  <c r="Z30" i="1"/>
  <c r="Y30" i="1"/>
  <c r="X30" i="1"/>
  <c r="W30" i="1"/>
  <c r="U30" i="1"/>
  <c r="AA29" i="1"/>
  <c r="Z29" i="1"/>
  <c r="Y29" i="1"/>
  <c r="X29" i="1"/>
  <c r="W29" i="1"/>
  <c r="V29" i="1"/>
  <c r="AC29" i="1" s="1"/>
  <c r="U29" i="1"/>
  <c r="AB29" i="1" s="1"/>
  <c r="AA28" i="1"/>
  <c r="AB28" i="1" s="1"/>
  <c r="Z28" i="1"/>
  <c r="Y28" i="1"/>
  <c r="W28" i="1"/>
  <c r="X28" i="1" s="1"/>
  <c r="V28" i="1"/>
  <c r="AC28" i="1" s="1"/>
  <c r="U28" i="1"/>
  <c r="AB27" i="1"/>
  <c r="AA27" i="1"/>
  <c r="Z27" i="1"/>
  <c r="X27" i="1"/>
  <c r="W27" i="1"/>
  <c r="Y27" i="1" s="1"/>
  <c r="U27" i="1"/>
  <c r="V27" i="1" s="1"/>
  <c r="AC27" i="1" s="1"/>
  <c r="AC26" i="1"/>
  <c r="AA26" i="1"/>
  <c r="Z26" i="1"/>
  <c r="Y26" i="1"/>
  <c r="X26" i="1"/>
  <c r="W26" i="1"/>
  <c r="U26" i="1"/>
  <c r="V26" i="1" s="1"/>
  <c r="AC25" i="1"/>
  <c r="AA25" i="1"/>
  <c r="Z25" i="1"/>
  <c r="Y25" i="1"/>
  <c r="W25" i="1"/>
  <c r="X25" i="1" s="1"/>
  <c r="V25" i="1"/>
  <c r="U25" i="1"/>
  <c r="AB25" i="1" s="1"/>
  <c r="AC24" i="1"/>
  <c r="AA24" i="1"/>
  <c r="Z24" i="1"/>
  <c r="W24" i="1"/>
  <c r="V24" i="1"/>
  <c r="U24" i="1"/>
  <c r="AB24" i="1" s="1"/>
  <c r="AB23" i="1"/>
  <c r="AA23" i="1"/>
  <c r="Z23" i="1"/>
  <c r="W23" i="1"/>
  <c r="Y23" i="1" s="1"/>
  <c r="V23" i="1"/>
  <c r="AC23" i="1" s="1"/>
  <c r="U23" i="1"/>
  <c r="AA22" i="1"/>
  <c r="Z22" i="1"/>
  <c r="Y22" i="1"/>
  <c r="W22" i="1"/>
  <c r="X22" i="1" s="1"/>
  <c r="U22" i="1"/>
  <c r="AA21" i="1"/>
  <c r="Z21" i="1"/>
  <c r="Y21" i="1"/>
  <c r="X21" i="1"/>
  <c r="W21" i="1"/>
  <c r="V21" i="1"/>
  <c r="AC21" i="1" s="1"/>
  <c r="U21" i="1"/>
  <c r="AB21" i="1" s="1"/>
  <c r="AA20" i="1"/>
  <c r="AB20" i="1" s="1"/>
  <c r="Z20" i="1"/>
  <c r="W20" i="1"/>
  <c r="X20" i="1" s="1"/>
  <c r="V20" i="1"/>
  <c r="AC20" i="1" s="1"/>
  <c r="U20" i="1"/>
  <c r="AA19" i="1"/>
  <c r="AB19" i="1" s="1"/>
  <c r="Z19" i="1"/>
  <c r="X19" i="1"/>
  <c r="W19" i="1"/>
  <c r="Y19" i="1" s="1"/>
  <c r="U19" i="1"/>
  <c r="V19" i="1" s="1"/>
  <c r="AC19" i="1" s="1"/>
  <c r="AB18" i="1"/>
  <c r="AA18" i="1"/>
  <c r="Z18" i="1"/>
  <c r="Y18" i="1"/>
  <c r="X18" i="1"/>
  <c r="W18" i="1"/>
  <c r="U18" i="1"/>
  <c r="V18" i="1" s="1"/>
  <c r="AC18" i="1" s="1"/>
  <c r="AA17" i="1"/>
  <c r="Z17" i="1"/>
  <c r="Y17" i="1"/>
  <c r="W17" i="1"/>
  <c r="X17" i="1" s="1"/>
  <c r="U17" i="1"/>
  <c r="V17" i="1" s="1"/>
  <c r="AC17" i="1" s="1"/>
  <c r="AA16" i="1"/>
  <c r="Z16" i="1"/>
  <c r="W16" i="1"/>
  <c r="U16" i="1"/>
  <c r="AB15" i="1"/>
  <c r="AA15" i="1"/>
  <c r="Z15" i="1"/>
  <c r="X15" i="1"/>
  <c r="W15" i="1"/>
  <c r="Y15" i="1" s="1"/>
  <c r="V15" i="1"/>
  <c r="AC15" i="1" s="1"/>
  <c r="U15" i="1"/>
  <c r="AA14" i="1"/>
  <c r="Z14" i="1"/>
  <c r="Y14" i="1"/>
  <c r="X14" i="1"/>
  <c r="W14" i="1"/>
  <c r="U14" i="1"/>
  <c r="AA13" i="1"/>
  <c r="Z13" i="1"/>
  <c r="Y13" i="1"/>
  <c r="X13" i="1"/>
  <c r="W13" i="1"/>
  <c r="V13" i="1"/>
  <c r="AC13" i="1" s="1"/>
  <c r="U13" i="1"/>
  <c r="AB13" i="1" s="1"/>
  <c r="AA12" i="1"/>
  <c r="AB12" i="1" s="1"/>
  <c r="Z12" i="1"/>
  <c r="Y12" i="1"/>
  <c r="W12" i="1"/>
  <c r="X12" i="1" s="1"/>
  <c r="V12" i="1"/>
  <c r="AC12" i="1" s="1"/>
  <c r="U12" i="1"/>
  <c r="AB11" i="1"/>
  <c r="AA11" i="1"/>
  <c r="Z11" i="1"/>
  <c r="X11" i="1"/>
  <c r="W11" i="1"/>
  <c r="Y11" i="1" s="1"/>
  <c r="U11" i="1"/>
  <c r="V11" i="1" s="1"/>
  <c r="AC11" i="1" s="1"/>
  <c r="AA10" i="1"/>
  <c r="AC10" i="1" s="1"/>
  <c r="Z10" i="1"/>
  <c r="Y10" i="1"/>
  <c r="X10" i="1"/>
  <c r="W10" i="1"/>
  <c r="U10" i="1"/>
  <c r="V10" i="1" s="1"/>
  <c r="AC9" i="1"/>
  <c r="AA9" i="1"/>
  <c r="Z9" i="1"/>
  <c r="Y9" i="1"/>
  <c r="W9" i="1"/>
  <c r="X9" i="1" s="1"/>
  <c r="V9" i="1"/>
  <c r="U9" i="1"/>
  <c r="AB9" i="1" s="1"/>
  <c r="AC8" i="1"/>
  <c r="AA8" i="1"/>
  <c r="Z8" i="1"/>
  <c r="W8" i="1"/>
  <c r="V8" i="1"/>
  <c r="U8" i="1"/>
  <c r="AB7" i="1"/>
  <c r="AA7" i="1"/>
  <c r="Z7" i="1"/>
  <c r="W7" i="1"/>
  <c r="Y7" i="1" s="1"/>
  <c r="V7" i="1"/>
  <c r="AC7" i="1" s="1"/>
  <c r="U7" i="1"/>
  <c r="AA6" i="1"/>
  <c r="Z6" i="1"/>
  <c r="W6" i="1"/>
  <c r="Y6" i="1" s="1"/>
  <c r="U6" i="1"/>
  <c r="AA5" i="1"/>
  <c r="Z5" i="1"/>
  <c r="Y5" i="1"/>
  <c r="X5" i="1"/>
  <c r="W5" i="1"/>
  <c r="V5" i="1"/>
  <c r="AC5" i="1" s="1"/>
  <c r="U5" i="1"/>
  <c r="AB5" i="1" s="1"/>
  <c r="AA4" i="1"/>
  <c r="AB4" i="1" s="1"/>
  <c r="Z4" i="1"/>
  <c r="W4" i="1"/>
  <c r="X4" i="1" s="1"/>
  <c r="V4" i="1"/>
  <c r="AC4" i="1" s="1"/>
  <c r="U4" i="1"/>
  <c r="AA3" i="1"/>
  <c r="AB3" i="1" s="1"/>
  <c r="Z3" i="1"/>
  <c r="X3" i="1"/>
  <c r="W3" i="1"/>
  <c r="Y3" i="1" s="1"/>
  <c r="U3" i="1"/>
  <c r="V3" i="1" s="1"/>
  <c r="J3" i="1"/>
  <c r="AC2" i="1"/>
  <c r="AA2" i="1"/>
  <c r="Z2" i="1"/>
  <c r="Y2" i="1"/>
  <c r="W2" i="1"/>
  <c r="X2" i="1" s="1"/>
  <c r="V2" i="1"/>
  <c r="U2" i="1"/>
  <c r="AB2" i="1" s="1"/>
  <c r="V272" i="1" l="1"/>
  <c r="AC272" i="1" s="1"/>
  <c r="AB272" i="1"/>
  <c r="AB17" i="1"/>
  <c r="AB85" i="1"/>
  <c r="V85" i="1"/>
  <c r="AC85" i="1" s="1"/>
  <c r="Y87" i="1"/>
  <c r="X87" i="1"/>
  <c r="Y139" i="1"/>
  <c r="X139" i="1"/>
  <c r="V154" i="1"/>
  <c r="AC154" i="1" s="1"/>
  <c r="AB154" i="1"/>
  <c r="Y181" i="1"/>
  <c r="X181" i="1"/>
  <c r="AB196" i="1"/>
  <c r="V196" i="1"/>
  <c r="AC196" i="1" s="1"/>
  <c r="Y204" i="1"/>
  <c r="X204" i="1"/>
  <c r="Y230" i="1"/>
  <c r="X230" i="1"/>
  <c r="X241" i="1"/>
  <c r="Y241" i="1"/>
  <c r="X249" i="1"/>
  <c r="Y249" i="1"/>
  <c r="V276" i="1"/>
  <c r="AC276" i="1" s="1"/>
  <c r="AB276" i="1"/>
  <c r="AB368" i="1"/>
  <c r="V368" i="1"/>
  <c r="AC368" i="1" s="1"/>
  <c r="V385" i="1"/>
  <c r="AC385" i="1" s="1"/>
  <c r="AB385" i="1"/>
  <c r="X6" i="1"/>
  <c r="X7" i="1"/>
  <c r="AB10" i="1"/>
  <c r="V33" i="1"/>
  <c r="AC33" i="1" s="1"/>
  <c r="Y36" i="1"/>
  <c r="V48" i="1"/>
  <c r="AC48" i="1" s="1"/>
  <c r="V56" i="1"/>
  <c r="AC56" i="1" s="1"/>
  <c r="Y59" i="1"/>
  <c r="V71" i="1"/>
  <c r="AC71" i="1" s="1"/>
  <c r="AB77" i="1"/>
  <c r="V77" i="1"/>
  <c r="AC77" i="1" s="1"/>
  <c r="Y79" i="1"/>
  <c r="X79" i="1"/>
  <c r="X93" i="1"/>
  <c r="X94" i="1"/>
  <c r="AB97" i="1"/>
  <c r="V120" i="1"/>
  <c r="AC120" i="1" s="1"/>
  <c r="Y123" i="1"/>
  <c r="AB134" i="1"/>
  <c r="V134" i="1"/>
  <c r="AC134" i="1" s="1"/>
  <c r="V141" i="1"/>
  <c r="AC141" i="1" s="1"/>
  <c r="X155" i="1"/>
  <c r="V160" i="1"/>
  <c r="AC160" i="1" s="1"/>
  <c r="V166" i="1"/>
  <c r="AC166" i="1" s="1"/>
  <c r="Y173" i="1"/>
  <c r="X173" i="1"/>
  <c r="AB188" i="1"/>
  <c r="V188" i="1"/>
  <c r="AC188" i="1" s="1"/>
  <c r="Y196" i="1"/>
  <c r="X196" i="1"/>
  <c r="Y222" i="1"/>
  <c r="X222" i="1"/>
  <c r="Y237" i="1"/>
  <c r="X237" i="1"/>
  <c r="V245" i="1"/>
  <c r="AC245" i="1" s="1"/>
  <c r="AB268" i="1"/>
  <c r="AB282" i="1"/>
  <c r="V282" i="1"/>
  <c r="AC282" i="1" s="1"/>
  <c r="AB283" i="1"/>
  <c r="V283" i="1"/>
  <c r="AC283" i="1" s="1"/>
  <c r="AB287" i="1"/>
  <c r="V287" i="1"/>
  <c r="AC287" i="1" s="1"/>
  <c r="Y310" i="1"/>
  <c r="X310" i="1"/>
  <c r="V314" i="1"/>
  <c r="AC314" i="1" s="1"/>
  <c r="Y318" i="1"/>
  <c r="X318" i="1"/>
  <c r="AB322" i="1"/>
  <c r="V322" i="1"/>
  <c r="AC322" i="1" s="1"/>
  <c r="AB338" i="1"/>
  <c r="V338" i="1"/>
  <c r="AC338" i="1" s="1"/>
  <c r="AB46" i="1"/>
  <c r="V46" i="1"/>
  <c r="AC46" i="1" s="1"/>
  <c r="Y48" i="1"/>
  <c r="X48" i="1"/>
  <c r="AB69" i="1"/>
  <c r="V69" i="1"/>
  <c r="AC69" i="1" s="1"/>
  <c r="Y71" i="1"/>
  <c r="X71" i="1"/>
  <c r="AB88" i="1"/>
  <c r="AB89" i="1"/>
  <c r="Y141" i="1"/>
  <c r="X141" i="1"/>
  <c r="AB145" i="1"/>
  <c r="AB180" i="1"/>
  <c r="V180" i="1"/>
  <c r="AC180" i="1" s="1"/>
  <c r="Y188" i="1"/>
  <c r="X188" i="1"/>
  <c r="Y214" i="1"/>
  <c r="X214" i="1"/>
  <c r="Y229" i="1"/>
  <c r="X229" i="1"/>
  <c r="Y245" i="1"/>
  <c r="X245" i="1"/>
  <c r="V247" i="1"/>
  <c r="AC247" i="1" s="1"/>
  <c r="AB247" i="1"/>
  <c r="Y256" i="1"/>
  <c r="X256" i="1"/>
  <c r="AB270" i="1"/>
  <c r="V270" i="1"/>
  <c r="AC270" i="1" s="1"/>
  <c r="AB271" i="1"/>
  <c r="V271" i="1"/>
  <c r="AC271" i="1" s="1"/>
  <c r="Y297" i="1"/>
  <c r="X297" i="1"/>
  <c r="AB313" i="1"/>
  <c r="V313" i="1"/>
  <c r="AC313" i="1" s="1"/>
  <c r="V316" i="1"/>
  <c r="AC316" i="1" s="1"/>
  <c r="AB316" i="1"/>
  <c r="X338" i="1"/>
  <c r="Y338" i="1"/>
  <c r="AB370" i="1"/>
  <c r="V370" i="1"/>
  <c r="AC370" i="1" s="1"/>
  <c r="U956" i="1"/>
  <c r="AB956" i="1" s="1"/>
  <c r="U948" i="1"/>
  <c r="V948" i="1" s="1"/>
  <c r="U962" i="1"/>
  <c r="U960" i="1"/>
  <c r="U958" i="1"/>
  <c r="AB958" i="1" s="1"/>
  <c r="U955" i="1"/>
  <c r="AB955" i="1" s="1"/>
  <c r="U961" i="1"/>
  <c r="AB961" i="1" s="1"/>
  <c r="U959" i="1"/>
  <c r="AB959" i="1" s="1"/>
  <c r="U957" i="1"/>
  <c r="AB957" i="1" s="1"/>
  <c r="Y20" i="1"/>
  <c r="V32" i="1"/>
  <c r="AC32" i="1" s="1"/>
  <c r="AB38" i="1"/>
  <c r="V38" i="1"/>
  <c r="AC38" i="1" s="1"/>
  <c r="Y40" i="1"/>
  <c r="X40" i="1"/>
  <c r="V55" i="1"/>
  <c r="AC55" i="1" s="1"/>
  <c r="AB61" i="1"/>
  <c r="V61" i="1"/>
  <c r="AC61" i="1" s="1"/>
  <c r="Y63" i="1"/>
  <c r="X63" i="1"/>
  <c r="X78" i="1"/>
  <c r="Y107" i="1"/>
  <c r="V119" i="1"/>
  <c r="AC119" i="1" s="1"/>
  <c r="AB125" i="1"/>
  <c r="V125" i="1"/>
  <c r="AC125" i="1" s="1"/>
  <c r="Y127" i="1"/>
  <c r="X127" i="1"/>
  <c r="X135" i="1"/>
  <c r="Y136" i="1"/>
  <c r="AB152" i="1"/>
  <c r="V159" i="1"/>
  <c r="AC159" i="1" s="1"/>
  <c r="V168" i="1"/>
  <c r="AC168" i="1" s="1"/>
  <c r="AB168" i="1"/>
  <c r="AB172" i="1"/>
  <c r="V172" i="1"/>
  <c r="AC172" i="1" s="1"/>
  <c r="Y180" i="1"/>
  <c r="X180" i="1"/>
  <c r="Y206" i="1"/>
  <c r="X206" i="1"/>
  <c r="Y221" i="1"/>
  <c r="X221" i="1"/>
  <c r="AB236" i="1"/>
  <c r="V236" i="1"/>
  <c r="AC236" i="1" s="1"/>
  <c r="AB243" i="1"/>
  <c r="V243" i="1"/>
  <c r="AC243" i="1" s="1"/>
  <c r="AB251" i="1"/>
  <c r="V251" i="1"/>
  <c r="AC251" i="1" s="1"/>
  <c r="Y253" i="1"/>
  <c r="X253" i="1"/>
  <c r="V260" i="1"/>
  <c r="AC260" i="1" s="1"/>
  <c r="AB260" i="1"/>
  <c r="X287" i="1"/>
  <c r="V295" i="1"/>
  <c r="AC295" i="1" s="1"/>
  <c r="AB295" i="1"/>
  <c r="X313" i="1"/>
  <c r="Y313" i="1"/>
  <c r="AB321" i="1"/>
  <c r="V321" i="1"/>
  <c r="AC321" i="1" s="1"/>
  <c r="Y348" i="1"/>
  <c r="X348" i="1"/>
  <c r="AB410" i="1"/>
  <c r="V410" i="1"/>
  <c r="AC410" i="1" s="1"/>
  <c r="AB53" i="1"/>
  <c r="V53" i="1"/>
  <c r="AC53" i="1" s="1"/>
  <c r="AB103" i="1"/>
  <c r="AC152" i="1"/>
  <c r="AB157" i="1"/>
  <c r="V157" i="1"/>
  <c r="AC157" i="1" s="1"/>
  <c r="Y159" i="1"/>
  <c r="X159" i="1"/>
  <c r="Y198" i="1"/>
  <c r="X198" i="1"/>
  <c r="AC208" i="1"/>
  <c r="Y213" i="1"/>
  <c r="X213" i="1"/>
  <c r="AB228" i="1"/>
  <c r="V228" i="1"/>
  <c r="AC228" i="1" s="1"/>
  <c r="Y236" i="1"/>
  <c r="X236" i="1"/>
  <c r="Y275" i="1"/>
  <c r="X275" i="1"/>
  <c r="AB300" i="1"/>
  <c r="V300" i="1"/>
  <c r="AC300" i="1" s="1"/>
  <c r="X396" i="1"/>
  <c r="Y396" i="1"/>
  <c r="AB16" i="1"/>
  <c r="Y32" i="1"/>
  <c r="X32" i="1"/>
  <c r="Y55" i="1"/>
  <c r="X55" i="1"/>
  <c r="AC83" i="1"/>
  <c r="AC90" i="1"/>
  <c r="AB117" i="1"/>
  <c r="V117" i="1"/>
  <c r="AC117" i="1" s="1"/>
  <c r="Y119" i="1"/>
  <c r="X119" i="1"/>
  <c r="Y172" i="1"/>
  <c r="X172" i="1"/>
  <c r="Y4" i="1"/>
  <c r="AB8" i="1"/>
  <c r="V16" i="1"/>
  <c r="AC16" i="1" s="1"/>
  <c r="AB22" i="1"/>
  <c r="V22" i="1"/>
  <c r="AC22" i="1" s="1"/>
  <c r="Y24" i="1"/>
  <c r="X24" i="1"/>
  <c r="X38" i="1"/>
  <c r="X39" i="1"/>
  <c r="AB42" i="1"/>
  <c r="X61" i="1"/>
  <c r="X62" i="1"/>
  <c r="AB65" i="1"/>
  <c r="AC75" i="1"/>
  <c r="AC82" i="1"/>
  <c r="Y91" i="1"/>
  <c r="AB95" i="1"/>
  <c r="V103" i="1"/>
  <c r="AC103" i="1" s="1"/>
  <c r="AB109" i="1"/>
  <c r="V109" i="1"/>
  <c r="AC109" i="1" s="1"/>
  <c r="Y111" i="1"/>
  <c r="X111" i="1"/>
  <c r="X125" i="1"/>
  <c r="X126" i="1"/>
  <c r="AB129" i="1"/>
  <c r="AB138" i="1"/>
  <c r="Y140" i="1"/>
  <c r="X140" i="1"/>
  <c r="AB151" i="1"/>
  <c r="AB161" i="1"/>
  <c r="Y190" i="1"/>
  <c r="X190" i="1"/>
  <c r="AC200" i="1"/>
  <c r="Y205" i="1"/>
  <c r="X205" i="1"/>
  <c r="AB220" i="1"/>
  <c r="V220" i="1"/>
  <c r="AC220" i="1" s="1"/>
  <c r="Y228" i="1"/>
  <c r="X228" i="1"/>
  <c r="AB246" i="1"/>
  <c r="V246" i="1"/>
  <c r="AC246" i="1" s="1"/>
  <c r="X274" i="1"/>
  <c r="AB304" i="1"/>
  <c r="V304" i="1"/>
  <c r="AC304" i="1" s="1"/>
  <c r="V315" i="1"/>
  <c r="AC315" i="1" s="1"/>
  <c r="AB315" i="1"/>
  <c r="Y407" i="1"/>
  <c r="X407" i="1"/>
  <c r="AC3" i="1"/>
  <c r="AC950" i="1" s="1"/>
  <c r="AB14" i="1"/>
  <c r="V14" i="1"/>
  <c r="AC14" i="1" s="1"/>
  <c r="Y16" i="1"/>
  <c r="X16" i="1"/>
  <c r="AB34" i="1"/>
  <c r="AC44" i="1"/>
  <c r="AB57" i="1"/>
  <c r="AC67" i="1"/>
  <c r="AC74" i="1"/>
  <c r="AB87" i="1"/>
  <c r="AB101" i="1"/>
  <c r="V101" i="1"/>
  <c r="AC101" i="1" s="1"/>
  <c r="Y103" i="1"/>
  <c r="X103" i="1"/>
  <c r="AB121" i="1"/>
  <c r="AC131" i="1"/>
  <c r="AC151" i="1"/>
  <c r="AB156" i="1"/>
  <c r="V156" i="1"/>
  <c r="AC156" i="1" s="1"/>
  <c r="Y182" i="1"/>
  <c r="X182" i="1"/>
  <c r="AC192" i="1"/>
  <c r="Y197" i="1"/>
  <c r="X197" i="1"/>
  <c r="AB212" i="1"/>
  <c r="V212" i="1"/>
  <c r="AC212" i="1" s="1"/>
  <c r="Y220" i="1"/>
  <c r="X220" i="1"/>
  <c r="AB259" i="1"/>
  <c r="V259" i="1"/>
  <c r="AC259" i="1" s="1"/>
  <c r="X285" i="1"/>
  <c r="Y285" i="1"/>
  <c r="V294" i="1"/>
  <c r="AC294" i="1" s="1"/>
  <c r="AB294" i="1"/>
  <c r="X307" i="1"/>
  <c r="Y307" i="1"/>
  <c r="AB324" i="1"/>
  <c r="V324" i="1"/>
  <c r="AC324" i="1" s="1"/>
  <c r="AB336" i="1"/>
  <c r="V336" i="1"/>
  <c r="AC336" i="1" s="1"/>
  <c r="Y347" i="1"/>
  <c r="X347" i="1"/>
  <c r="X362" i="1"/>
  <c r="Y362" i="1"/>
  <c r="Y372" i="1"/>
  <c r="X372" i="1"/>
  <c r="AB30" i="1"/>
  <c r="V30" i="1"/>
  <c r="AC30" i="1" s="1"/>
  <c r="AB6" i="1"/>
  <c r="E962" i="1" s="1"/>
  <c r="E963" i="1" s="1"/>
  <c r="V6" i="1"/>
  <c r="AC6" i="1" s="1"/>
  <c r="Y8" i="1"/>
  <c r="X8" i="1"/>
  <c r="X23" i="1"/>
  <c r="AB26" i="1"/>
  <c r="AC36" i="1"/>
  <c r="AC43" i="1"/>
  <c r="AC59" i="1"/>
  <c r="AC66" i="1"/>
  <c r="Y75" i="1"/>
  <c r="AB79" i="1"/>
  <c r="V87" i="1"/>
  <c r="AC87" i="1" s="1"/>
  <c r="AB93" i="1"/>
  <c r="V93" i="1"/>
  <c r="AC93" i="1" s="1"/>
  <c r="Y95" i="1"/>
  <c r="X95" i="1"/>
  <c r="X110" i="1"/>
  <c r="AB113" i="1"/>
  <c r="AC123" i="1"/>
  <c r="AC130" i="1"/>
  <c r="AC139" i="1"/>
  <c r="Y174" i="1"/>
  <c r="X174" i="1"/>
  <c r="AC184" i="1"/>
  <c r="Y189" i="1"/>
  <c r="X189" i="1"/>
  <c r="AB204" i="1"/>
  <c r="V204" i="1"/>
  <c r="AC204" i="1" s="1"/>
  <c r="Y212" i="1"/>
  <c r="X212" i="1"/>
  <c r="Y238" i="1"/>
  <c r="X238" i="1"/>
  <c r="X273" i="1"/>
  <c r="Y273" i="1"/>
  <c r="Y278" i="1"/>
  <c r="X278" i="1"/>
  <c r="AC306" i="1"/>
  <c r="Y324" i="1"/>
  <c r="X324" i="1"/>
  <c r="V332" i="1"/>
  <c r="AC332" i="1" s="1"/>
  <c r="AB332" i="1"/>
  <c r="V339" i="1"/>
  <c r="AC339" i="1" s="1"/>
  <c r="AB339" i="1"/>
  <c r="V371" i="1"/>
  <c r="AC371" i="1" s="1"/>
  <c r="AB371" i="1"/>
  <c r="Y254" i="1"/>
  <c r="X254" i="1"/>
  <c r="Y267" i="1"/>
  <c r="X267" i="1"/>
  <c r="AB274" i="1"/>
  <c r="V274" i="1"/>
  <c r="AC274" i="1" s="1"/>
  <c r="Y288" i="1"/>
  <c r="X288" i="1"/>
  <c r="AB347" i="1"/>
  <c r="V347" i="1"/>
  <c r="AC347" i="1" s="1"/>
  <c r="Y349" i="1"/>
  <c r="X349" i="1"/>
  <c r="AC353" i="1"/>
  <c r="AB362" i="1"/>
  <c r="V362" i="1"/>
  <c r="AC362" i="1" s="1"/>
  <c r="AB379" i="1"/>
  <c r="V379" i="1"/>
  <c r="AC379" i="1" s="1"/>
  <c r="Y438" i="1"/>
  <c r="X438" i="1"/>
  <c r="Y455" i="1"/>
  <c r="X455" i="1"/>
  <c r="E959" i="1"/>
  <c r="E961" i="1" s="1"/>
  <c r="I962" i="1"/>
  <c r="I960" i="1"/>
  <c r="I952" i="1"/>
  <c r="I961" i="1"/>
  <c r="I959" i="1"/>
  <c r="I948" i="1"/>
  <c r="AB346" i="1"/>
  <c r="V346" i="1"/>
  <c r="AC346" i="1" s="1"/>
  <c r="V352" i="1"/>
  <c r="AC352" i="1" s="1"/>
  <c r="AB352" i="1"/>
  <c r="Y357" i="1"/>
  <c r="X357" i="1"/>
  <c r="Y406" i="1"/>
  <c r="X406" i="1"/>
  <c r="Y423" i="1"/>
  <c r="X423" i="1"/>
  <c r="X503" i="1"/>
  <c r="Y503" i="1"/>
  <c r="Y540" i="1"/>
  <c r="X540" i="1"/>
  <c r="V330" i="1"/>
  <c r="AC330" i="1" s="1"/>
  <c r="X336" i="1"/>
  <c r="X337" i="1"/>
  <c r="AC341" i="1"/>
  <c r="V351" i="1"/>
  <c r="AC351" i="1" s="1"/>
  <c r="Y352" i="1"/>
  <c r="X352" i="1"/>
  <c r="AB365" i="1"/>
  <c r="V365" i="1"/>
  <c r="AC365" i="1" s="1"/>
  <c r="V393" i="1"/>
  <c r="AC393" i="1" s="1"/>
  <c r="AB393" i="1"/>
  <c r="X486" i="1"/>
  <c r="Y486" i="1"/>
  <c r="AB580" i="1"/>
  <c r="V580" i="1"/>
  <c r="AC580" i="1" s="1"/>
  <c r="AB148" i="1"/>
  <c r="AB164" i="1"/>
  <c r="V164" i="1"/>
  <c r="AC164" i="1" s="1"/>
  <c r="Y166" i="1"/>
  <c r="X166" i="1"/>
  <c r="AB255" i="1"/>
  <c r="AB265" i="1"/>
  <c r="X301" i="1"/>
  <c r="V329" i="1"/>
  <c r="AC329" i="1" s="1"/>
  <c r="Y330" i="1"/>
  <c r="X330" i="1"/>
  <c r="X346" i="1"/>
  <c r="X356" i="1"/>
  <c r="AB359" i="1"/>
  <c r="V359" i="1"/>
  <c r="AC359" i="1" s="1"/>
  <c r="X366" i="1"/>
  <c r="X367" i="1"/>
  <c r="V460" i="1"/>
  <c r="AC460" i="1" s="1"/>
  <c r="AB460" i="1"/>
  <c r="X494" i="1"/>
  <c r="Y494" i="1"/>
  <c r="AB291" i="1"/>
  <c r="V291" i="1"/>
  <c r="AC291" i="1" s="1"/>
  <c r="Y293" i="1"/>
  <c r="X293" i="1"/>
  <c r="V312" i="1"/>
  <c r="AC312" i="1" s="1"/>
  <c r="AB312" i="1"/>
  <c r="Y314" i="1"/>
  <c r="X314" i="1"/>
  <c r="AC147" i="1"/>
  <c r="V148" i="1"/>
  <c r="AC148" i="1" s="1"/>
  <c r="AC170" i="1"/>
  <c r="AC178" i="1"/>
  <c r="AC186" i="1"/>
  <c r="AC194" i="1"/>
  <c r="AC202" i="1"/>
  <c r="AC210" i="1"/>
  <c r="AC218" i="1"/>
  <c r="AC226" i="1"/>
  <c r="AC234" i="1"/>
  <c r="AC269" i="1"/>
  <c r="Y271" i="1"/>
  <c r="X271" i="1"/>
  <c r="AC281" i="1"/>
  <c r="Y283" i="1"/>
  <c r="X283" i="1"/>
  <c r="AC290" i="1"/>
  <c r="AB296" i="1"/>
  <c r="V296" i="1"/>
  <c r="AC296" i="1" s="1"/>
  <c r="AB297" i="1"/>
  <c r="AB309" i="1"/>
  <c r="V309" i="1"/>
  <c r="AC309" i="1" s="1"/>
  <c r="AB310" i="1"/>
  <c r="AB317" i="1"/>
  <c r="V317" i="1"/>
  <c r="AC317" i="1" s="1"/>
  <c r="AB318" i="1"/>
  <c r="AC334" i="1"/>
  <c r="AC340" i="1"/>
  <c r="V344" i="1"/>
  <c r="AC344" i="1" s="1"/>
  <c r="AB344" i="1"/>
  <c r="AB380" i="1"/>
  <c r="V380" i="1"/>
  <c r="AC380" i="1" s="1"/>
  <c r="AC408" i="1"/>
  <c r="Y439" i="1"/>
  <c r="X439" i="1"/>
  <c r="AC169" i="1"/>
  <c r="AC177" i="1"/>
  <c r="AC185" i="1"/>
  <c r="AC193" i="1"/>
  <c r="AC201" i="1"/>
  <c r="AC209" i="1"/>
  <c r="AC217" i="1"/>
  <c r="AC225" i="1"/>
  <c r="AC233" i="1"/>
  <c r="AC241" i="1"/>
  <c r="AC249" i="1"/>
  <c r="Y255" i="1"/>
  <c r="X255" i="1"/>
  <c r="AC265" i="1"/>
  <c r="AB267" i="1"/>
  <c r="AB288" i="1"/>
  <c r="AB303" i="1"/>
  <c r="X329" i="1"/>
  <c r="AC333" i="1"/>
  <c r="X350" i="1"/>
  <c r="Y350" i="1"/>
  <c r="X354" i="1"/>
  <c r="Y354" i="1"/>
  <c r="V363" i="1"/>
  <c r="AC363" i="1" s="1"/>
  <c r="AB363" i="1"/>
  <c r="X404" i="1"/>
  <c r="Y404" i="1"/>
  <c r="Y504" i="1"/>
  <c r="X504" i="1"/>
  <c r="Y524" i="1"/>
  <c r="X524" i="1"/>
  <c r="Y550" i="1"/>
  <c r="X550" i="1"/>
  <c r="X561" i="1"/>
  <c r="Y561" i="1"/>
  <c r="AB778" i="1"/>
  <c r="V778" i="1"/>
  <c r="AC778" i="1" s="1"/>
  <c r="AC345" i="1"/>
  <c r="AB358" i="1"/>
  <c r="AC364" i="1"/>
  <c r="AB392" i="1"/>
  <c r="V392" i="1"/>
  <c r="AC392" i="1" s="1"/>
  <c r="AB404" i="1"/>
  <c r="V404" i="1"/>
  <c r="AC404" i="1" s="1"/>
  <c r="AB413" i="1"/>
  <c r="AB438" i="1"/>
  <c r="V438" i="1"/>
  <c r="AC438" i="1" s="1"/>
  <c r="AB466" i="1"/>
  <c r="V466" i="1"/>
  <c r="AC466" i="1" s="1"/>
  <c r="AB476" i="1"/>
  <c r="V492" i="1"/>
  <c r="AC492" i="1" s="1"/>
  <c r="AB492" i="1"/>
  <c r="AB503" i="1"/>
  <c r="V503" i="1"/>
  <c r="AC503" i="1" s="1"/>
  <c r="Y519" i="1"/>
  <c r="X519" i="1"/>
  <c r="AB549" i="1"/>
  <c r="X556" i="1"/>
  <c r="Y556" i="1"/>
  <c r="AB575" i="1"/>
  <c r="V575" i="1"/>
  <c r="AC575" i="1" s="1"/>
  <c r="X576" i="1"/>
  <c r="V596" i="1"/>
  <c r="AC596" i="1" s="1"/>
  <c r="AB596" i="1"/>
  <c r="AB637" i="1"/>
  <c r="V637" i="1"/>
  <c r="AC637" i="1" s="1"/>
  <c r="AB705" i="1"/>
  <c r="V705" i="1"/>
  <c r="AC705" i="1" s="1"/>
  <c r="Y386" i="1"/>
  <c r="X386" i="1"/>
  <c r="V390" i="1"/>
  <c r="AC390" i="1" s="1"/>
  <c r="AB390" i="1"/>
  <c r="AB403" i="1"/>
  <c r="V403" i="1"/>
  <c r="AC403" i="1" s="1"/>
  <c r="AB458" i="1"/>
  <c r="V458" i="1"/>
  <c r="AC458" i="1" s="1"/>
  <c r="AB546" i="1"/>
  <c r="V546" i="1"/>
  <c r="AC546" i="1" s="1"/>
  <c r="Y593" i="1"/>
  <c r="X593" i="1"/>
  <c r="V626" i="1"/>
  <c r="AC626" i="1" s="1"/>
  <c r="AB626" i="1"/>
  <c r="AB384" i="1"/>
  <c r="V384" i="1"/>
  <c r="AC384" i="1" s="1"/>
  <c r="AC398" i="1"/>
  <c r="Y409" i="1"/>
  <c r="X409" i="1"/>
  <c r="AB424" i="1"/>
  <c r="V424" i="1"/>
  <c r="AC424" i="1" s="1"/>
  <c r="V432" i="1"/>
  <c r="AC432" i="1" s="1"/>
  <c r="AB440" i="1"/>
  <c r="V440" i="1"/>
  <c r="AC440" i="1" s="1"/>
  <c r="V448" i="1"/>
  <c r="AC448" i="1" s="1"/>
  <c r="X454" i="1"/>
  <c r="AB482" i="1"/>
  <c r="V482" i="1"/>
  <c r="AC482" i="1" s="1"/>
  <c r="V521" i="1"/>
  <c r="AC521" i="1" s="1"/>
  <c r="AB521" i="1"/>
  <c r="AB539" i="1"/>
  <c r="V539" i="1"/>
  <c r="AC539" i="1" s="1"/>
  <c r="Y551" i="1"/>
  <c r="J551" i="1"/>
  <c r="Y563" i="1"/>
  <c r="X563" i="1"/>
  <c r="Y569" i="1"/>
  <c r="AB170" i="1"/>
  <c r="AB178" i="1"/>
  <c r="AB186" i="1"/>
  <c r="AB194" i="1"/>
  <c r="AB202" i="1"/>
  <c r="AB210" i="1"/>
  <c r="AB218" i="1"/>
  <c r="AB226" i="1"/>
  <c r="AB234" i="1"/>
  <c r="AB241" i="1"/>
  <c r="AB249" i="1"/>
  <c r="AB269" i="1"/>
  <c r="AB273" i="1"/>
  <c r="AB281" i="1"/>
  <c r="AB285" i="1"/>
  <c r="AB290" i="1"/>
  <c r="X403" i="1"/>
  <c r="V412" i="1"/>
  <c r="AC412" i="1" s="1"/>
  <c r="AB412" i="1"/>
  <c r="Y424" i="1"/>
  <c r="X424" i="1"/>
  <c r="Y440" i="1"/>
  <c r="X440" i="1"/>
  <c r="Y512" i="1"/>
  <c r="V529" i="1"/>
  <c r="AC529" i="1" s="1"/>
  <c r="AB529" i="1"/>
  <c r="AB543" i="1"/>
  <c r="V543" i="1"/>
  <c r="AC543" i="1" s="1"/>
  <c r="AB545" i="1"/>
  <c r="V545" i="1"/>
  <c r="AC545" i="1" s="1"/>
  <c r="V562" i="1"/>
  <c r="AC562" i="1" s="1"/>
  <c r="AB562" i="1"/>
  <c r="AB574" i="1"/>
  <c r="V574" i="1"/>
  <c r="AC574" i="1" s="1"/>
  <c r="V595" i="1"/>
  <c r="AC595" i="1" s="1"/>
  <c r="AB595" i="1"/>
  <c r="X611" i="1"/>
  <c r="Y611" i="1"/>
  <c r="AB619" i="1"/>
  <c r="V619" i="1"/>
  <c r="AC619" i="1" s="1"/>
  <c r="AB685" i="1"/>
  <c r="V685" i="1"/>
  <c r="AC685" i="1" s="1"/>
  <c r="X167" i="1"/>
  <c r="X302" i="1"/>
  <c r="X325" i="1"/>
  <c r="X331" i="1"/>
  <c r="X353" i="1"/>
  <c r="AB369" i="1"/>
  <c r="AB375" i="1"/>
  <c r="V382" i="1"/>
  <c r="AC382" i="1" s="1"/>
  <c r="AB382" i="1"/>
  <c r="X384" i="1"/>
  <c r="AC397" i="1"/>
  <c r="X398" i="1"/>
  <c r="Y408" i="1"/>
  <c r="X408" i="1"/>
  <c r="Y505" i="1"/>
  <c r="X505" i="1"/>
  <c r="X541" i="1"/>
  <c r="Y541" i="1"/>
  <c r="Y543" i="1"/>
  <c r="X543" i="1"/>
  <c r="AB547" i="1"/>
  <c r="X592" i="1"/>
  <c r="Y592" i="1"/>
  <c r="AB670" i="1"/>
  <c r="V670" i="1"/>
  <c r="AC670" i="1" s="1"/>
  <c r="AB360" i="1"/>
  <c r="AB366" i="1"/>
  <c r="V369" i="1"/>
  <c r="AC369" i="1" s="1"/>
  <c r="Y378" i="1"/>
  <c r="V381" i="1"/>
  <c r="AC381" i="1" s="1"/>
  <c r="AC396" i="1"/>
  <c r="AC407" i="1"/>
  <c r="V411" i="1"/>
  <c r="AC411" i="1" s="1"/>
  <c r="AB411" i="1"/>
  <c r="AB418" i="1"/>
  <c r="V426" i="1"/>
  <c r="AC426" i="1" s="1"/>
  <c r="AB426" i="1"/>
  <c r="X431" i="1"/>
  <c r="AC435" i="1"/>
  <c r="Y436" i="1"/>
  <c r="V442" i="1"/>
  <c r="AC442" i="1" s="1"/>
  <c r="AB442" i="1"/>
  <c r="X447" i="1"/>
  <c r="AB474" i="1"/>
  <c r="V474" i="1"/>
  <c r="AC474" i="1" s="1"/>
  <c r="AB483" i="1"/>
  <c r="AC499" i="1"/>
  <c r="AC524" i="1"/>
  <c r="AC533" i="1"/>
  <c r="V559" i="1"/>
  <c r="AC559" i="1" s="1"/>
  <c r="AB559" i="1"/>
  <c r="V581" i="1"/>
  <c r="AC581" i="1" s="1"/>
  <c r="AB581" i="1"/>
  <c r="X705" i="1"/>
  <c r="Y705" i="1"/>
  <c r="AC383" i="1"/>
  <c r="AB408" i="1"/>
  <c r="AB414" i="1"/>
  <c r="AB430" i="1"/>
  <c r="V430" i="1"/>
  <c r="AC430" i="1" s="1"/>
  <c r="Y432" i="1"/>
  <c r="X432" i="1"/>
  <c r="AB446" i="1"/>
  <c r="V446" i="1"/>
  <c r="AC446" i="1" s="1"/>
  <c r="Y448" i="1"/>
  <c r="X448" i="1"/>
  <c r="AB454" i="1"/>
  <c r="V454" i="1"/>
  <c r="AC454" i="1" s="1"/>
  <c r="Y456" i="1"/>
  <c r="X456" i="1"/>
  <c r="AC485" i="1"/>
  <c r="AB490" i="1"/>
  <c r="AC493" i="1"/>
  <c r="AC494" i="1"/>
  <c r="AB519" i="1"/>
  <c r="V519" i="1"/>
  <c r="AC519" i="1" s="1"/>
  <c r="AB536" i="1"/>
  <c r="AB550" i="1"/>
  <c r="V550" i="1"/>
  <c r="AC550" i="1" s="1"/>
  <c r="Y619" i="1"/>
  <c r="X619" i="1"/>
  <c r="AB625" i="1"/>
  <c r="V625" i="1"/>
  <c r="AC625" i="1" s="1"/>
  <c r="Y637" i="1"/>
  <c r="X637" i="1"/>
  <c r="AB679" i="1"/>
  <c r="V679" i="1"/>
  <c r="AC679" i="1" s="1"/>
  <c r="AB724" i="1"/>
  <c r="V724" i="1"/>
  <c r="AC724" i="1" s="1"/>
  <c r="AC647" i="1"/>
  <c r="AB647" i="1"/>
  <c r="Y665" i="1"/>
  <c r="X665" i="1"/>
  <c r="V699" i="1"/>
  <c r="AC699" i="1" s="1"/>
  <c r="AB699" i="1"/>
  <c r="Y767" i="1"/>
  <c r="X767" i="1"/>
  <c r="X806" i="1"/>
  <c r="Y806" i="1"/>
  <c r="AB488" i="1"/>
  <c r="V488" i="1"/>
  <c r="AC488" i="1" s="1"/>
  <c r="Y490" i="1"/>
  <c r="X490" i="1"/>
  <c r="AB498" i="1"/>
  <c r="AC500" i="1"/>
  <c r="AC501" i="1"/>
  <c r="AC509" i="1"/>
  <c r="AB514" i="1"/>
  <c r="V514" i="1"/>
  <c r="AC514" i="1" s="1"/>
  <c r="AB515" i="1"/>
  <c r="AC518" i="1"/>
  <c r="Y520" i="1"/>
  <c r="X520" i="1"/>
  <c r="AB527" i="1"/>
  <c r="V527" i="1"/>
  <c r="AC527" i="1" s="1"/>
  <c r="AC549" i="1"/>
  <c r="AC552" i="1"/>
  <c r="AC621" i="1"/>
  <c r="AC639" i="1"/>
  <c r="Y700" i="1"/>
  <c r="AB704" i="1"/>
  <c r="V704" i="1"/>
  <c r="AC704" i="1" s="1"/>
  <c r="AB398" i="1"/>
  <c r="AB416" i="1"/>
  <c r="V416" i="1"/>
  <c r="AC416" i="1" s="1"/>
  <c r="AC421" i="1"/>
  <c r="AB434" i="1"/>
  <c r="AB480" i="1"/>
  <c r="V480" i="1"/>
  <c r="AC480" i="1" s="1"/>
  <c r="Y482" i="1"/>
  <c r="X482" i="1"/>
  <c r="V498" i="1"/>
  <c r="AC498" i="1" s="1"/>
  <c r="X506" i="1"/>
  <c r="V515" i="1"/>
  <c r="AC515" i="1" s="1"/>
  <c r="AC536" i="1"/>
  <c r="AB537" i="1"/>
  <c r="V537" i="1"/>
  <c r="AC537" i="1" s="1"/>
  <c r="X539" i="1"/>
  <c r="X545" i="1"/>
  <c r="Y546" i="1"/>
  <c r="X546" i="1"/>
  <c r="AB565" i="1"/>
  <c r="AB566" i="1"/>
  <c r="Y574" i="1"/>
  <c r="Y618" i="1"/>
  <c r="X618" i="1"/>
  <c r="AB624" i="1"/>
  <c r="V624" i="1"/>
  <c r="AC624" i="1" s="1"/>
  <c r="Y629" i="1"/>
  <c r="X629" i="1"/>
  <c r="Y636" i="1"/>
  <c r="X636" i="1"/>
  <c r="X644" i="1"/>
  <c r="AC655" i="1"/>
  <c r="AB655" i="1"/>
  <c r="V713" i="1"/>
  <c r="AC713" i="1" s="1"/>
  <c r="AB713" i="1"/>
  <c r="X780" i="1"/>
  <c r="Y780" i="1"/>
  <c r="AB799" i="1"/>
  <c r="V799" i="1"/>
  <c r="AC799" i="1" s="1"/>
  <c r="AB377" i="1"/>
  <c r="X387" i="1"/>
  <c r="Y388" i="1"/>
  <c r="AB436" i="1"/>
  <c r="Y458" i="1"/>
  <c r="X458" i="1"/>
  <c r="AB464" i="1"/>
  <c r="V464" i="1"/>
  <c r="AC464" i="1" s="1"/>
  <c r="Y466" i="1"/>
  <c r="X466" i="1"/>
  <c r="AB472" i="1"/>
  <c r="V472" i="1"/>
  <c r="AC472" i="1" s="1"/>
  <c r="Y474" i="1"/>
  <c r="X474" i="1"/>
  <c r="X488" i="1"/>
  <c r="X489" i="1"/>
  <c r="AB496" i="1"/>
  <c r="V496" i="1"/>
  <c r="AC496" i="1" s="1"/>
  <c r="Y498" i="1"/>
  <c r="X498" i="1"/>
  <c r="Y501" i="1"/>
  <c r="AB505" i="1"/>
  <c r="Y509" i="1"/>
  <c r="X514" i="1"/>
  <c r="Y515" i="1"/>
  <c r="X515" i="1"/>
  <c r="Y518" i="1"/>
  <c r="X527" i="1"/>
  <c r="X528" i="1"/>
  <c r="AC530" i="1"/>
  <c r="X538" i="1"/>
  <c r="Y549" i="1"/>
  <c r="Y570" i="1"/>
  <c r="AB573" i="1"/>
  <c r="V573" i="1"/>
  <c r="AC573" i="1" s="1"/>
  <c r="AB617" i="1"/>
  <c r="V617" i="1"/>
  <c r="AC617" i="1" s="1"/>
  <c r="AB635" i="1"/>
  <c r="V635" i="1"/>
  <c r="AC635" i="1" s="1"/>
  <c r="Y653" i="1"/>
  <c r="X653" i="1"/>
  <c r="Y664" i="1"/>
  <c r="AB671" i="1"/>
  <c r="V671" i="1"/>
  <c r="AC671" i="1" s="1"/>
  <c r="V779" i="1"/>
  <c r="AC779" i="1" s="1"/>
  <c r="AB779" i="1"/>
  <c r="AC376" i="1"/>
  <c r="AC436" i="1"/>
  <c r="AC451" i="1"/>
  <c r="AC512" i="1"/>
  <c r="AB523" i="1"/>
  <c r="V523" i="1"/>
  <c r="AC523" i="1" s="1"/>
  <c r="AB524" i="1"/>
  <c r="AB531" i="1"/>
  <c r="V531" i="1"/>
  <c r="AC531" i="1" s="1"/>
  <c r="AB556" i="1"/>
  <c r="AC568" i="1"/>
  <c r="V582" i="1"/>
  <c r="AC582" i="1" s="1"/>
  <c r="AB582" i="1"/>
  <c r="Y604" i="1"/>
  <c r="X604" i="1"/>
  <c r="AB607" i="1"/>
  <c r="V607" i="1"/>
  <c r="AC607" i="1" s="1"/>
  <c r="V613" i="1"/>
  <c r="AC613" i="1" s="1"/>
  <c r="AB613" i="1"/>
  <c r="Y617" i="1"/>
  <c r="X617" i="1"/>
  <c r="Y635" i="1"/>
  <c r="X635" i="1"/>
  <c r="AB651" i="1"/>
  <c r="V651" i="1"/>
  <c r="AC651" i="1" s="1"/>
  <c r="Y683" i="1"/>
  <c r="X683" i="1"/>
  <c r="AC714" i="1"/>
  <c r="AB714" i="1"/>
  <c r="X718" i="1"/>
  <c r="Y718" i="1"/>
  <c r="X613" i="1"/>
  <c r="AB628" i="1"/>
  <c r="V628" i="1"/>
  <c r="AC628" i="1" s="1"/>
  <c r="AB643" i="1"/>
  <c r="V643" i="1"/>
  <c r="AC643" i="1" s="1"/>
  <c r="Y645" i="1"/>
  <c r="X645" i="1"/>
  <c r="Y686" i="1"/>
  <c r="X686" i="1"/>
  <c r="Y710" i="1"/>
  <c r="X710" i="1"/>
  <c r="AB766" i="1"/>
  <c r="V766" i="1"/>
  <c r="AC766" i="1" s="1"/>
  <c r="Y799" i="1"/>
  <c r="X799" i="1"/>
  <c r="Y817" i="1"/>
  <c r="X817" i="1"/>
  <c r="AB741" i="1"/>
  <c r="V741" i="1"/>
  <c r="AC741" i="1" s="1"/>
  <c r="V808" i="1"/>
  <c r="AC808" i="1" s="1"/>
  <c r="AB808" i="1"/>
  <c r="Y813" i="1"/>
  <c r="X813" i="1"/>
  <c r="X900" i="1"/>
  <c r="Y900" i="1"/>
  <c r="AB657" i="1"/>
  <c r="V668" i="1"/>
  <c r="AC668" i="1" s="1"/>
  <c r="AB668" i="1"/>
  <c r="AB697" i="1"/>
  <c r="AB709" i="1"/>
  <c r="V709" i="1"/>
  <c r="AC709" i="1" s="1"/>
  <c r="AB712" i="1"/>
  <c r="V712" i="1"/>
  <c r="AC712" i="1" s="1"/>
  <c r="AB727" i="1"/>
  <c r="V727" i="1"/>
  <c r="AC727" i="1" s="1"/>
  <c r="X766" i="1"/>
  <c r="AB586" i="1"/>
  <c r="AB600" i="1"/>
  <c r="V600" i="1"/>
  <c r="AC600" i="1" s="1"/>
  <c r="AC649" i="1"/>
  <c r="AC657" i="1"/>
  <c r="AC661" i="1"/>
  <c r="V667" i="1"/>
  <c r="AC667" i="1" s="1"/>
  <c r="Y668" i="1"/>
  <c r="X668" i="1"/>
  <c r="Y685" i="1"/>
  <c r="X685" i="1"/>
  <c r="AC697" i="1"/>
  <c r="AB702" i="1"/>
  <c r="V702" i="1"/>
  <c r="AC702" i="1" s="1"/>
  <c r="Y704" i="1"/>
  <c r="X704" i="1"/>
  <c r="Y709" i="1"/>
  <c r="X709" i="1"/>
  <c r="AC719" i="1"/>
  <c r="V722" i="1"/>
  <c r="AC722" i="1" s="1"/>
  <c r="AB722" i="1"/>
  <c r="Y727" i="1"/>
  <c r="X727" i="1"/>
  <c r="AB748" i="1"/>
  <c r="V748" i="1"/>
  <c r="AC748" i="1" s="1"/>
  <c r="Y760" i="1"/>
  <c r="X760" i="1"/>
  <c r="AB762" i="1"/>
  <c r="X805" i="1"/>
  <c r="X854" i="1"/>
  <c r="Y854" i="1"/>
  <c r="AB428" i="1"/>
  <c r="AB444" i="1"/>
  <c r="AB462" i="1"/>
  <c r="AB470" i="1"/>
  <c r="AB478" i="1"/>
  <c r="AB486" i="1"/>
  <c r="AB509" i="1"/>
  <c r="AB512" i="1"/>
  <c r="AB518" i="1"/>
  <c r="AB522" i="1"/>
  <c r="AB526" i="1"/>
  <c r="AB571" i="1"/>
  <c r="X580" i="1"/>
  <c r="AC585" i="1"/>
  <c r="V586" i="1"/>
  <c r="AC586" i="1" s="1"/>
  <c r="AC589" i="1"/>
  <c r="Y590" i="1"/>
  <c r="AB594" i="1"/>
  <c r="AB605" i="1"/>
  <c r="V605" i="1"/>
  <c r="AC605" i="1" s="1"/>
  <c r="Y607" i="1"/>
  <c r="X607" i="1"/>
  <c r="AC615" i="1"/>
  <c r="AC623" i="1"/>
  <c r="X624" i="1"/>
  <c r="Y625" i="1"/>
  <c r="X625" i="1"/>
  <c r="Y627" i="1"/>
  <c r="AB631" i="1"/>
  <c r="AC641" i="1"/>
  <c r="AC648" i="1"/>
  <c r="AC656" i="1"/>
  <c r="Y662" i="1"/>
  <c r="Y676" i="1"/>
  <c r="AB696" i="1"/>
  <c r="X723" i="1"/>
  <c r="V755" i="1"/>
  <c r="AC755" i="1" s="1"/>
  <c r="AB755" i="1"/>
  <c r="AB785" i="1"/>
  <c r="V785" i="1"/>
  <c r="AC785" i="1" s="1"/>
  <c r="Y798" i="1"/>
  <c r="X798" i="1"/>
  <c r="X804" i="1"/>
  <c r="AB874" i="1"/>
  <c r="V874" i="1"/>
  <c r="AC874" i="1" s="1"/>
  <c r="AB570" i="1"/>
  <c r="AB609" i="1"/>
  <c r="AC633" i="1"/>
  <c r="AC640" i="1"/>
  <c r="AB653" i="1"/>
  <c r="AC684" i="1"/>
  <c r="AC696" i="1"/>
  <c r="AB701" i="1"/>
  <c r="V701" i="1"/>
  <c r="AC701" i="1" s="1"/>
  <c r="AB706" i="1"/>
  <c r="V707" i="1"/>
  <c r="AC707" i="1" s="1"/>
  <c r="AB707" i="1"/>
  <c r="AB750" i="1"/>
  <c r="V750" i="1"/>
  <c r="AC750" i="1" s="1"/>
  <c r="Y756" i="1"/>
  <c r="AB776" i="1"/>
  <c r="V776" i="1"/>
  <c r="AC776" i="1" s="1"/>
  <c r="AB822" i="1"/>
  <c r="V822" i="1"/>
  <c r="AC822" i="1" s="1"/>
  <c r="AB830" i="1"/>
  <c r="V830" i="1"/>
  <c r="AC830" i="1" s="1"/>
  <c r="AC569" i="1"/>
  <c r="V570" i="1"/>
  <c r="AC570" i="1" s="1"/>
  <c r="AB576" i="1"/>
  <c r="AB592" i="1"/>
  <c r="V592" i="1"/>
  <c r="AC592" i="1" s="1"/>
  <c r="Y594" i="1"/>
  <c r="X594" i="1"/>
  <c r="AC611" i="1"/>
  <c r="AC614" i="1"/>
  <c r="AC622" i="1"/>
  <c r="AC632" i="1"/>
  <c r="AB645" i="1"/>
  <c r="AB664" i="1"/>
  <c r="V664" i="1"/>
  <c r="AC664" i="1" s="1"/>
  <c r="X666" i="1"/>
  <c r="Y666" i="1"/>
  <c r="AB672" i="1"/>
  <c r="Y677" i="1"/>
  <c r="X677" i="1"/>
  <c r="Y684" i="1"/>
  <c r="X684" i="1"/>
  <c r="Y707" i="1"/>
  <c r="X707" i="1"/>
  <c r="X830" i="1"/>
  <c r="Y830" i="1"/>
  <c r="AC700" i="1"/>
  <c r="AB737" i="1"/>
  <c r="X739" i="1"/>
  <c r="Y739" i="1"/>
  <c r="Y744" i="1"/>
  <c r="X744" i="1"/>
  <c r="V771" i="1"/>
  <c r="AC771" i="1" s="1"/>
  <c r="AB771" i="1"/>
  <c r="AB797" i="1"/>
  <c r="V797" i="1"/>
  <c r="AC797" i="1" s="1"/>
  <c r="AC856" i="1"/>
  <c r="AB856" i="1"/>
  <c r="AB870" i="1"/>
  <c r="V870" i="1"/>
  <c r="AC870" i="1" s="1"/>
  <c r="AB882" i="1"/>
  <c r="V882" i="1"/>
  <c r="AC882" i="1" s="1"/>
  <c r="AC888" i="1"/>
  <c r="AB888" i="1"/>
  <c r="X870" i="1"/>
  <c r="Y870" i="1"/>
  <c r="AC896" i="1"/>
  <c r="AB896" i="1"/>
  <c r="X886" i="1"/>
  <c r="Y886" i="1"/>
  <c r="Y905" i="1"/>
  <c r="X905" i="1"/>
  <c r="V908" i="1"/>
  <c r="AC908" i="1" s="1"/>
  <c r="AB908" i="1"/>
  <c r="V840" i="1"/>
  <c r="AC840" i="1" s="1"/>
  <c r="AB840" i="1"/>
  <c r="AB590" i="1"/>
  <c r="AB598" i="1"/>
  <c r="AB611" i="1"/>
  <c r="AB615" i="1"/>
  <c r="AB623" i="1"/>
  <c r="AB693" i="1"/>
  <c r="AB769" i="1"/>
  <c r="V769" i="1"/>
  <c r="AC769" i="1" s="1"/>
  <c r="V802" i="1"/>
  <c r="AC802" i="1" s="1"/>
  <c r="Y825" i="1"/>
  <c r="X825" i="1"/>
  <c r="V848" i="1"/>
  <c r="AC848" i="1" s="1"/>
  <c r="AB848" i="1"/>
  <c r="X861" i="1"/>
  <c r="Y881" i="1"/>
  <c r="X881" i="1"/>
  <c r="Y897" i="1"/>
  <c r="X897" i="1"/>
  <c r="X595" i="1"/>
  <c r="AC692" i="1"/>
  <c r="V693" i="1"/>
  <c r="AC693" i="1" s="1"/>
  <c r="V725" i="1"/>
  <c r="AC725" i="1" s="1"/>
  <c r="AB725" i="1"/>
  <c r="AB735" i="1"/>
  <c r="V735" i="1"/>
  <c r="AC735" i="1" s="1"/>
  <c r="V753" i="1"/>
  <c r="AC753" i="1" s="1"/>
  <c r="Y759" i="1"/>
  <c r="Y769" i="1"/>
  <c r="X769" i="1"/>
  <c r="AB782" i="1"/>
  <c r="V782" i="1"/>
  <c r="AC782" i="1" s="1"/>
  <c r="V824" i="1"/>
  <c r="AC824" i="1" s="1"/>
  <c r="AB824" i="1"/>
  <c r="V859" i="1"/>
  <c r="AC859" i="1" s="1"/>
  <c r="AB859" i="1"/>
  <c r="X860" i="1"/>
  <c r="AC868" i="1"/>
  <c r="V880" i="1"/>
  <c r="AC880" i="1" s="1"/>
  <c r="AB880" i="1"/>
  <c r="AB903" i="1"/>
  <c r="V903" i="1"/>
  <c r="AC903" i="1" s="1"/>
  <c r="Y904" i="1"/>
  <c r="X904" i="1"/>
  <c r="V718" i="1"/>
  <c r="AC718" i="1" s="1"/>
  <c r="AB718" i="1"/>
  <c r="V730" i="1"/>
  <c r="AC730" i="1" s="1"/>
  <c r="AB730" i="1"/>
  <c r="AC745" i="1"/>
  <c r="AB752" i="1"/>
  <c r="Y753" i="1"/>
  <c r="X753" i="1"/>
  <c r="AC772" i="1"/>
  <c r="AC816" i="1"/>
  <c r="AB816" i="1"/>
  <c r="AB838" i="1"/>
  <c r="V838" i="1"/>
  <c r="AC838" i="1" s="1"/>
  <c r="AB846" i="1"/>
  <c r="V846" i="1"/>
  <c r="AC846" i="1" s="1"/>
  <c r="V855" i="1"/>
  <c r="AC855" i="1" s="1"/>
  <c r="AB855" i="1"/>
  <c r="AB879" i="1"/>
  <c r="V879" i="1"/>
  <c r="AC879" i="1" s="1"/>
  <c r="V887" i="1"/>
  <c r="AC887" i="1" s="1"/>
  <c r="AB887" i="1"/>
  <c r="Y893" i="1"/>
  <c r="X893" i="1"/>
  <c r="AC723" i="1"/>
  <c r="AC726" i="1"/>
  <c r="AC757" i="1"/>
  <c r="AB768" i="1"/>
  <c r="Y784" i="1"/>
  <c r="X784" i="1"/>
  <c r="V786" i="1"/>
  <c r="AC786" i="1" s="1"/>
  <c r="AB786" i="1"/>
  <c r="Y800" i="1"/>
  <c r="X800" i="1"/>
  <c r="AC825" i="1"/>
  <c r="AB834" i="1"/>
  <c r="V834" i="1"/>
  <c r="AC834" i="1" s="1"/>
  <c r="Y840" i="1"/>
  <c r="X840" i="1"/>
  <c r="V843" i="1"/>
  <c r="AC843" i="1" s="1"/>
  <c r="AB843" i="1"/>
  <c r="V867" i="1"/>
  <c r="AC867" i="1" s="1"/>
  <c r="AB867" i="1"/>
  <c r="AB877" i="1"/>
  <c r="X878" i="1"/>
  <c r="Y878" i="1"/>
  <c r="V904" i="1"/>
  <c r="AC904" i="1" s="1"/>
  <c r="AB904" i="1"/>
  <c r="V945" i="1"/>
  <c r="AC945" i="1" s="1"/>
  <c r="AB945" i="1"/>
  <c r="V910" i="1"/>
  <c r="AC910" i="1" s="1"/>
  <c r="AB910" i="1"/>
  <c r="AB716" i="1"/>
  <c r="AB733" i="1"/>
  <c r="V733" i="1"/>
  <c r="AC733" i="1" s="1"/>
  <c r="Y736" i="1"/>
  <c r="X736" i="1"/>
  <c r="AB774" i="1"/>
  <c r="V774" i="1"/>
  <c r="AC774" i="1" s="1"/>
  <c r="Y777" i="1"/>
  <c r="X777" i="1"/>
  <c r="AB815" i="1"/>
  <c r="V815" i="1"/>
  <c r="AC815" i="1" s="1"/>
  <c r="Y833" i="1"/>
  <c r="X833" i="1"/>
  <c r="Y837" i="1"/>
  <c r="X837" i="1"/>
  <c r="AB858" i="1"/>
  <c r="V891" i="1"/>
  <c r="AC891" i="1" s="1"/>
  <c r="AB891" i="1"/>
  <c r="AB895" i="1"/>
  <c r="V895" i="1"/>
  <c r="AC895" i="1" s="1"/>
  <c r="AB909" i="1"/>
  <c r="AB732" i="1"/>
  <c r="Y746" i="1"/>
  <c r="X746" i="1"/>
  <c r="AB760" i="1"/>
  <c r="AB773" i="1"/>
  <c r="AC788" i="1"/>
  <c r="Y790" i="1"/>
  <c r="AB796" i="1"/>
  <c r="Y812" i="1"/>
  <c r="X812" i="1"/>
  <c r="AC820" i="1"/>
  <c r="AC845" i="1"/>
  <c r="AC858" i="1"/>
  <c r="Y865" i="1"/>
  <c r="X865" i="1"/>
  <c r="V883" i="1"/>
  <c r="AC883" i="1" s="1"/>
  <c r="AB883" i="1"/>
  <c r="Y892" i="1"/>
  <c r="X892" i="1"/>
  <c r="X896" i="1"/>
  <c r="AC909" i="1"/>
  <c r="AC732" i="1"/>
  <c r="X735" i="1"/>
  <c r="AB743" i="1"/>
  <c r="AB758" i="1"/>
  <c r="V758" i="1"/>
  <c r="AC758" i="1" s="1"/>
  <c r="V760" i="1"/>
  <c r="AC760" i="1" s="1"/>
  <c r="Y761" i="1"/>
  <c r="X761" i="1"/>
  <c r="Y764" i="1"/>
  <c r="AC773" i="1"/>
  <c r="X776" i="1"/>
  <c r="AB784" i="1"/>
  <c r="AC787" i="1"/>
  <c r="Y789" i="1"/>
  <c r="AB800" i="1"/>
  <c r="Y801" i="1"/>
  <c r="X801" i="1"/>
  <c r="AB806" i="1"/>
  <c r="V806" i="1"/>
  <c r="AC806" i="1" s="1"/>
  <c r="AB810" i="1"/>
  <c r="V810" i="1"/>
  <c r="AC810" i="1" s="1"/>
  <c r="X832" i="1"/>
  <c r="Y836" i="1"/>
  <c r="Y841" i="1"/>
  <c r="X841" i="1"/>
  <c r="AC844" i="1"/>
  <c r="V850" i="1"/>
  <c r="AC850" i="1" s="1"/>
  <c r="X853" i="1"/>
  <c r="Y864" i="1"/>
  <c r="X864" i="1"/>
  <c r="AC872" i="1"/>
  <c r="X885" i="1"/>
  <c r="Y901" i="1"/>
  <c r="X901" i="1"/>
  <c r="Y792" i="1"/>
  <c r="X792" i="1"/>
  <c r="AB805" i="1"/>
  <c r="Y809" i="1"/>
  <c r="X809" i="1"/>
  <c r="AC817" i="1"/>
  <c r="AC853" i="1"/>
  <c r="Y873" i="1"/>
  <c r="X873" i="1"/>
  <c r="AC885" i="1"/>
  <c r="AC897" i="1"/>
  <c r="AC795" i="1"/>
  <c r="AC796" i="1"/>
  <c r="AB818" i="1"/>
  <c r="AC828" i="1"/>
  <c r="AC829" i="1"/>
  <c r="Y849" i="1"/>
  <c r="X849" i="1"/>
  <c r="AC857" i="1"/>
  <c r="AC876" i="1"/>
  <c r="AC877" i="1"/>
  <c r="AC889" i="1"/>
  <c r="AB898" i="1"/>
  <c r="AB901" i="1"/>
  <c r="AB826" i="1"/>
  <c r="AC836" i="1"/>
  <c r="AC837" i="1"/>
  <c r="Y857" i="1"/>
  <c r="X857" i="1"/>
  <c r="AC865" i="1"/>
  <c r="Y889" i="1"/>
  <c r="X889" i="1"/>
  <c r="V898" i="1"/>
  <c r="AC898" i="1" s="1"/>
  <c r="AC900" i="1"/>
  <c r="AC901" i="1"/>
  <c r="Y902" i="1"/>
  <c r="E950" i="1" l="1"/>
  <c r="E953" i="1"/>
  <c r="E956" i="1"/>
  <c r="E951" i="1"/>
  <c r="V951" i="1"/>
  <c r="V952" i="1"/>
  <c r="E954" i="1"/>
  <c r="E955" i="1"/>
  <c r="AB960" i="1"/>
  <c r="AB950" i="1"/>
  <c r="AB951" i="1" s="1"/>
  <c r="AB948" i="1"/>
  <c r="AC948" i="1" s="1"/>
  <c r="I950" i="1"/>
  <c r="E952" i="1"/>
  <c r="AB96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Q13" authorId="0" shapeId="0" xr:uid="{4A80A554-4A0D-F34C-A6BF-BBA103B8EB0E}">
      <text>
        <r>
          <rPr>
            <sz val="10"/>
            <color rgb="FF000000"/>
            <rFont val="Calibri"/>
            <family val="2"/>
            <scheme val="minor"/>
          </rPr>
          <t>There is a cost overrun of unidentified size. https://la.streetsblog.org/2020/06/09/metro-purple-line-extension-section-1-difficult-tunnelling-resulting-in-cost-overruns/
	-Alon Levy</t>
        </r>
      </text>
    </comment>
    <comment ref="H16" authorId="0" shapeId="0" xr:uid="{0E0F0FD3-B237-1342-82E0-CDD34D9BAAB6}">
      <text>
        <r>
          <rPr>
            <sz val="10"/>
            <color rgb="FF000000"/>
            <rFont val="Calibri"/>
            <family val="2"/>
            <scheme val="minor"/>
          </rPr>
          <t>It's in the same right-of-way as a commuter line so it can plausibly be 1 and not 0.
	-Alon Levy</t>
        </r>
      </text>
    </comment>
    <comment ref="N16" authorId="0" shapeId="0" xr:uid="{5AD45BA1-F663-894F-BD46-68FFAFC35ECE}">
      <text>
        <r>
          <rPr>
            <sz val="10"/>
            <color rgb="FF000000"/>
            <rFont val="Calibri"/>
            <family val="2"/>
            <scheme val="minor"/>
          </rPr>
          <t>Only 6 new stops, but Lechmere is rebuilt, so 7.
	-Alon Levy</t>
        </r>
      </text>
    </comment>
    <comment ref="Q16" authorId="0" shapeId="0" xr:uid="{5A5920CF-9DA9-374C-A8CD-917B629FFC0E}">
      <text>
        <r>
          <rPr>
            <sz val="10"/>
            <color rgb="FF000000"/>
            <rFont val="Calibri"/>
            <family val="2"/>
            <scheme val="minor"/>
          </rPr>
          <t>Including rolling stock, which is $118 million per https://www.railwaygazette.com/long-reads/boston-building-a-better-t/55983.article, for a total balance of 2,182.
	-Alon Levy</t>
        </r>
      </text>
    </comment>
    <comment ref="Q18" authorId="0" shapeId="0" xr:uid="{4C3AA191-F1C0-0643-8FBF-223BED640B5C}">
      <text>
        <r>
          <rPr>
            <sz val="10"/>
            <color rgb="FF000000"/>
            <rFont val="Calibri"/>
            <family val="2"/>
            <scheme val="minor"/>
          </rPr>
          <t>See also confirmation of the cost at https://sfist.com/2023/02/03/bart-san-jose-extension-gets-375-million-state-grant-expects-to-start-construction-next-year/.</t>
        </r>
      </text>
    </comment>
    <comment ref="G23" authorId="0" shapeId="0" xr:uid="{55EA408A-FB99-A74A-851A-C25483E60EB4}">
      <text>
        <r>
          <rPr>
            <sz val="10"/>
            <color rgb="FF000000"/>
            <rFont val="Calibri"/>
            <family val="2"/>
            <scheme val="minor"/>
          </rPr>
          <t>First 7.8 km opened in 2020: https://www.railwaygazette.com/operations-and-services/most-beautiful-and-cheapest-metro-line-opens-in-sofia/57242.article
	-Alon Levy</t>
        </r>
      </text>
    </comment>
    <comment ref="N24" authorId="0" shapeId="0" xr:uid="{BB93B368-40A2-864C-94FD-30616E646AD8}">
      <text>
        <r>
          <rPr>
            <sz val="10"/>
            <color rgb="FF000000"/>
            <rFont val="Calibri"/>
            <family val="2"/>
            <scheme val="minor"/>
          </rPr>
          <t>Sources disagree on 3 vs. 4 but the map clearly shows 4: https://www.metropolitan.bg/en/op-transport-extension/istoriya-razvitie-metro/line-3-sofia-metro
	-Alon Levy</t>
        </r>
      </text>
    </comment>
    <comment ref="Q25" authorId="0" shapeId="0" xr:uid="{E2C70C5B-0CA0-F74D-9C24-DADB65300322}">
      <text>
        <r>
          <rPr>
            <sz val="10"/>
            <color rgb="FF000000"/>
            <rFont val="Calibri"/>
            <family val="2"/>
            <scheme val="minor"/>
          </rPr>
          <t>Including rolling stock.
	-Alon Levy</t>
        </r>
      </text>
    </comment>
    <comment ref="Q27" authorId="0" shapeId="0" xr:uid="{2F2EA6AE-6AEA-864B-9BD0-C093E7A13622}">
      <text>
        <r>
          <rPr>
            <sz val="10"/>
            <color rgb="FF000000"/>
            <rFont val="Calibri"/>
            <family val="2"/>
            <scheme val="minor"/>
          </rPr>
          <t>1100 per https://www.railjournal.com/passenger/metros/warsaw-opens-3-4km-line-m2-extension/
	-Alon Levy</t>
        </r>
      </text>
    </comment>
    <comment ref="I29" authorId="0" shapeId="0" xr:uid="{A24E8424-0662-C541-96D6-48D55CAA4744}">
      <text>
        <r>
          <rPr>
            <sz val="10"/>
            <color rgb="FF000000"/>
            <rFont val="Calibri"/>
            <family val="2"/>
            <scheme val="minor"/>
          </rPr>
          <t>Some media sources say 7.2 km.
	-Alon Levy</t>
        </r>
      </text>
    </comment>
    <comment ref="I31" authorId="0" shapeId="0" xr:uid="{CF047E19-E840-F74B-A8AB-33C1FD1EBD31}">
      <text>
        <r>
          <rPr>
            <sz val="10"/>
            <color rgb="FF000000"/>
            <rFont val="Calibri"/>
            <family val="2"/>
            <scheme val="minor"/>
          </rPr>
          <t>https://www.railwaygazette.com/projects-and-planning/nizhny-novgorod-world-cup-metro-extension-inaugurated/46612.article says 2.2 km.
	-Alon Levy</t>
        </r>
      </text>
    </comment>
    <comment ref="Q31" authorId="0" shapeId="0" xr:uid="{106C27F4-7851-054F-9E4C-192FFA7A5C02}">
      <text>
        <r>
          <rPr>
            <sz val="10"/>
            <color rgb="FF000000"/>
            <rFont val="Calibri"/>
            <family val="2"/>
            <scheme val="minor"/>
          </rPr>
          <t>https://www.railwaygazette.com/projects-and-planning/nizhny-novgorod-world-cup-metro-extension-inaugurated/46612.article says 10,700.
	-Alon Levy</t>
        </r>
      </text>
    </comment>
    <comment ref="Q32" authorId="0" shapeId="0" xr:uid="{4C634917-F797-8740-9C1E-7F984D052FA7}">
      <text>
        <r>
          <rPr>
            <sz val="10"/>
            <color rgb="FF000000"/>
            <rFont val="Calibri"/>
            <family val="2"/>
            <scheme val="minor"/>
          </rPr>
          <t>https://www.railwaygazette.com/projects-and-planning/st-petersburg-metro-line-3-extended/46528.article says 36,800.
	-Alon Levy</t>
        </r>
      </text>
    </comment>
    <comment ref="Q33" authorId="0" shapeId="0" xr:uid="{AD16254C-AF7E-CA4E-9C98-3A3F2033AA67}">
      <text>
        <r>
          <rPr>
            <sz val="10"/>
            <color rgb="FF000000"/>
            <rFont val="Calibri"/>
            <family val="2"/>
            <scheme val="minor"/>
          </rPr>
          <t>34,000 extension proper, 10,600 for depot expansion for a bigger fleet.
	-Alon Levy</t>
        </r>
      </text>
    </comment>
    <comment ref="Q34" authorId="0" shapeId="0" xr:uid="{0055A25C-7DAE-884F-9510-5B261CF59F36}">
      <text>
        <r>
          <rPr>
            <sz val="10"/>
            <color rgb="FF000000"/>
            <rFont val="Calibri"/>
            <family val="2"/>
            <scheme val="minor"/>
          </rPr>
          <t>Ex ante news report says 36,000 but explicitly calls it provisional: https://stroi.mos.ru/news/stantsii-sokol-nichieskoi-linii-mietro-v-novoi-moskvie-poluchili-nazvaniia
	-Alon Levy</t>
        </r>
      </text>
    </comment>
    <comment ref="J35" authorId="0" shapeId="0" xr:uid="{EFB644A9-22CC-204E-8FD5-6A8A82E3234A}">
      <text>
        <r>
          <rPr>
            <sz val="10"/>
            <color rgb="FF000000"/>
            <rFont val="Calibri"/>
            <family val="2"/>
            <scheme val="minor"/>
          </rPr>
          <t>The terminus station is daylit in an otherwise entirely underground work.</t>
        </r>
      </text>
    </comment>
    <comment ref="J37" authorId="0" shapeId="0" xr:uid="{EB7DB001-67E4-5F4F-BF73-0F0F49DC97B7}">
      <text>
        <r>
          <rPr>
            <sz val="10"/>
            <color rgb="FF000000"/>
            <rFont val="Calibri"/>
            <family val="2"/>
            <scheme val="minor"/>
          </rPr>
          <t>Source has a slightly different length: https://www.ladepeche.fr/article/2017/03/07/2530341-prix-3e-ligne-metro-fait-toujours-polemique.html
	-Alon Levy</t>
        </r>
      </text>
    </comment>
    <comment ref="P39" authorId="0" shapeId="0" xr:uid="{496F6FE9-B53D-D54D-ABB1-70771E0C5D66}">
      <text>
        <r>
          <rPr>
            <sz val="10"/>
            <color rgb="FF000000"/>
            <rFont val="Calibri"/>
            <family val="2"/>
            <scheme val="minor"/>
          </rPr>
          <t>https://cdn.archilovers.com/projects/5370707e-978f-4bac-a28a-e982705a6034.pdf
	-Alon Levy</t>
        </r>
      </text>
    </comment>
    <comment ref="H43" authorId="0" shapeId="0" xr:uid="{D62E8A14-4B17-844D-BC5A-0FFF39FCCDD1}">
      <text>
        <r>
          <rPr>
            <sz val="10"/>
            <color rgb="FF000000"/>
            <rFont val="Calibri"/>
            <family val="2"/>
            <scheme val="minor"/>
          </rPr>
          <t>This is regional rail, but it's an outlying regional line providing airport connection, unlike most RR lines in this table, which are in city center.
	-Alon Levy</t>
        </r>
      </text>
    </comment>
    <comment ref="Q54" authorId="0" shapeId="0" xr:uid="{1EE32191-1565-614A-B509-0A53AF15DCDB}">
      <text>
        <r>
          <rPr>
            <sz val="10"/>
            <color rgb="FF000000"/>
            <rFont val="Calibri"/>
            <family val="2"/>
            <scheme val="minor"/>
          </rPr>
          <t>Reference says 1,943.8 but includes rolling stock, which per an older report before a cost overrun was 247.2: https://www.metro4milano.it/wordpress/wp-content/uploads/2016/09/2016.05.27-CdM-Integraz-relaz-tecnico-economica-Allegati.xlsx.pdf
	-Alon Levy</t>
        </r>
      </text>
    </comment>
    <comment ref="Q55" authorId="0" shapeId="0" xr:uid="{166C6B99-9CF3-9B4C-9536-5541D4061797}">
      <text>
        <r>
          <rPr>
            <sz val="10"/>
            <color rgb="FF000000"/>
            <rFont val="Calibri"/>
            <family val="2"/>
            <scheme val="minor"/>
          </rPr>
          <t>https://www.vie-publique.fr/en-bref/277104-grand-paris-express-augmentation-des-couts says 42 billion, but without a year stated, whereas the source listed for the cost is in 2012 euros; it's likely 42 billion accounts for some inflation since 2012.</t>
        </r>
      </text>
    </comment>
    <comment ref="Q57" authorId="0" shapeId="0" xr:uid="{FA0100AB-F1E9-A844-80F6-080ACA297F1C}">
      <text>
        <r>
          <rPr>
            <sz val="10"/>
            <color rgb="FF000000"/>
            <rFont val="Calibri"/>
            <family val="2"/>
            <scheme val="minor"/>
          </rPr>
          <t>Caution: a cursory check found no sources with a cost figure more recent than 2018.
	-Alon Levy</t>
        </r>
      </text>
    </comment>
    <comment ref="Q58" authorId="0" shapeId="0" xr:uid="{7E5235EB-007D-B04E-BBE2-EB3E33317B0A}">
      <text>
        <r>
          <rPr>
            <sz val="10"/>
            <color rgb="FF000000"/>
            <rFont val="Calibri"/>
            <family val="2"/>
            <scheme val="minor"/>
          </rPr>
          <t>Source is ex medio, but ex post trade press confirms the cost in exchange rate dollars: https://www.railjournal.com/passenger/metros/hanoi-completes-construction-of-first-metro-line/
	-Alon Levy</t>
        </r>
      </text>
    </comment>
    <comment ref="Q59" authorId="0" shapeId="0" xr:uid="{EDE65C2E-5CAF-374C-8211-2F9C01874E62}">
      <text>
        <r>
          <rPr>
            <sz val="10"/>
            <color rgb="FF000000"/>
            <rFont val="Calibri"/>
            <family val="2"/>
            <scheme val="minor"/>
          </rPr>
          <t>This source says 1.69 trillion (https://shinbundang.co.kr/eng/index.jsp?pageID=/eng/intro/intro2_6.jsp&amp;open_main=4&amp;open_sub1=1&amp;open_sub2=6), not 1.169, but given how many sources say 1.169, it looks like a typo.
	-Alon Levy</t>
        </r>
      </text>
    </comment>
    <comment ref="Q60" authorId="0" shapeId="0" xr:uid="{753D27BE-6D6E-3B4D-B8CD-CADAC5BB13D0}">
      <text>
        <r>
          <rPr>
            <sz val="10"/>
            <color rgb="FF000000"/>
            <rFont val="Calibri"/>
            <family val="2"/>
            <scheme val="minor"/>
          </rPr>
          <t>This is the cost across a few different sources, e.g. https://centers.ibs.re.kr/html/living_en/transport/KSP%2011%20Korea%C2%B4s%20Railway%20PPP%20Projects.pdf, but https://www.donga.com/news/article/all/20110216/34857594/1 claims 1.5343 trilion, which could be a 2006 won vs. YOE won difference.
	-Alon Levy</t>
        </r>
      </text>
    </comment>
    <comment ref="I72" authorId="0" shapeId="0" xr:uid="{8FFB79F0-F685-6F46-9F24-0625A53C77C7}">
      <text>
        <r>
          <rPr>
            <sz val="10"/>
            <color rgb="FF000000"/>
            <rFont val="Calibri"/>
            <family val="2"/>
            <scheme val="minor"/>
          </rPr>
          <t>See https://www.oslo.kommune.no/slik-bygger-vi-oslo/fornebubanen/ but note that the cost figure there is outdated.</t>
        </r>
      </text>
    </comment>
    <comment ref="Q78" authorId="0" shapeId="0" xr:uid="{B3D7935E-CBA6-084C-A0BA-DF85741C2EED}">
      <text>
        <r>
          <rPr>
            <sz val="10"/>
            <color rgb="FF000000"/>
            <rFont val="Calibri"/>
            <family val="2"/>
            <scheme val="minor"/>
          </rPr>
          <t>This does not include a $330 million overrun per https://www.thestar.com/news/gta/2019/12/30/eglinton-crosstown-lrt-could-be-330-million-over-budget-and-open-seven-months-late-internal-documents-warn.html
	-Alon Levy</t>
        </r>
      </text>
    </comment>
    <comment ref="I79" authorId="0" shapeId="0" xr:uid="{87FA9439-7064-FF4D-AA2C-6C4FAB5DF2EF}">
      <text>
        <r>
          <rPr>
            <sz val="10"/>
            <color rgb="FF000000"/>
            <rFont val="Calibri"/>
            <family val="2"/>
            <scheme val="minor"/>
          </rPr>
          <t>Wikipedia says 19.5 km.
	-Alon Levy</t>
        </r>
      </text>
    </comment>
    <comment ref="Q79" authorId="0" shapeId="0" xr:uid="{31D7281D-6E2E-D948-8542-1CE60DE3904B}">
      <text>
        <r>
          <rPr>
            <sz val="10"/>
            <color rgb="FF000000"/>
            <rFont val="Calibri"/>
            <family val="2"/>
            <scheme val="minor"/>
          </rPr>
          <t>This source says 24,600: https://mmrda.maharashtra.gov.in/mumbai-monorail-project#
	-Alon Levy</t>
        </r>
      </text>
    </comment>
    <comment ref="Q80" authorId="0" shapeId="0" xr:uid="{FA8519EE-BCA8-BC4D-BC77-8F439BFEC127}">
      <text>
        <r>
          <rPr>
            <sz val="10"/>
            <color rgb="FF000000"/>
            <rFont val="Calibri"/>
            <family val="2"/>
            <scheme val="minor"/>
          </rPr>
          <t>See https://www.metrorailnews.in/tunneling-work-on-mumbai-metro-line-3-likely-to-complete-by-2021/
	-Alon Levy</t>
        </r>
      </text>
    </comment>
    <comment ref="I81" authorId="0" shapeId="0" xr:uid="{FB56315E-B269-514E-96A6-DCB5F84D332B}">
      <text>
        <r>
          <rPr>
            <sz val="10"/>
            <color rgb="FF000000"/>
            <rFont val="Calibri"/>
            <family val="2"/>
            <scheme val="minor"/>
          </rPr>
          <t>https://www.makaan.com/iq/news-views/mumbai-metro-line-2a-to-get-operational-by-2020 says 18 km.
	-Alon Levy</t>
        </r>
      </text>
    </comment>
    <comment ref="Q82" authorId="0" shapeId="0" xr:uid="{408DDCC4-6F29-9648-AD8A-23804106F55E}">
      <text>
        <r>
          <rPr>
            <sz val="10"/>
            <color rgb="FF000000"/>
            <rFont val="Calibri"/>
            <family val="2"/>
            <scheme val="minor"/>
          </rPr>
          <t>Including state taxes.
	-Alon Levy</t>
        </r>
      </text>
    </comment>
    <comment ref="G85" authorId="0" shapeId="0" xr:uid="{F3844F44-ACA9-7F4C-9113-A1A7BB5BCB19}">
      <text>
        <r>
          <rPr>
            <sz val="10"/>
            <color rgb="FF000000"/>
            <rFont val="Calibri"/>
            <family val="2"/>
            <scheme val="minor"/>
          </rPr>
          <t>https://www.mumbailive.com/en/infrastructure/mmrda-tenders-currently-open-for-metro-line-5-7a-and-9-general-consultants-45660
	-Alon Levy</t>
        </r>
      </text>
    </comment>
    <comment ref="Q86" authorId="0" shapeId="0" xr:uid="{E6CAA742-09FA-4D40-9C2C-C01D4D8D4982}">
      <text>
        <r>
          <rPr>
            <sz val="10"/>
            <color rgb="FF000000"/>
            <rFont val="Calibri"/>
            <family val="2"/>
            <scheme val="minor"/>
          </rPr>
          <t>This source says 66,720, presumably in year of expenditure rupees: https://www.livemint.com/Politics/Z1VWUGDGga5lJjdm8llzKI/Mumbai-Metros-corridor-5-and-6-gets-Maharashtra-cabinet-ap.html
	-Alon Levy</t>
        </r>
      </text>
    </comment>
    <comment ref="Q88" authorId="0" shapeId="0" xr:uid="{BBE6F42D-9B16-C14D-8610-C6AD116E3C5F}">
      <text>
        <r>
          <rPr>
            <sz val="10"/>
            <color rgb="FF000000"/>
            <rFont val="Calibri"/>
            <family val="2"/>
            <scheme val="minor"/>
          </rPr>
          <t>Per https://indianexpress.com/article/cities/mumbai/mumbai-work-on-second-underground-metro-line-7a-begins-6301335/ this is the cost of Line 7A, but it's really the cost of 7A and 9 bundled together.
	-Alon Levy</t>
        </r>
      </text>
    </comment>
    <comment ref="N89" authorId="0" shapeId="0" xr:uid="{2E828248-5B2D-9B4C-9879-795BD94B9B90}">
      <text>
        <r>
          <rPr>
            <sz val="10"/>
            <color rgb="FF000000"/>
            <rFont val="Calibri"/>
            <family val="2"/>
            <scheme val="minor"/>
          </rPr>
          <t>All elevated
	-Alon Levy</t>
        </r>
      </text>
    </comment>
    <comment ref="Q89" authorId="0" shapeId="0" xr:uid="{E6299B27-29A9-1743-9921-92770E56611D}">
      <text>
        <r>
          <rPr>
            <sz val="10"/>
            <color rgb="FF000000"/>
            <rFont val="Calibri"/>
            <family val="2"/>
            <scheme val="minor"/>
          </rPr>
          <t>44,760 in YOE rupees, mentioned e.g. at https://www.makaan.com/iq/news-views/all-about-mumbai-metro-line-10-11-and-12 and https://timesofindia.indiatimes.com/city/mumbai/mmrda-jurisdiction-to-expand-mumbai-metro-operations-corp-to-be-set-up/articleshow/66740043.cms
	-Alon Levy</t>
        </r>
      </text>
    </comment>
    <comment ref="Q90" authorId="0" shapeId="0" xr:uid="{8049B2A5-8CB3-6D4E-B82B-3745919B2E60}">
      <text>
        <r>
          <rPr>
            <sz val="10"/>
            <color rgb="FF000000"/>
            <rFont val="Calibri"/>
            <family val="2"/>
            <scheme val="minor"/>
          </rPr>
          <t>87,390 in YOE rupees.
	-Alon Levy</t>
        </r>
      </text>
    </comment>
    <comment ref="Q91" authorId="0" shapeId="0" xr:uid="{2078E728-01D5-6D44-BA30-1E602C6ECF0D}">
      <text>
        <r>
          <rPr>
            <sz val="10"/>
            <color rgb="FF000000"/>
            <rFont val="Calibri"/>
            <family val="2"/>
            <scheme val="minor"/>
          </rPr>
          <t>58,650 in YOE rupees.
	-Alon Levy</t>
        </r>
      </text>
    </comment>
    <comment ref="Q92" authorId="0" shapeId="0" xr:uid="{77273718-240F-D24B-AAD5-42812993AACE}">
      <text>
        <r>
          <rPr>
            <sz val="10"/>
            <color rgb="FF000000"/>
            <rFont val="Calibri"/>
            <family val="2"/>
            <scheme val="minor"/>
          </rPr>
          <t>Source says 1,510, but this older source says 182 is rolling stock: https://ec.europa.eu/eipp/desktop/en/projects/project-74.html This source even says 1,800, with VAT, which is close to 1,510 without: https://www.tornosnews.gr/en/transport/37308-athens-metro-line-4-to-proceed-after-appeals-are-rejected-by-top-court.html
	-Alon Levy</t>
        </r>
      </text>
    </comment>
    <comment ref="Q93" authorId="0" shapeId="0" xr:uid="{531C335C-E1BB-614B-91FC-F5343123A55B}">
      <text>
        <r>
          <rPr>
            <sz val="10"/>
            <color rgb="FF000000"/>
            <rFont val="Calibri"/>
            <family val="2"/>
            <scheme val="minor"/>
          </rPr>
          <t>https://www.railwaypro.com/wp/metro-line-3-extension-opened-in-athens/ mentions a 343.96 million euro bid; https://www.ametro.gr/?page_id=88 says it's a 730 million euro investment.
	-Alon Levy</t>
        </r>
      </text>
    </comment>
    <comment ref="Q94" authorId="0" shapeId="0" xr:uid="{F6078466-BA12-FD46-90C5-32ECE4A1D602}">
      <text>
        <r>
          <rPr>
            <sz val="10"/>
            <color rgb="FF000000"/>
            <rFont val="Calibri"/>
            <family val="2"/>
            <scheme val="minor"/>
          </rPr>
          <t>P. 5 of https://www.ametro.gr/wp-content/uploads/2018/08/AM_Xrimatooikonomikes_katastaseis_2017.pdf says 1,283.7 including rolling stock.
	-Alon Levy</t>
        </r>
      </text>
    </comment>
    <comment ref="J96" authorId="0" shapeId="0" xr:uid="{F62E391F-D182-9F41-8924-5B5987E6C80A}">
      <text>
        <r>
          <rPr>
            <sz val="10"/>
            <color rgb="FF000000"/>
            <rFont val="Calibri"/>
            <family val="2"/>
            <scheme val="minor"/>
          </rPr>
          <t>Underground % is based on looking at satellite images and Wikipedia claiming all new stations are underground.
	-Alon Levy</t>
        </r>
      </text>
    </comment>
    <comment ref="Q97" authorId="0" shapeId="0" xr:uid="{BF67BC13-A48F-8B4F-9038-F0503B87A814}">
      <text>
        <r>
          <rPr>
            <sz val="10"/>
            <color rgb="FF000000"/>
            <rFont val="Calibri"/>
            <family val="2"/>
            <scheme val="minor"/>
          </rPr>
          <t>See also https://www.railwaygazette.com/projects-and-planning/driverless-metro-to-gimpo-airport-inaugurated/54726.article
	-Alon Levy</t>
        </r>
      </text>
    </comment>
    <comment ref="I102" authorId="0" shapeId="0" xr:uid="{69F9650C-C964-3D43-B32C-B32B8684E729}">
      <text>
        <r>
          <rPr>
            <sz val="10"/>
            <color rgb="FF000000"/>
            <rFont val="Calibri"/>
            <family val="2"/>
            <scheme val="minor"/>
          </rPr>
          <t>See also https://www.ratp.fr/en/groupe-ratp/metrotrains/m1-extension-val-de-fontenay
	-Alon Levy</t>
        </r>
      </text>
    </comment>
    <comment ref="Q105" authorId="0" shapeId="0" xr:uid="{FAE06F30-BFDD-A741-8834-3CC2B8FD387D}">
      <text>
        <r>
          <rPr>
            <sz val="10"/>
            <color rgb="FF000000"/>
            <rFont val="Calibri"/>
            <family val="2"/>
            <scheme val="minor"/>
          </rPr>
          <t>See also https://revistavial.com/linea-3-del-metro-de-santiago/</t>
        </r>
      </text>
    </comment>
    <comment ref="Q106" authorId="0" shapeId="0" xr:uid="{4E6F0148-8429-7D4F-A6CE-163C0C45A8A4}">
      <text>
        <r>
          <rPr>
            <sz val="10"/>
            <color rgb="FF000000"/>
            <rFont val="Calibri"/>
            <family val="2"/>
            <scheme val="minor"/>
          </rPr>
          <t>See also https://www.bnamericas.com/en/news/brazil-metro-cost-overruns-top-us9bn1
	-Alon Levy
----
See also https://projects.worldbank.org/en/projects-operations/project-detail/P116170?lang=en, which is very close in exchange-rate dollars.
	-Alon Levy</t>
        </r>
      </text>
    </comment>
    <comment ref="S107" authorId="0" shapeId="0" xr:uid="{5B173B84-AB5A-AE4C-B0A0-0F9E9C608689}">
      <text>
        <r>
          <rPr>
            <sz val="10"/>
            <color rgb="FF000000"/>
            <rFont val="Calibri"/>
            <family val="2"/>
            <scheme val="minor"/>
          </rPr>
          <t>Weighted toward the end because most actual construction happened starting 2013.
	-Alon Levy</t>
        </r>
      </text>
    </comment>
    <comment ref="Q108" authorId="0" shapeId="0" xr:uid="{3BC6142F-557B-1643-BE77-28E4596D6C4A}">
      <text>
        <r>
          <rPr>
            <sz val="10"/>
            <color rgb="FF000000"/>
            <rFont val="Calibri"/>
            <family val="2"/>
            <scheme val="minor"/>
          </rPr>
          <t>The official site says 1,880 from the year before opening: https://www.elmetrodepanama.com/los-costos-de-la-construccion-de-la-primera-etapa-de-la-linea-1-del-metro-se-mantienen-en-el-monto-original-de-1-880-millones/; this source says 2,139: https://www.laestrella.com.pa/nacional/150405/ano-linea-metro
	-Alon Levy</t>
        </r>
      </text>
    </comment>
    <comment ref="G110" authorId="0" shapeId="0" xr:uid="{F546EF5C-B8CB-2540-ADB1-BE9D0E481023}">
      <text>
        <r>
          <rPr>
            <sz val="10"/>
            <color rgb="FF000000"/>
            <rFont val="Calibri"/>
            <family val="2"/>
            <scheme val="minor"/>
          </rPr>
          <t>Based on a 54-month deadline starting from the end of 2019.
	-Alon Levy</t>
        </r>
      </text>
    </comment>
    <comment ref="I110" authorId="0" shapeId="0" xr:uid="{3A04D93D-7CF8-D14C-9632-CC07F5B6CDF3}">
      <text>
        <r>
          <rPr>
            <sz val="10"/>
            <color rgb="FF000000"/>
            <rFont val="Calibri"/>
            <family val="2"/>
            <scheme val="minor"/>
          </rPr>
          <t>See https://www.railwaygazette.com/projects-and-planning/metro-de-panama-awards-line-3-contract/55710.article; some other sources say 25.
	-Alon Levy</t>
        </r>
      </text>
    </comment>
    <comment ref="Q110" authorId="0" shapeId="0" xr:uid="{C67FB2F9-3DF2-934E-B123-BF7C86742B60}">
      <text>
        <r>
          <rPr>
            <sz val="10"/>
            <color rgb="FF000000"/>
            <rFont val="Calibri"/>
            <family val="2"/>
            <scheme val="minor"/>
          </rPr>
          <t>https://www.railjournal.com/passenger/metros/panama-metro-line-3-contract-finally-awarded/ says 2,057 million but is probably a typo given what other sources say.
	-Alon Levy</t>
        </r>
      </text>
    </comment>
    <comment ref="I111" authorId="0" shapeId="0" xr:uid="{50AC7E2C-894D-1F43-BA88-394D18BD0EDC}">
      <text>
        <r>
          <rPr>
            <sz val="10"/>
            <color rgb="FF000000"/>
            <rFont val="Calibri"/>
            <family val="2"/>
            <scheme val="minor"/>
          </rPr>
          <t>This source says 35 km: https://business.inquirer.net/281164/p393-b-metro-manila-subway-is-project-of-the-century-for-ph
	-Alon Levy</t>
        </r>
      </text>
    </comment>
    <comment ref="Q111" authorId="0" shapeId="0" xr:uid="{8DCEE646-23EF-CA4D-B4D8-B5FCC8CBFAAA}">
      <text>
        <r>
          <rPr>
            <sz val="10"/>
            <color rgb="FF000000"/>
            <rFont val="Calibri"/>
            <family val="2"/>
            <scheme val="minor"/>
          </rPr>
          <t>This source says 227,000: https://gineersnow.com/industries/train/the-metro-manila-subway-project-details
	-Alon Levy</t>
        </r>
      </text>
    </comment>
    <comment ref="Q112" authorId="0" shapeId="0" xr:uid="{AC59D6EE-B6ED-6F4C-857B-BCCDA0FF79B1}">
      <text>
        <r>
          <rPr>
            <sz val="10"/>
            <color rgb="FF000000"/>
            <rFont val="Calibri"/>
            <family val="2"/>
            <scheme val="minor"/>
          </rPr>
          <t>63 billion and 9 stations per https://www.philstar.com/business/2020/01/17/1985356/mrt-7-construction-halfway-complete
	-Alon Levy</t>
        </r>
      </text>
    </comment>
    <comment ref="Q113" authorId="0" shapeId="0" xr:uid="{9F6BD047-C6F3-A44B-BD49-7D3440783A81}">
      <text>
        <r>
          <rPr>
            <sz val="10"/>
            <color rgb="FF000000"/>
            <rFont val="Calibri"/>
            <family val="2"/>
            <scheme val="minor"/>
          </rPr>
          <t>https://news.abs-cbn.com/business/multimedia/infographic/07/27/18/the-makati-subway says 197 billion PHP and $3.7 billion, and a number of other media sources mention $3.7 billion as the cost, but the more recent source mentions an underrun to $2.5 billion.
	-Alon Levy</t>
        </r>
      </text>
    </comment>
    <comment ref="Q117" authorId="0" shapeId="0" xr:uid="{F8931172-65EE-A845-8FF2-34CD61ECB378}">
      <text>
        <r>
          <rPr>
            <sz val="10"/>
            <color rgb="FF000000"/>
            <rFont val="Calibri"/>
            <family val="2"/>
            <scheme val="minor"/>
          </rPr>
          <t>Based on projected cost plus a 200 million euro overrun on the U2 portion: https://www.derstandard.at/story/2000109597553/wiener-u-bahn-ausbau-duerfte-teurer-als-geplant-werden
	-Alon Levy</t>
        </r>
      </text>
    </comment>
    <comment ref="N120" authorId="0" shapeId="0" xr:uid="{0A0E9835-FECA-8F4C-9A6D-1483B5DF6E1F}">
      <text>
        <r>
          <rPr>
            <sz val="10"/>
            <color rgb="FF000000"/>
            <rFont val="Calibri"/>
            <family val="2"/>
            <scheme val="minor"/>
          </rPr>
          <t>https://themetrorailguy.com/delhi-metro-phase-4-information-map/ says 45 stations.
	-Alon Levy</t>
        </r>
      </text>
    </comment>
    <comment ref="Q120" authorId="0" shapeId="0" xr:uid="{753DF5EF-B78C-A740-836D-95A20FAF8B94}">
      <text>
        <r>
          <rPr>
            <sz val="10"/>
            <color rgb="FF000000"/>
            <rFont val="Calibri"/>
            <family val="2"/>
            <scheme val="minor"/>
          </rPr>
          <t>See also https://economictimes.indiatimes.com/news/politics-and-nation/operational-loss-in-delhi-metro-phase-iv-project-to-be-borne-by-delhi-govt-sc/articleshow/71008680.cms
	-Alon Levy</t>
        </r>
      </text>
    </comment>
    <comment ref="N121" authorId="0" shapeId="0" xr:uid="{AEB33C7D-72B3-1244-A751-1FD200CC480A}">
      <text>
        <r>
          <rPr>
            <sz val="10"/>
            <color rgb="FF000000"/>
            <rFont val="Calibri"/>
            <family val="2"/>
            <scheme val="minor"/>
          </rPr>
          <t>Source has much higher total length than others: https://themetrorailguy.com/delhi-metro-phase-4-information-map/
	-Alon Levy</t>
        </r>
      </text>
    </comment>
    <comment ref="Q121" authorId="0" shapeId="0" xr:uid="{A7B200EC-FA31-2C4C-98EA-BD0BC48C64A1}">
      <text>
        <r>
          <rPr>
            <sz val="10"/>
            <color rgb="FF000000"/>
            <rFont val="Calibri"/>
            <family val="2"/>
            <scheme val="minor"/>
          </rPr>
          <t>Obtained by subtraction from the first half ("priority corridors").
	-Alon Levy</t>
        </r>
      </text>
    </comment>
    <comment ref="N122" authorId="0" shapeId="0" xr:uid="{1487E52C-0E09-504E-8C35-C4FDFF01770E}">
      <text>
        <r>
          <rPr>
            <sz val="10"/>
            <color rgb="FF000000"/>
            <rFont val="Calibri"/>
            <family val="2"/>
            <scheme val="minor"/>
          </rPr>
          <t>Source says 10, but there are 11 stations listed on Wikipedia.
	-Alon Levy</t>
        </r>
      </text>
    </comment>
    <comment ref="Q123" authorId="0" shapeId="0" xr:uid="{8EDBD387-8881-1040-9C48-67C13CF9B30B}">
      <text>
        <r>
          <rPr>
            <sz val="10"/>
            <color rgb="FF000000"/>
            <rFont val="Calibri"/>
            <family val="2"/>
            <scheme val="minor"/>
          </rPr>
          <t>65 trillion initial plus 18 trillion cost overrun and another 7 in https://financialtribune.com/articles/people/98165/tehran-subway-expansion-to-require-over-470-million.
	-Alon Levy</t>
        </r>
      </text>
    </comment>
    <comment ref="Q124" authorId="0" shapeId="0" xr:uid="{59ACB1A6-2736-6840-81CD-2087A28FF33F}">
      <text>
        <r>
          <rPr>
            <sz val="10"/>
            <color rgb="FF000000"/>
            <rFont val="Calibri"/>
            <family val="2"/>
            <scheme val="minor"/>
          </rPr>
          <t>With 30 trillion rial overrun per https://financialtribune.com/articles/people/98165/tehran-subway-expansion-to-require-over-470-million.
	-Alon Levy</t>
        </r>
      </text>
    </comment>
    <comment ref="Q125" authorId="0" shapeId="0" xr:uid="{3CDD1177-9235-3945-8A49-08B6E80E217E}">
      <text>
        <r>
          <rPr>
            <sz val="10"/>
            <color rgb="FF000000"/>
            <rFont val="Calibri"/>
            <family val="2"/>
            <scheme val="minor"/>
          </rPr>
          <t>Including rolling stock.
	-Alon Levy</t>
        </r>
      </text>
    </comment>
    <comment ref="Q126" authorId="0" shapeId="0" xr:uid="{F147D739-A548-1648-AFED-B9B64ABDDFC0}">
      <text>
        <r>
          <rPr>
            <sz val="10"/>
            <color rgb="FF000000"/>
            <rFont val="Calibri"/>
            <family val="2"/>
            <scheme val="minor"/>
          </rPr>
          <t>Including rolling stock.
	-Alon Levy</t>
        </r>
      </text>
    </comment>
    <comment ref="Q127" authorId="0" shapeId="0" xr:uid="{512C63E9-55D0-3648-AC70-6CC334643EB8}">
      <text>
        <r>
          <rPr>
            <sz val="10"/>
            <color rgb="FF000000"/>
            <rFont val="Calibri"/>
            <family val="2"/>
            <scheme val="minor"/>
          </rPr>
          <t>Most sources state this is the infrastructure investment cost, e.g. https://www.railwaypro.com/wp/contract-awarded-for-lisbon-metro-expansion/, https://www.metrolisboa.pt/institucional/informar/investimentos-e-projetos-na-rede/, but https://www.railwaypro.com/wp/eu-funding-for-lisbon-metro-extension/ claims this includes equipment.
	-Alon Levy</t>
        </r>
      </text>
    </comment>
    <comment ref="Q132" authorId="0" shapeId="0" xr:uid="{52D99F9B-1C1F-B34B-88F7-1DDE3EBD4DEA}">
      <text>
        <r>
          <rPr>
            <sz val="10"/>
            <color rgb="FF000000"/>
            <rFont val="Calibri"/>
            <family val="2"/>
            <scheme val="minor"/>
          </rPr>
          <t>https://www.eluniverso.com/noticias/2019/01/30/nota/7164113/extension-metro-quito-demandara-hasta-400-millones says 2,009.
	-Alon Levy</t>
        </r>
      </text>
    </comment>
    <comment ref="I137" authorId="0" shapeId="0" xr:uid="{FE25414D-C4C4-5F44-95A9-51FD3618C6E1}">
      <text>
        <r>
          <rPr>
            <sz val="10"/>
            <color rgb="FF000000"/>
            <rFont val="Calibri"/>
            <family val="2"/>
            <scheme val="minor"/>
          </rPr>
          <t>3.4 km rail tunnel, 1.4 km road tunnel.
	-Alon Levy</t>
        </r>
      </text>
    </comment>
    <comment ref="Q137" authorId="0" shapeId="0" xr:uid="{AF072030-7256-5042-BE80-69F615BCB038}">
      <text>
        <r>
          <rPr>
            <sz val="10"/>
            <color rgb="FF000000"/>
            <rFont val="Calibri"/>
            <family val="2"/>
            <scheme val="minor"/>
          </rPr>
          <t>Source gives a range of 1,427.3-1,487.3.
	-Alon Levy</t>
        </r>
      </text>
    </comment>
    <comment ref="Q139" authorId="0" shapeId="0" xr:uid="{8C71FAB9-346B-C541-89B2-80ABC228DBEA}">
      <text>
        <r>
          <rPr>
            <sz val="10"/>
            <color rgb="FF000000"/>
            <rFont val="Calibri"/>
            <family val="2"/>
            <scheme val="minor"/>
          </rPr>
          <t>Many sources say $2.1 billion, which is ex ante, see e.g. mention of the cost overrun at https://observer.com/2013/12/whats-missing-from-the-no-7-line-extension/.
	-Alon Levy</t>
        </r>
      </text>
    </comment>
    <comment ref="I142" authorId="0" shapeId="0" xr:uid="{5750BB5A-9B2C-454B-AB54-3CED029727A0}">
      <text>
        <r>
          <rPr>
            <sz val="10"/>
            <color rgb="FF000000"/>
            <rFont val="Calibri"/>
            <family val="2"/>
            <scheme val="minor"/>
          </rPr>
          <t>This counts both the short tunnel under the railyard in Queens and the main tunnel in Manhattan.
	-Alon Levy</t>
        </r>
      </text>
    </comment>
    <comment ref="Q143" authorId="0" shapeId="0" xr:uid="{5F32BC29-87ED-B547-83BF-C2E1AC8CE9C7}">
      <text>
        <r>
          <rPr>
            <sz val="10"/>
            <color rgb="FF000000"/>
            <rFont val="Calibri"/>
            <family val="2"/>
            <scheme val="minor"/>
          </rPr>
          <t>This is without rehabilitation of the existing tunnel, $11.3 billion with. The most common cost cited is $11.1 billion without or $13 billion with, e.g. http://hudsontunnelproject.com/faq.html, but there has been an underrun.
	-Alon Levy</t>
        </r>
      </text>
    </comment>
    <comment ref="G146" authorId="0" shapeId="0" xr:uid="{C49EA10A-26A7-BC45-8254-8CC6931ED256}">
      <text>
        <r>
          <rPr>
            <sz val="10"/>
            <color rgb="FF000000"/>
            <rFont val="Calibri"/>
            <family val="2"/>
            <scheme val="minor"/>
          </rPr>
          <t>Tunnel to open in 2022, further surface improvement in 2024.
	-Alon Levy</t>
        </r>
      </text>
    </comment>
    <comment ref="Q146" authorId="0" shapeId="0" xr:uid="{9B3684C0-EB3E-3E41-B10B-0389CFA6DF26}">
      <text>
        <r>
          <rPr>
            <sz val="10"/>
            <color rgb="FF000000"/>
            <rFont val="Calibri"/>
            <family val="2"/>
            <scheme val="minor"/>
          </rPr>
          <t>Excluding surface improvements; with surface improvements, the cost irss to 3,800 million. See up-to-date info at https://www.hauts-de-seine.fr/mon-departement/les-hauts-de-seine/les-grands-projets/les-infrastructures-de-transport/metros-et-rer/eole-le-prolongement-du-rer-e and https://www.iledefrance-mobilites.fr/le-reseau/projets/rer-e-prolongement-saint-lazare-mantes-la-jolie.
	-Alon Levy</t>
        </r>
      </text>
    </comment>
    <comment ref="J151" authorId="0" shapeId="0" xr:uid="{1196427E-6881-B04F-B816-2E2E75B05938}">
      <text>
        <r>
          <rPr>
            <sz val="10"/>
            <color rgb="FF000000"/>
            <rFont val="Calibri"/>
            <family val="2"/>
            <scheme val="minor"/>
          </rPr>
          <t>Length is exact, but there is a short measured elevated segment.
	-Alon Levy</t>
        </r>
      </text>
    </comment>
    <comment ref="Q151" authorId="0" shapeId="0" xr:uid="{FB8FEBD6-03C4-1A46-9D18-543CF8908932}">
      <text>
        <r>
          <rPr>
            <sz val="10"/>
            <color rgb="FF000000"/>
            <rFont val="Calibri"/>
            <family val="2"/>
            <scheme val="minor"/>
          </rPr>
          <t>Not including 214 million for lengthening stations on the existing line. See also https://www.iledefrance-mobilites.fr/le-reseau/projets/metro-11-prolongement-mairie-des-lilas-rosny-bois-perrier
	-Alon Levy</t>
        </r>
      </text>
    </comment>
    <comment ref="I152" authorId="0" shapeId="0" xr:uid="{6E1A3FAF-4BB1-D343-99FF-1AC9F04DB7AE}">
      <text>
        <r>
          <rPr>
            <sz val="10"/>
            <color rgb="FF000000"/>
            <rFont val="Calibri"/>
            <family val="2"/>
            <scheme val="minor"/>
          </rPr>
          <t>Some sources say 23, of which 10 underground.
	-Alon Levy</t>
        </r>
      </text>
    </comment>
    <comment ref="N153" authorId="0" shapeId="0" xr:uid="{767F2653-F9E8-504B-8D70-AF066E5A87CF}">
      <text>
        <r>
          <rPr>
            <sz val="10"/>
            <color rgb="FF000000"/>
            <rFont val="Calibri"/>
            <family val="2"/>
            <scheme val="minor"/>
          </rPr>
          <t>Only 4 underground.
	-Alon Levy</t>
        </r>
      </text>
    </comment>
    <comment ref="I163" authorId="0" shapeId="0" xr:uid="{5296A060-A0C1-9B4B-9670-89D4C951194D}">
      <text>
        <r>
          <rPr>
            <sz val="10"/>
            <color rgb="FF000000"/>
            <rFont val="Calibri"/>
            <family val="2"/>
            <scheme val="minor"/>
          </rPr>
          <t>See e.g. https://www.pedelta.com/first-elevated-station-on-barcelona-l10-metro-line-is-now-operational-n-20-en.
	-Alon Levy</t>
        </r>
      </text>
    </comment>
    <comment ref="K163" authorId="0" shapeId="0" xr:uid="{24588966-9A49-3145-A74E-43FE95DBD999}">
      <text>
        <r>
          <rPr>
            <sz val="10"/>
            <color rgb="FF000000"/>
            <rFont val="Calibri"/>
            <family val="2"/>
            <scheme val="minor"/>
          </rPr>
          <t>See http://www.aftes.asso.fr/doc_gd_public/article_fichier/T216-315a322Barcelone.pdf
	-Alon Levy</t>
        </r>
      </text>
    </comment>
    <comment ref="Q163" authorId="0" shapeId="0" xr:uid="{FBDC6F5A-CF9F-874E-B303-64EB5B4D2B1E}">
      <text>
        <r>
          <rPr>
            <sz val="10"/>
            <color rgb="FF000000"/>
            <rFont val="Calibri"/>
            <family val="2"/>
            <scheme val="minor"/>
          </rPr>
          <t>There are a lot of different figures around. About 5.9-6 billion comes from the EIB and was confirmed by a civil-servant-turned-politician; http://www.scomptes.cat/reportssearcher/download/NR_2017_18_en.pdf?reportId=8601 says 7.5 billion but this includes financial charges, and sources that say 16 billion include future operating costs.
	-Alon Levy</t>
        </r>
      </text>
    </comment>
    <comment ref="Q168" authorId="0" shapeId="0" xr:uid="{1E87F048-1C01-4446-A763-B8A85A557108}">
      <text>
        <r>
          <rPr>
            <sz val="10"/>
            <color rgb="FF000000"/>
            <rFont val="Calibri"/>
            <family val="2"/>
            <scheme val="minor"/>
          </rPr>
          <t>See also https://www.thedailystar.net/bangladesh/news/physical-work-countrys-first-underground-metro-rail-likely-begin-march-2022-2112709.</t>
        </r>
      </text>
    </comment>
    <comment ref="I169" authorId="0" shapeId="0" xr:uid="{B6EF2CFE-00E4-684B-8538-F500355A7E87}">
      <text>
        <r>
          <rPr>
            <sz val="10"/>
            <color rgb="FF000000"/>
            <rFont val="Calibri"/>
            <family val="2"/>
            <scheme val="minor"/>
          </rPr>
          <t>This source says 20 km: https://www.thedailystar.net/frontpage/news/dhaka-metro-rail-two-more-lines-cost-tk-93800cr-1813843
	-Alon Levy</t>
        </r>
      </text>
    </comment>
    <comment ref="K170" authorId="0" shapeId="0" xr:uid="{D6A481FE-7990-C54B-BA25-7DDFF069197D}">
      <text>
        <r>
          <rPr>
            <sz val="10"/>
            <color rgb="FF000000"/>
            <rFont val="Calibri"/>
            <family val="2"/>
            <scheme val="minor"/>
          </rPr>
          <t>This source says 6.9 km: https://theinsiderstories.com/insight-projections-of-the-economic-benefits-of-the-jakarta-mrt-for-indonesia/
	-Alon Levy</t>
        </r>
      </text>
    </comment>
    <comment ref="Q170" authorId="0" shapeId="0" xr:uid="{4D2264BF-F816-354C-B14C-E4B6592DA385}">
      <text>
        <r>
          <rPr>
            <sz val="10"/>
            <color rgb="FF000000"/>
            <rFont val="Calibri"/>
            <family val="2"/>
            <scheme val="minor"/>
          </rPr>
          <t>Sources disagree on exact cost, often due to currency conversion, e.g. https://www.bloomberg.com/news/articles/2019-02-26/the-43-billion-race-to-fix-jakarta-s-choking-traffic-starts-now says $1.2b, which is in exchange rate terms 17 trillion IDR.
	-Alon Levy</t>
        </r>
      </text>
    </comment>
    <comment ref="Q173" authorId="0" shapeId="0" xr:uid="{07F8BEE3-3164-F84D-B061-DA43E453E9A0}">
      <text>
        <r>
          <rPr>
            <sz val="10"/>
            <color rgb="FF000000"/>
            <rFont val="Calibri"/>
            <family val="2"/>
            <scheme val="minor"/>
          </rPr>
          <t>This is ex ante, but media articles through early 2020 do not mention cost overruns, and one mentions an average cost per km in line with the original budget: https://www.brefeco.com/actualite/amenagement-infrastructures/les-pistes-du-sytral-pour-les-transports-en-commun-du-futur
	-Alon Levy</t>
        </r>
      </text>
    </comment>
    <comment ref="Q174" authorId="0" shapeId="0" xr:uid="{2F87C176-12D1-D347-A9C9-C434893DBD38}">
      <text>
        <r>
          <rPr>
            <sz val="10"/>
            <color rgb="FF000000"/>
            <rFont val="Calibri"/>
            <family val="2"/>
            <scheme val="minor"/>
          </rPr>
          <t>The project has a cost figure in dollars (paid by China) and an additional cost in rupees (paid domestically). The dollar cost is about $1.5b, agreed when the official rate was 1:100, hence the claim of 150b PKR in https://www.dawn.com/news/1436724. The rupee cost is now 33b.
	-Alon Levy</t>
        </r>
      </text>
    </comment>
    <comment ref="Q175" authorId="0" shapeId="0" xr:uid="{B9818ABF-E87A-DE4D-BE31-DBEBD8E3A5E9}">
      <text>
        <r>
          <rPr>
            <sz val="10"/>
            <color rgb="FF000000"/>
            <rFont val="Calibri"/>
            <family val="2"/>
            <scheme val="minor"/>
          </rPr>
          <t>24,549 total minus 2,645 for rolling stock.
	-Alon Levy</t>
        </r>
      </text>
    </comment>
    <comment ref="Q177" authorId="0" shapeId="0" xr:uid="{1BCD1159-91AA-1448-8492-4D497EE5D6FE}">
      <text>
        <r>
          <rPr>
            <sz val="10"/>
            <color rgb="FF000000"/>
            <rFont val="Calibri"/>
            <family val="2"/>
            <scheme val="minor"/>
          </rPr>
          <t>82,387 total minus 10,700 for rolling stock per https://www.railwaygazette.com/bangkok-to-complete-blue-line-loop/35788.article. This source also gives ex ante costs for civils, which are fairly close to ex post costs in listed reference, and show very similar costs for the 5.4 underground km and 21.5 elevated ones.
	-Alon Levy</t>
        </r>
      </text>
    </comment>
    <comment ref="Q178" authorId="0" shapeId="0" xr:uid="{942155D8-B87D-F049-8918-0A2AD2048263}">
      <text>
        <r>
          <rPr>
            <sz val="10"/>
            <color rgb="FF000000"/>
            <rFont val="Calibri"/>
            <family val="2"/>
            <scheme val="minor"/>
          </rPr>
          <t>24,600 for civils + imputed 1,000/1,900 for management.
	-Alon Levy</t>
        </r>
      </text>
    </comment>
    <comment ref="Q183" authorId="0" shapeId="0" xr:uid="{F7556399-677F-B443-A3E1-8A10DA83BC52}">
      <text>
        <r>
          <rPr>
            <sz val="10"/>
            <color rgb="FF000000"/>
            <rFont val="Calibri"/>
            <family val="2"/>
            <scheme val="minor"/>
          </rPr>
          <t>47 trillion per https://e.vnexpress.net/news/news/saigon-metro-lines-cost-escalation-cleared-construction-not-to-stop-4002027.html and https://www.itourvn.com/blog/an-overview-of-ho-chi-minh-city-metro-plan
	-Alon Levy</t>
        </r>
      </text>
    </comment>
    <comment ref="Q185" authorId="0" shapeId="0" xr:uid="{2CCA3793-7FB5-B64B-9832-13694A86A113}">
      <text>
        <r>
          <rPr>
            <sz val="10"/>
            <color rgb="FF000000"/>
            <rFont val="Calibri"/>
            <family val="2"/>
            <scheme val="minor"/>
          </rPr>
          <t>See also https://www.vir.com.vn/pre-feasibility-report-of-17-billion-metro-line-5-in-ho-chi-minh-city-awaits-approval-76334.html, which mentions a very close cost in exchange-rate US dollars.
	-Alon Levy</t>
        </r>
      </text>
    </comment>
    <comment ref="N187" authorId="0" shapeId="0" xr:uid="{CD67CF45-3132-5C49-8B9F-0257804EFD1E}">
      <text>
        <r>
          <rPr>
            <sz val="10"/>
            <color rgb="FF000000"/>
            <rFont val="Calibri"/>
            <family val="2"/>
            <scheme val="minor"/>
          </rPr>
          <t>The line has 14 stations but the cost excludes them.
	-Alon Levy</t>
        </r>
      </text>
    </comment>
    <comment ref="Q190" authorId="0" shapeId="0" xr:uid="{48A9C5C0-2ADB-694D-AEFC-B9DA343D0F16}">
      <text>
        <r>
          <rPr>
            <sz val="10"/>
            <color rgb="FF000000"/>
            <rFont val="Calibri"/>
            <family val="2"/>
            <scheme val="minor"/>
          </rPr>
          <t>See also https://www.jttri.or.jp/seminar200212-35.pdf
	-Alon Levy</t>
        </r>
      </text>
    </comment>
    <comment ref="Q195" authorId="0" shapeId="0" xr:uid="{FFEAF8B3-8E64-0B42-AB4A-34C434995B8F}">
      <text>
        <r>
          <rPr>
            <sz val="10"/>
            <color rgb="FF000000"/>
            <rFont val="Calibri"/>
            <family val="2"/>
            <scheme val="minor"/>
          </rPr>
          <t>See also paywall-free official source at https://www.jreast.co.jp/e/investor/ar/2010/pdf/ar_2010_08.pdf, PDF-p. 3.
	-Alon Levy</t>
        </r>
      </text>
    </comment>
    <comment ref="J197" authorId="0" shapeId="0" xr:uid="{3F4FEAB6-FB89-A44B-8E04-2C178FE09A48}">
      <text>
        <r>
          <rPr>
            <sz val="10"/>
            <color rgb="FF000000"/>
            <rFont val="Calibri"/>
            <family val="2"/>
            <scheme val="minor"/>
          </rPr>
          <t>Figure is approximate - there's a bit of elevated running at both ends, though both new stations (Shin-Yokohama, Shin-Tsunashima) are underground.
	-Alon Levy</t>
        </r>
      </text>
    </comment>
    <comment ref="Q197" authorId="0" shapeId="0" xr:uid="{790A3C82-4454-484D-A86F-97259FBB11A6}">
      <text>
        <r>
          <rPr>
            <sz val="10"/>
            <color rgb="FF000000"/>
            <rFont val="Calibri"/>
            <family val="2"/>
            <scheme val="minor"/>
          </rPr>
          <t>Source says 402.2 billion across this project and the JR line, the figure 290.8 billion is by subtraction.
	-Alon Levy</t>
        </r>
      </text>
    </comment>
    <comment ref="S199" authorId="0" shapeId="0" xr:uid="{BD9A215B-C798-3149-AD5A-26BAB8F16D9E}">
      <text>
        <r>
          <rPr>
            <sz val="10"/>
            <color rgb="FF000000"/>
            <rFont val="Calibri"/>
            <family val="2"/>
            <scheme val="minor"/>
          </rPr>
          <t>Shifted later than the midpoint since only 15% of the project is complete as of 2019.
	-Alon Levy</t>
        </r>
      </text>
    </comment>
    <comment ref="Q200" authorId="0" shapeId="0" xr:uid="{88301A31-9385-EC41-B66F-5CBB9DB1F879}">
      <text>
        <r>
          <rPr>
            <sz val="10"/>
            <color rgb="FF000000"/>
            <rFont val="Calibri"/>
            <family val="2"/>
            <scheme val="minor"/>
          </rPr>
          <t>Budget was 250 million but there was an underrun.
	-Alon Levy</t>
        </r>
      </text>
    </comment>
    <comment ref="I203" authorId="0" shapeId="0" xr:uid="{BD967A63-992E-7748-9F15-AE6EAB2EDB41}">
      <text>
        <r>
          <rPr>
            <sz val="10"/>
            <color rgb="FF000000"/>
            <rFont val="Calibri"/>
            <family val="2"/>
            <scheme val="minor"/>
          </rPr>
          <t>https://www.metrorailnews.in/phase-2-of-namma-metro-work-is-expected-to-be-delayed-due-to-lack-of-workers/ says 72 km.
	-Alon Levy</t>
        </r>
      </text>
    </comment>
    <comment ref="Q203" authorId="0" shapeId="0" xr:uid="{BE66F0FB-FC20-3D40-8E65-3D4DF4C43EA6}">
      <text>
        <r>
          <rPr>
            <sz val="10"/>
            <color rgb="FF000000"/>
            <rFont val="Calibri"/>
            <family val="2"/>
            <scheme val="minor"/>
          </rPr>
          <t>See also https://www.newindianexpress.com/cities/bengaluru/2020/aug/15/hope-to-complete-metro-phase-2-project-in-bengaluru-by-2024-yediyurappa-2183809.html; https://www.metrorailnews.in/trial-run-for-the-first-stretch-of-namma-metro-phase-2-to-be-held-by-august-end/ says 300,950 but is likely a typo. But note that while all these sources are from August 2020, there have been some delays causd by corona, but the costs are the same as in 2018, even a bit lower than https://www.newindianexpress.com/cities/bengaluru/2018/oct/27/namma-metro-phase-2-will-now-cost-rs-32000-crore-deputy-chief-minister-g-parameshwara-1890689.html, so there may be unannounced overruns.
	-Alon Levy</t>
        </r>
      </text>
    </comment>
    <comment ref="I205" authorId="0" shapeId="0" xr:uid="{E607DC48-C522-8A4A-9E52-E97A6DC3E395}">
      <text>
        <r>
          <rPr>
            <sz val="10"/>
            <color rgb="FF000000"/>
            <rFont val="Calibri"/>
            <family val="2"/>
            <scheme val="minor"/>
          </rPr>
          <t>Source says 5.1 km.
	-Alon Levy</t>
        </r>
      </text>
    </comment>
    <comment ref="I206" authorId="0" shapeId="0" xr:uid="{B3D2D407-5CA8-4840-8C60-0E0FC6DB1B46}">
      <text>
        <r>
          <rPr>
            <sz val="10"/>
            <color rgb="FF000000"/>
            <rFont val="Calibri"/>
            <family val="2"/>
            <scheme val="minor"/>
          </rPr>
          <t>Source says 6.6 km but also says the the phase 1 length is 5.1 km and not 5.5.
	-Alon Levy</t>
        </r>
      </text>
    </comment>
    <comment ref="Q207" authorId="0" shapeId="0" xr:uid="{772E2ED7-25C6-F64E-97E5-5E88D4D19187}">
      <text>
        <r>
          <rPr>
            <sz val="10"/>
            <color rgb="FF000000"/>
            <rFont val="Calibri"/>
            <family val="2"/>
            <scheme val="minor"/>
          </rPr>
          <t>Several sources mention good cost control and even slight underruns, including https://nagpuroranges.com/nagpur-metro-stations-will-look-like/ stating the cost as 82,600 million INR and https://timesofindia.indiatimes.com/city/nagpur/metro-has-saved-rs-600-crore-of-original-project-cost/articleshow/62891229.cms stating a 6 billion underrun.
	-Alon Levy</t>
        </r>
      </text>
    </comment>
    <comment ref="S207" authorId="0" shapeId="0" xr:uid="{B9231EED-6A2A-D44E-B9FE-FD719FBD2E06}">
      <text>
        <r>
          <rPr>
            <sz val="10"/>
            <color rgb="FF000000"/>
            <rFont val="Calibri"/>
            <family val="2"/>
            <scheme val="minor"/>
          </rPr>
          <t>Source for year: https://timesofindia.indiatimes.com/city/nagpur/mahametro-saves-rs1850cr-in-nagpur-metro-phase-ii/articleshow/67371648.cms
	-Alon Levy</t>
        </r>
      </text>
    </comment>
    <comment ref="I208" authorId="0" shapeId="0" xr:uid="{9FA0E1B5-04AD-964E-9386-D64111757086}">
      <text>
        <r>
          <rPr>
            <sz val="10"/>
            <color rgb="FF000000"/>
            <rFont val="Calibri"/>
            <family val="2"/>
            <scheme val="minor"/>
          </rPr>
          <t>See http://www.metrorailnagpur.com/projectprofile.aspx - but the media source says 48.3.
	-Alon Levy</t>
        </r>
      </text>
    </comment>
    <comment ref="Q210" authorId="0" shapeId="0" xr:uid="{6E2B8800-7D80-DB44-B66B-0B88FEB9688C}">
      <text>
        <r>
          <rPr>
            <sz val="10"/>
            <color rgb="FF000000"/>
            <rFont val="Calibri"/>
            <family val="2"/>
            <scheme val="minor"/>
          </rPr>
          <t>https://www.livemint.com/industry/infrastructure/hyderabad-metro-rail-becomes-second-largest-metro-network-in-india-see-photos-11581095057705.html says 200 billion, https://www.financialexpress.com/infrastructure/hyderabad-metro-with-phase-i-complete-the-city-now-boasts-indias-second-biggest-metro-network/1876838/ says 165.11 billion has been spent as of February 2020.
	-Alon Levy</t>
        </r>
      </text>
    </comment>
    <comment ref="K212" authorId="0" shapeId="0" xr:uid="{7E9E9B48-5A80-7A4A-8C00-4FFEF76FC6AA}">
      <text>
        <r>
          <rPr>
            <sz val="10"/>
            <color rgb="FF000000"/>
            <rFont val="Calibri"/>
            <family val="2"/>
            <scheme val="minor"/>
          </rPr>
          <t>See http://indiainframonitor.com/projects/report/53157a8997725281c497dda7
	-Alon Levy</t>
        </r>
      </text>
    </comment>
    <comment ref="Q212" authorId="0" shapeId="0" xr:uid="{A3F25C73-D0A7-F747-940E-81363A217537}">
      <text>
        <r>
          <rPr>
            <sz val="10"/>
            <color rgb="FF000000"/>
            <rFont val="Calibri"/>
            <family val="2"/>
            <scheme val="minor"/>
          </rPr>
          <t>JICA says 241,020 million INR: https://www.jica.go.jp/india/english/office/others/c8h0vm00004cesxi-att/brochure_16.pdf; India Infrastructure Report says 183,700: http://indiainframonitor.com/projects/report/53157a8997725281c497dda7
	-Alon Levy</t>
        </r>
      </text>
    </comment>
    <comment ref="K216" authorId="0" shapeId="0" xr:uid="{4F811AED-44C6-2A4E-87C0-A94D654C91E9}">
      <text>
        <r>
          <rPr>
            <sz val="10"/>
            <color rgb="FF000000"/>
            <rFont val="Calibri"/>
            <family val="2"/>
            <scheme val="minor"/>
          </rPr>
          <t>2.4 by cut-and-cover http://metrobud.kiev.ua/main/eng/projects/works-in-progress/
	-Alon Levy</t>
        </r>
      </text>
    </comment>
    <comment ref="Q216" authorId="0" shapeId="0" xr:uid="{61C93476-1158-E54F-AD58-C2F2179184A5}">
      <text>
        <r>
          <rPr>
            <sz val="10"/>
            <color rgb="FF000000"/>
            <rFont val="Calibri"/>
            <family val="2"/>
            <scheme val="minor"/>
          </rPr>
          <t>Caution: all available cost information predates a one-year delay.
	-Alon Levy</t>
        </r>
      </text>
    </comment>
    <comment ref="Q219" authorId="0" shapeId="0" xr:uid="{7BCB0B8A-2F4F-FA48-8B48-861A49259998}">
      <text>
        <r>
          <rPr>
            <sz val="10"/>
            <color rgb="FF000000"/>
            <rFont val="Calibri"/>
            <family val="2"/>
            <scheme val="minor"/>
          </rPr>
          <t>See also https://open33.ntpc.gov.tw/loading_sanying.
	-Alon Levy</t>
        </r>
      </text>
    </comment>
    <comment ref="S220" authorId="0" shapeId="0" xr:uid="{F6D31890-B297-FA40-AB02-2FEAF8C8FF1B}">
      <text>
        <r>
          <rPr>
            <sz val="10"/>
            <color rgb="FF000000"/>
            <rFont val="Calibri"/>
            <family val="2"/>
            <scheme val="minor"/>
          </rPr>
          <t>Year is skewed becaus most of the cost was the first phase, which opened 2018: https://www.railwaygazette.com/news/urban/single-view/view/tamsui-light-rail-approved.html
	-Alon Levy</t>
        </r>
      </text>
    </comment>
    <comment ref="P221" authorId="0" shapeId="0" xr:uid="{4ACF8F25-DCA3-6A41-B5C8-26F5B6EBF560}">
      <text>
        <r>
          <rPr>
            <sz val="10"/>
            <color rgb="FF000000"/>
            <rFont val="Calibri"/>
            <family val="2"/>
            <scheme val="minor"/>
          </rPr>
          <t>Underground length is measured, the rest comes from the popular and trade media.
	-Alon Levy</t>
        </r>
      </text>
    </comment>
    <comment ref="Q221" authorId="0" shapeId="0" xr:uid="{2A35A2DA-9720-1740-BDDE-0BAD3A6C12DB}">
      <text>
        <r>
          <rPr>
            <sz val="10"/>
            <color rgb="FF000000"/>
            <rFont val="Calibri"/>
            <family val="2"/>
            <scheme val="minor"/>
          </rPr>
          <t>See also http://www.taipeitimes.com/News/taiwan/archives/2019/10/27/2003724736
	-Alon Levy</t>
        </r>
      </text>
    </comment>
    <comment ref="K223" authorId="0" shapeId="0" xr:uid="{A9797E15-C69B-3B45-BE87-2D404673EBC8}">
      <text>
        <r>
          <rPr>
            <sz val="10"/>
            <color rgb="FF000000"/>
            <rFont val="Calibri"/>
            <family val="2"/>
            <scheme val="minor"/>
          </rPr>
          <t>By subtraction from https://topics.amcham.com.tw/2019/03/bringing-mrt-networks-to-taoyuan-and-taichung/
	-Alon Levy</t>
        </r>
      </text>
    </comment>
    <comment ref="Q223" authorId="0" shapeId="0" xr:uid="{42307758-D98C-0F4F-AFC3-58962360E6E6}">
      <text>
        <r>
          <rPr>
            <sz val="10"/>
            <color rgb="FF000000"/>
            <rFont val="Calibri"/>
            <family val="2"/>
            <scheme val="minor"/>
          </rPr>
          <t>See also https://focustaiwan.tw/society/201910110007
	-Alon Levy</t>
        </r>
      </text>
    </comment>
    <comment ref="Q224" authorId="0" shapeId="0" xr:uid="{E902BB00-91CA-9A45-83A9-81241C4A7BD0}">
      <text>
        <r>
          <rPr>
            <sz val="10"/>
            <color rgb="FF000000"/>
            <rFont val="Calibri"/>
            <family val="2"/>
            <scheme val="minor"/>
          </rPr>
          <t>See also https://topics.amcham.com.tw/2019/03/bringing-mrt-networks-to-taoyuan-and-taichung/
	-Alon Levy</t>
        </r>
      </text>
    </comment>
    <comment ref="Q225" authorId="0" shapeId="0" xr:uid="{4F0604C2-0A62-4042-86E4-173E6F53532A}">
      <text>
        <r>
          <rPr>
            <sz val="10"/>
            <color rgb="FF000000"/>
            <rFont val="Calibri"/>
            <family val="2"/>
            <scheme val="minor"/>
          </rPr>
          <t>Plan says 96,409: https://dorts.tycg.gov.tw/en/business/taoyuan-railway But source mentions a cost overrun.
	-Alon Levy</t>
        </r>
      </text>
    </comment>
    <comment ref="H228" authorId="0" shapeId="0" xr:uid="{0FED7B90-59AE-F549-85CB-D0047B13E809}">
      <text>
        <r>
          <rPr>
            <sz val="10"/>
            <color rgb="FF000000"/>
            <rFont val="Calibri"/>
            <family val="2"/>
            <scheme val="minor"/>
          </rPr>
          <t>This is regional rail, but the construction is simplified by use of cut-and-cover. https://www.sucoot.com/product-Tainan-Urban-District-Railway-Underground-Project-C0009-20.html
	-Alon Levy</t>
        </r>
      </text>
    </comment>
    <comment ref="G229" authorId="0" shapeId="0" xr:uid="{F27AB1AD-6E75-C745-897E-D8C3AC8AA22E}">
      <text>
        <r>
          <rPr>
            <sz val="10"/>
            <color rgb="FF000000"/>
            <rFont val="Calibri"/>
            <family val="2"/>
            <scheme val="minor"/>
          </rPr>
          <t>Date confirmed in e.g. https://travel.taichung.gov.tw/en-us/Event/NewsDetail/5875/Taiwan-s-Most-Spacious-MRT-Train-for-the-Expected-Operating-Schedule-of-Taichung-MRT.
	-Alon Levy</t>
        </r>
      </text>
    </comment>
    <comment ref="Q230" authorId="0" shapeId="0" xr:uid="{A16B0AF3-1E7A-C04F-AB9D-FB33C086918D}">
      <text>
        <r>
          <rPr>
            <sz val="10"/>
            <color rgb="FF000000"/>
            <rFont val="Calibri"/>
            <family val="2"/>
            <scheme val="minor"/>
          </rPr>
          <t>Recent media articles confirm cost and 2021 opening dates: https://infrastructuremagazine.com.au/2020/04/22/metronets-forrestfield-airport-link-reaches-milestone/, https://www.perthnow.com.au/community-news/southern-gazette/forrestfield-airport-link-project-on-track-to-open-in-2021-c-1086512
	-Alon Levy</t>
        </r>
      </text>
    </comment>
    <comment ref="I235" authorId="0" shapeId="0" xr:uid="{B4CCA43A-AE98-2B41-8EF0-0107FA2B82C6}">
      <text>
        <r>
          <rPr>
            <sz val="10"/>
            <color rgb="FF000000"/>
            <rFont val="Calibri"/>
            <family val="2"/>
            <scheme val="minor"/>
          </rPr>
          <t>Source says 4.2 km but this includes tail tracks.
	-Alon Levy</t>
        </r>
      </text>
    </comment>
    <comment ref="Q235" authorId="0" shapeId="0" xr:uid="{618BFDBD-7DD1-AF43-9D9F-A0EDBA8067B9}">
      <text>
        <r>
          <rPr>
            <sz val="10"/>
            <color rgb="FF000000"/>
            <rFont val="Calibri"/>
            <family val="2"/>
            <scheme val="minor"/>
          </rPr>
          <t>Converted (and, uniquely for this table, inflation-adjusted) from 600 million DM.
	-Alon Levy</t>
        </r>
      </text>
    </comment>
    <comment ref="Q236" authorId="0" shapeId="0" xr:uid="{4183A57B-679B-5843-A1D5-74FB756E99CA}">
      <text>
        <r>
          <rPr>
            <sz val="10"/>
            <color rgb="FF000000"/>
            <rFont val="Calibri"/>
            <family val="2"/>
            <scheme val="minor"/>
          </rPr>
          <t>Converted from 105 million DM.
	-Alon Levy</t>
        </r>
      </text>
    </comment>
    <comment ref="K237" authorId="0" shapeId="0" xr:uid="{77CA57C3-3847-CF47-9E08-FF9A6295B7C0}">
      <text>
        <r>
          <rPr>
            <sz val="10"/>
            <color rgb="FF000000"/>
            <rFont val="Calibri"/>
            <family val="2"/>
            <scheme val="minor"/>
          </rPr>
          <t>Source says 850 m but excludes a shorter tunnel under a park, and the exact portals are easily visible on Google Earth.
	-Alon Levy</t>
        </r>
      </text>
    </comment>
    <comment ref="I238" authorId="0" shapeId="0" xr:uid="{EDAE10E5-F3F2-9245-B0BE-8736F5796AC6}">
      <text>
        <r>
          <rPr>
            <sz val="10"/>
            <color rgb="FF000000"/>
            <rFont val="Calibri"/>
            <family val="2"/>
            <scheme val="minor"/>
          </rPr>
          <t>The line is to be 27 km but the construction project is 35 km including a segment to be turned over to Line 4 in the future: https://www.railwaygazette.com/lima-metro-line-2-concession-awarded/39351.article
	-Alon Levy</t>
        </r>
      </text>
    </comment>
    <comment ref="Q238" authorId="0" shapeId="0" xr:uid="{F6140F3B-AE18-E245-960D-83A89A75E757}">
      <text>
        <r>
          <rPr>
            <sz val="10"/>
            <color rgb="FF000000"/>
            <rFont val="Calibri"/>
            <family val="2"/>
            <scheme val="minor"/>
          </rPr>
          <t>Including rolling stock, consisting of 42 120 meter long vehicles, which typically cost around $500 million.
	-Alon Levy</t>
        </r>
      </text>
    </comment>
    <comment ref="Q239" authorId="0" shapeId="0" xr:uid="{86726C0E-AD4F-F94D-B1F9-996310B020E0}">
      <text>
        <r>
          <rPr>
            <sz val="10"/>
            <color rgb="FF000000"/>
            <rFont val="Calibri"/>
            <family val="2"/>
            <scheme val="minor"/>
          </rPr>
          <t>See also https://www.nst.com.my/news/2016/12/197743/mrt-corp-says-rafizi-got-it-wrong-rm21bil-both-phase-1-and-2-sbk-line and https://www.malaymail.com/news/malaysia/2017/07/24/najib-mrt-a-success-story-built-at-reasonable-cost/1427789
	-Alon Levy</t>
        </r>
      </text>
    </comment>
    <comment ref="Q572" authorId="0" shapeId="0" xr:uid="{D5BB8DCF-5FED-3D40-ABBB-E353D511C473}">
      <text>
        <r>
          <rPr>
            <sz val="10"/>
            <color rgb="FF000000"/>
            <rFont val="Calibri"/>
            <family val="2"/>
            <scheme val="minor"/>
          </rPr>
          <t>170.1 million per the most up-to-date sources, e.g. https://www.railwaypro.com/wp/tashkent-metro-extension-is-underway/. Some older sources omit some of the budget and say 82.6 million, e.g. https://kun.uz/en/news/2019/02/15/sergeli-overground-metro-will-cost-uzbekistan-80-million, mentioning also 27.9 million for rolling stock; the figure given here is 170.1-27.9.
	-Alon Levy</t>
        </r>
      </text>
    </comment>
    <comment ref="T572" authorId="0" shapeId="0" xr:uid="{AFBFEA86-F9BA-1F43-BAE0-B7BAFA22F654}">
      <text>
        <r>
          <rPr>
            <sz val="10"/>
            <color rgb="FF000000"/>
            <rFont val="Calibri"/>
            <family val="2"/>
            <scheme val="minor"/>
          </rPr>
          <t>Approximate figure; Uzbekistan has both high inflation and rapid currency depreciation.
	-Alon Levy</t>
        </r>
      </text>
    </comment>
    <comment ref="Q573" authorId="0" shapeId="0" xr:uid="{34C2C7B0-AEE2-1E4F-A51D-26FAB927D6AC}">
      <text>
        <r>
          <rPr>
            <sz val="10"/>
            <color rgb="FF000000"/>
            <rFont val="Calibri"/>
            <family val="2"/>
            <scheme val="minor"/>
          </rPr>
          <t>See also https://www.railtech.com/infrastructure/2019/05/31/tashkent-metro-will-be-extended-with-two-elevated-lines/, expressing the same figure in exchange rate euros. This may include rolling stock, since the Sergeli Line figure does.
	-Alon Levy</t>
        </r>
      </text>
    </comment>
    <comment ref="N575" authorId="0" shapeId="0" xr:uid="{47600281-89FF-4A41-8F7A-98B2F6974031}">
      <text>
        <r>
          <rPr>
            <sz val="10"/>
            <color rgb="FF000000"/>
            <rFont val="Calibri"/>
            <family val="2"/>
            <scheme val="minor"/>
          </rPr>
          <t>Including Gávea, which is on a branch.</t>
        </r>
      </text>
    </comment>
    <comment ref="AE575" authorId="0" shapeId="0" xr:uid="{5D91E692-06A5-5E43-8FEF-B52781EA5827}">
      <text>
        <r>
          <rPr>
            <sz val="10"/>
            <color rgb="FF000000"/>
            <rFont val="Calibri"/>
            <family val="2"/>
            <scheme val="minor"/>
          </rPr>
          <t>P. 14.</t>
        </r>
      </text>
    </comment>
    <comment ref="N578" authorId="0" shapeId="0" xr:uid="{03C8B325-00C3-E54F-9630-51C62A81E3F8}">
      <text>
        <r>
          <rPr>
            <sz val="10"/>
            <color rgb="FF000000"/>
            <rFont val="Calibri"/>
            <family val="2"/>
            <scheme val="minor"/>
          </rPr>
          <t>Only 4 underground and 2 elevated.</t>
        </r>
      </text>
    </comment>
    <comment ref="G579" authorId="0" shapeId="0" xr:uid="{C207727F-BB1C-C547-88BB-9936F17D8A2A}">
      <text>
        <r>
          <rPr>
            <sz val="10"/>
            <color rgb="FF000000"/>
            <rFont val="Calibri"/>
            <family val="2"/>
            <scheme val="minor"/>
          </rPr>
          <t>A small section was delayed to 2006.</t>
        </r>
      </text>
    </comment>
    <comment ref="Q579" authorId="0" shapeId="0" xr:uid="{49ECED2F-EF31-454E-AA7B-D8043CDD6ECB}">
      <text>
        <r>
          <rPr>
            <sz val="10"/>
            <color rgb="FF000000"/>
            <rFont val="Calibri"/>
            <family val="2"/>
            <scheme val="minor"/>
          </rPr>
          <t>PDF-p. 55 of reference.</t>
        </r>
      </text>
    </comment>
    <comment ref="K581" authorId="0" shapeId="0" xr:uid="{C4A8B880-0CBF-C249-8827-F91FA1F441BD}">
      <text>
        <r>
          <rPr>
            <sz val="10"/>
            <color rgb="FF000000"/>
            <rFont val="Calibri"/>
            <family val="2"/>
            <scheme val="minor"/>
          </rPr>
          <t>https://www.canadianundergroundinfrastructure.com/article/22383/tunnelling-for-vancouvers-evergreen-line-complete</t>
        </r>
      </text>
    </comment>
    <comment ref="N582" authorId="0" shapeId="0" xr:uid="{0011066F-0879-3543-8B8A-371317493ADF}">
      <text>
        <r>
          <rPr>
            <sz val="10"/>
            <color rgb="FF000000"/>
            <rFont val="Calibri"/>
            <family val="2"/>
            <scheme val="minor"/>
          </rPr>
          <t>See https://www.hamburg.de/contentblob/12763212/9af1f73ecb661c983474ee2ef634deb6/data/20190711-u5-ost-faktenpapier.pdf.</t>
        </r>
      </text>
    </comment>
    <comment ref="I584" authorId="0" shapeId="0" xr:uid="{00CF006A-DF79-3544-9A30-D34AE774B2A5}">
      <text>
        <r>
          <rPr>
            <sz val="10"/>
            <color rgb="FF000000"/>
            <rFont val="Calibri"/>
            <family val="2"/>
            <scheme val="minor"/>
          </rPr>
          <t>1.3 km in service plus 500 m of overrun tracks at the other end.</t>
        </r>
      </text>
    </comment>
    <comment ref="N584" authorId="0" shapeId="0" xr:uid="{793ABF9F-2D63-7847-8FC1-07683CDA6275}">
      <text>
        <r>
          <rPr>
            <sz val="10"/>
            <color rgb="FF000000"/>
            <rFont val="Calibri"/>
            <family val="2"/>
            <scheme val="minor"/>
          </rPr>
          <t>There's also an at-grade infill station.</t>
        </r>
      </text>
    </comment>
    <comment ref="A586" authorId="0" shapeId="0" xr:uid="{224B6303-3989-D349-B4E9-7FB41401C956}">
      <text>
        <r>
          <rPr>
            <sz val="10"/>
            <color rgb="FF000000"/>
            <rFont val="Calibri"/>
            <family val="2"/>
            <scheme val="minor"/>
          </rPr>
          <t>Numbers changed from a duplicate on this and the subsequent 3 lines (note color in table).</t>
        </r>
      </text>
    </comment>
    <comment ref="K590" authorId="0" shapeId="0" xr:uid="{03962DBC-5E4F-C544-95D2-08862C91A1DB}">
      <text>
        <r>
          <rPr>
            <sz val="10"/>
            <color rgb="FF000000"/>
            <rFont val="Calibri"/>
            <family val="2"/>
            <scheme val="minor"/>
          </rPr>
          <t>2 km in Ap Lei Chau are on viaduct: http://personal.cityu.edu.hk/bswmwong/contents/resources/con_stud/South_Island_Line.pdf</t>
        </r>
      </text>
    </comment>
    <comment ref="G599" authorId="0" shapeId="0" xr:uid="{20F9354B-8044-4B4B-9256-AF1CE410EDCA}">
      <text>
        <r>
          <rPr>
            <sz val="10"/>
            <color rgb="FF000000"/>
            <rFont val="Calibri"/>
            <family val="2"/>
            <scheme val="minor"/>
          </rPr>
          <t>Most of the line, Phase 1A, opened in 2015.</t>
        </r>
      </text>
    </comment>
    <comment ref="N600" authorId="0" shapeId="0" xr:uid="{AFFD9313-D775-184D-BF87-52AF15C2E229}">
      <text>
        <r>
          <rPr>
            <sz val="10"/>
            <color rgb="FF000000"/>
            <rFont val="Calibri"/>
            <family val="2"/>
            <scheme val="minor"/>
          </rPr>
          <t>TMTG claims 23 and lists 22. https://themetrorailguy.com/lucknow-metro-information-map-updates/</t>
        </r>
      </text>
    </comment>
    <comment ref="Q601" authorId="0" shapeId="0" xr:uid="{0BDAC149-2FAB-3646-961E-2D9AA1368251}">
      <text>
        <r>
          <rPr>
            <sz val="10"/>
            <color rgb="FF000000"/>
            <rFont val="Calibri"/>
            <family val="2"/>
            <scheme val="minor"/>
          </rPr>
          <t>bresciamobilita.albofornitori.net/tender/documenti/2963/29812001d52fb08abe1458b8021df147f6f77079.pdf says 792.4 million in 2015 euros.</t>
        </r>
      </text>
    </comment>
    <comment ref="AE609" authorId="0" shapeId="0" xr:uid="{5864D8C2-2F65-B941-B838-88BBC9FFF97E}">
      <text>
        <r>
          <rPr>
            <sz val="10"/>
            <color rgb="FF000000"/>
            <rFont val="Calibri"/>
            <family val="2"/>
            <scheme val="minor"/>
          </rPr>
          <t>P. 23 of the PDF.</t>
        </r>
      </text>
    </comment>
    <comment ref="I613" authorId="0" shapeId="0" xr:uid="{89FE11B6-9442-F64B-BD6D-C3FBC954EF14}">
      <text>
        <r>
          <rPr>
            <sz val="10"/>
            <color rgb="FF000000"/>
            <rFont val="Calibri"/>
            <family val="2"/>
            <scheme val="minor"/>
          </rPr>
          <t>The cost source says 114.2 km, but at the time it was written the system only had 108.7 km; we believe the discrepancy is due to yard track.</t>
        </r>
      </text>
    </comment>
    <comment ref="Q614" authorId="0" shapeId="0" xr:uid="{CE5F4C65-5BF6-4046-B7B3-A809C3F27809}">
      <text>
        <r>
          <rPr>
            <sz val="10"/>
            <color rgb="FF000000"/>
            <rFont val="Calibri"/>
            <family val="2"/>
            <scheme val="minor"/>
          </rPr>
          <t>https://web.archive.org/web/20090601043609/http://www.edpo.dorts.gov.tw/cgi-bin/SM_theme?page=4945c9ad Says 66,700.</t>
        </r>
      </text>
    </comment>
    <comment ref="Q617" authorId="0" shapeId="0" xr:uid="{6F937FE7-00AB-6F44-984F-30BF21652DD0}">
      <text>
        <r>
          <rPr>
            <sz val="10"/>
            <color rgb="FF000000"/>
            <rFont val="Calibri"/>
            <family val="2"/>
            <scheme val="minor"/>
          </rPr>
          <t>With contingency, without finance charges.</t>
        </r>
      </text>
    </comment>
    <comment ref="Q623" authorId="0" shapeId="0" xr:uid="{5983391C-9A0F-3242-9B5D-60C85EA5D7C7}">
      <text>
        <r>
          <rPr>
            <sz val="10"/>
            <color rgb="FF000000"/>
            <rFont val="Calibri"/>
            <family val="2"/>
            <scheme val="minor"/>
          </rPr>
          <t>340 in 1996-2002, 194 in 2008-10.</t>
        </r>
      </text>
    </comment>
    <comment ref="I632" authorId="0" shapeId="0" xr:uid="{FDA5CEA1-B0A4-0042-A577-EE4C77AFA446}">
      <text>
        <r>
          <rPr>
            <sz val="10"/>
            <color rgb="FF000000"/>
            <rFont val="Calibri"/>
            <family val="2"/>
            <scheme val="minor"/>
          </rPr>
          <t>Imputed from 3 km double-track and 4.5 km single-track.</t>
        </r>
      </text>
    </comment>
    <comment ref="AE632" authorId="0" shapeId="0" xr:uid="{13E0B89F-63B0-3F49-A946-A4CA3613256F}">
      <text>
        <r>
          <rPr>
            <sz val="10"/>
            <color rgb="FF000000"/>
            <rFont val="Calibri"/>
            <family val="2"/>
            <scheme val="minor"/>
          </rPr>
          <t>See also https://www.railwaypro.com/wp/tbm-for-lodz-cross-city-tunnel-unveiled/.</t>
        </r>
      </text>
    </comment>
    <comment ref="AE633" authorId="0" shapeId="0" xr:uid="{4D36E43B-1811-4C46-8274-6ABC73D6C50F}">
      <text>
        <r>
          <rPr>
            <sz val="10"/>
            <color rgb="FF000000"/>
            <rFont val="Calibri"/>
            <family val="2"/>
            <scheme val="minor"/>
          </rPr>
          <t>P. 21</t>
        </r>
      </text>
    </comment>
    <comment ref="J634" authorId="0" shapeId="0" xr:uid="{34B98B46-8B6B-AD4E-85C8-EF410E1A952A}">
      <text>
        <r>
          <rPr>
            <sz val="10"/>
            <color rgb="FF000000"/>
            <rFont val="Calibri"/>
            <family val="2"/>
            <scheme val="minor"/>
          </rPr>
          <t>Approximate; imputed from station descriptions in https://www.archyde.com/the-first-phase-of-the-keelung-mrt-route-is-finalized-a-total-of-13-stations-from-badu-to-nangang-will-be-completed-as-soon-as-the-end-of-2032-politics-%E6%96%B0%E5%A4%B4%E5%A3%B3-newtalk/.</t>
        </r>
      </text>
    </comment>
    <comment ref="Q637" authorId="0" shapeId="0" xr:uid="{848CBCEB-DC96-464C-9A8B-FF8D547A7578}">
      <text>
        <r>
          <rPr>
            <sz val="10"/>
            <color rgb="FF000000"/>
            <rFont val="Calibri"/>
            <family val="2"/>
            <scheme val="minor"/>
          </rPr>
          <t>See also media source at https://www.tz.de/muenchen/stadt/u-bahn-offensive-zwei-neue-bahnhoefe-1003587.html.</t>
        </r>
      </text>
    </comment>
    <comment ref="P657" authorId="0" shapeId="0" xr:uid="{DEA806CD-6DF8-9E41-B9B2-AC95730E635F}">
      <text>
        <r>
          <rPr>
            <sz val="10"/>
            <color rgb="FF000000"/>
            <rFont val="Calibri"/>
            <family val="2"/>
            <scheme val="minor"/>
          </rPr>
          <t>See https://edmontonjournal.com/news/local-news/valley-line-southeast-lrt-tunnels-take-shape</t>
        </r>
      </text>
    </comment>
    <comment ref="Q903" authorId="0" shapeId="0" xr:uid="{53D3FCBB-6FE6-DC4D-A720-B5B0BC980701}">
      <text>
        <r>
          <rPr>
            <sz val="10"/>
            <color rgb="FF000000"/>
            <rFont val="Calibri"/>
            <family val="2"/>
            <scheme val="minor"/>
          </rPr>
          <t>Source states Lines 1 and 2 combined; this is imputed with Line 1 netted out.</t>
        </r>
      </text>
    </comment>
    <comment ref="S903" authorId="0" shapeId="0" xr:uid="{5DF79693-5B13-0946-AF70-BC923C1F25E5}">
      <text>
        <r>
          <rPr>
            <sz val="10"/>
            <color rgb="FF000000"/>
            <rFont val="Calibri"/>
            <family val="2"/>
            <scheme val="minor"/>
          </rPr>
          <t>Most of the line's length is 2A, built 2009-13, and only a minority is 2B, built 2014-18.</t>
        </r>
      </text>
    </comment>
    <comment ref="I904" authorId="0" shapeId="0" xr:uid="{EAE259B6-BBD9-A04B-953B-D45DAF13063C}">
      <text>
        <r>
          <rPr>
            <sz val="10"/>
            <color rgb="FF000000"/>
            <rFont val="Calibri"/>
            <family val="2"/>
            <scheme val="minor"/>
          </rPr>
          <t>The source says 0.6 km, but the detailed plan at https://www.nuernberg.de/imperia/md/u_bahnbau/dokumente/ba_2.2_-_anliegerinformationen_flyer_final.pdf can be measured to be 2.1 km; 0.6 km is just one portion of the line.</t>
        </r>
      </text>
    </comment>
    <comment ref="I905" authorId="0" shapeId="0" xr:uid="{B8D17401-424F-4747-9F3F-1A54CFD91B00}">
      <text>
        <r>
          <rPr>
            <sz val="10"/>
            <color rgb="FF000000"/>
            <rFont val="Calibri"/>
            <family val="2"/>
            <scheme val="minor"/>
          </rPr>
          <t>Source for costs says 33.</t>
        </r>
      </text>
    </comment>
    <comment ref="Q905" authorId="0" shapeId="0" xr:uid="{63710C8B-8FB0-D14A-B68D-D4C4B28289DD}">
      <text>
        <r>
          <rPr>
            <sz val="10"/>
            <color rgb="FF000000"/>
            <rFont val="Calibri"/>
            <family val="2"/>
            <scheme val="minor"/>
          </rPr>
          <t>This source says it could cost up to 10 billion, but is during construction whereas the main source is entirely ex post. https://web.archive.org/web/20111008134221/http://motoring.asiaone.com/Motoring/Motorworld/Story/A1Story20090818-161682.html</t>
        </r>
      </text>
    </comment>
    <comment ref="T906" authorId="0" shapeId="0" xr:uid="{58CE9938-45C3-814B-972D-FB7F97AE6053}">
      <text>
        <r>
          <rPr>
            <sz val="10"/>
            <color rgb="FF000000"/>
            <rFont val="Calibri"/>
            <family val="2"/>
            <scheme val="minor"/>
          </rPr>
          <t>This is imputed: the actual calulation converts 120 million DM in 1971 to 2021 euros and thence to 2021 dollars, and the PPP rate is given based on a retrospective US inflation rate.</t>
        </r>
      </text>
    </comment>
    <comment ref="T907" authorId="0" shapeId="0" xr:uid="{FE5F8952-6357-F640-9439-9E660BB7F4FF}">
      <text>
        <r>
          <rPr>
            <sz val="10"/>
            <color rgb="FF000000"/>
            <rFont val="Calibri"/>
            <family val="2"/>
            <scheme val="minor"/>
          </rPr>
          <t>This is imputed: the actual calulation converts 680 million DM in 1981 to 2021 euros and thence to 2021 dollars, and the PPP rate is given based on a retrospective US inflation rate.</t>
        </r>
      </text>
    </comment>
    <comment ref="T908" authorId="0" shapeId="0" xr:uid="{64A78845-4418-6F4E-B0AE-5B2DAEEE18F0}">
      <text>
        <r>
          <rPr>
            <sz val="10"/>
            <color rgb="FF000000"/>
            <rFont val="Calibri"/>
            <family val="2"/>
            <scheme val="minor"/>
          </rPr>
          <t>This is imputed: the actual calulation converts 900 million DM in 1968 to 2021 euros and thence to 2021 dollars, and the PPP rate is given based on a retrospective US inflation rate.</t>
        </r>
      </text>
    </comment>
  </commentList>
</comments>
</file>

<file path=xl/sharedStrings.xml><?xml version="1.0" encoding="utf-8"?>
<sst xmlns="http://schemas.openxmlformats.org/spreadsheetml/2006/main" count="6570" uniqueCount="1762">
  <si>
    <t>ID</t>
  </si>
  <si>
    <t>Country</t>
  </si>
  <si>
    <t>City</t>
  </si>
  <si>
    <t>Line</t>
  </si>
  <si>
    <t>Phase</t>
  </si>
  <si>
    <t>Start year</t>
  </si>
  <si>
    <t>End year</t>
  </si>
  <si>
    <t>RR?</t>
  </si>
  <si>
    <t>Length</t>
  </si>
  <si>
    <t>TunnelPer</t>
  </si>
  <si>
    <t>Tunnel</t>
  </si>
  <si>
    <t>Elevated</t>
  </si>
  <si>
    <t>Atgrade</t>
  </si>
  <si>
    <t>Stations</t>
  </si>
  <si>
    <t>Platform Length (Meters)</t>
  </si>
  <si>
    <t>Source1</t>
  </si>
  <si>
    <t>Cost</t>
  </si>
  <si>
    <t>Currency</t>
  </si>
  <si>
    <t>Year</t>
  </si>
  <si>
    <t>PPP rate</t>
  </si>
  <si>
    <t>Real cost</t>
  </si>
  <si>
    <t>Cost/km (Millions)</t>
  </si>
  <si>
    <t>Cheap?</t>
  </si>
  <si>
    <t>Clength</t>
  </si>
  <si>
    <t>Ctunnel</t>
  </si>
  <si>
    <t>Anglo?</t>
  </si>
  <si>
    <t>Inflation Index</t>
  </si>
  <si>
    <t>Real cost (2021 dollars)</t>
  </si>
  <si>
    <t>Cost/km (2021 dollars)</t>
  </si>
  <si>
    <t>Source2</t>
  </si>
  <si>
    <t>Reference</t>
  </si>
  <si>
    <t>TR</t>
  </si>
  <si>
    <t>Istanbul</t>
  </si>
  <si>
    <t>M4</t>
  </si>
  <si>
    <t>M4 Phase 3</t>
  </si>
  <si>
    <t>Plan</t>
  </si>
  <si>
    <t>EUR</t>
  </si>
  <si>
    <t>https://www.metro.istanbul/Hatlarimiz/ProjeHalindekiHatlar?projeInsaat=0&amp;q=36</t>
  </si>
  <si>
    <t>CA</t>
  </si>
  <si>
    <t>Vancouver</t>
  </si>
  <si>
    <t>Millennium</t>
  </si>
  <si>
    <t>Broadway</t>
  </si>
  <si>
    <t>CAD</t>
  </si>
  <si>
    <t>Media</t>
  </si>
  <si>
    <t>https://www.translink.ca/Plans-and-Projects/Rapid-Transit-Projects/Broadway-Subway-Project.aspx</t>
  </si>
  <si>
    <t>Toronto</t>
  </si>
  <si>
    <t>YUS</t>
  </si>
  <si>
    <t>Vaughan</t>
  </si>
  <si>
    <t>https://www.thestar.com/news/gta/transportation/2017/12/15/trudeau-wynne-tory-on-hand-to-cut-ribbon-on-32-billion-subway-extension.html</t>
  </si>
  <si>
    <t>Scarborough</t>
  </si>
  <si>
    <t>Wiki</t>
  </si>
  <si>
    <t>https://urbantoronto.ca/news/2020/03/metrolinxs-preliminary-business-case-scarborough-subway-extension-raises-questions</t>
  </si>
  <si>
    <t>Ontario</t>
  </si>
  <si>
    <t>https://metrolinx.files.wordpress.com/2019/07/click-here-to-view-the-ontario-line-initial-business-case.pdf</t>
  </si>
  <si>
    <t>Yonge to Richmond Hill</t>
  </si>
  <si>
    <t>https://www.thestar.com/news/gta/2020/06/24/metrolinx-considering-a-route-for-the-yonge-subway-extension-to-richmond-hill-that-would-take-it-above-ground.html</t>
  </si>
  <si>
    <t>NL</t>
  </si>
  <si>
    <t>Amsterdam</t>
  </si>
  <si>
    <t>Amsterdam North South</t>
  </si>
  <si>
    <t>https://www.at5.nl/artikelen/184604/zaterdag-noordzuidlijn-eindelijk-open-de-opvallendste-feiten</t>
  </si>
  <si>
    <t>Montreal</t>
  </si>
  <si>
    <t>Blue Line extension</t>
  </si>
  <si>
    <t>https://montrealgazette.com/news/local-news/montreal-metro-green-light-for-blue-line-extension</t>
  </si>
  <si>
    <t>US</t>
  </si>
  <si>
    <t>Seattle</t>
  </si>
  <si>
    <t>U-Link</t>
  </si>
  <si>
    <t>USD</t>
  </si>
  <si>
    <t>https://www.soundtransit.org/sites/default/files/documents/2018-q3-link-light-rail_0.pdf</t>
  </si>
  <si>
    <t>Los Angeles</t>
  </si>
  <si>
    <t>Purple Line</t>
  </si>
  <si>
    <t>Purple Phase 3</t>
  </si>
  <si>
    <t>https://la.streetsblog.org/2020/03/24/metro-signs-1-3-billion-full-funding-grant-agreement-for-westside-subway-phase-3/</t>
  </si>
  <si>
    <t>Purple Phase 2</t>
  </si>
  <si>
    <t>Trade</t>
  </si>
  <si>
    <t>https://www.railjournal.com/in_depth/transit-projects-fly-in-the-city-of-angels</t>
  </si>
  <si>
    <t>Purple Phase 1</t>
  </si>
  <si>
    <t>https://la.streetsblog.org/2018/04/25/metro-celebrates-purple-line-extension-1-tunnel-machines-set-to-start-in-august/</t>
  </si>
  <si>
    <t>Regional Connector</t>
  </si>
  <si>
    <t>https://www.metro.net/projects/connector/</t>
  </si>
  <si>
    <t>San Francisco</t>
  </si>
  <si>
    <t>Central Subway</t>
  </si>
  <si>
    <t>https://www.sfchronicle.com/bayarea/article/Central-Subway-tab-likely-to-grow-by-55M-as-14447857.php</t>
  </si>
  <si>
    <t>Boston</t>
  </si>
  <si>
    <t>Green Line Extension</t>
  </si>
  <si>
    <t>https://www.ctps.org/data/pdf/plans/TIP/FFYs-2020-2024-Final-TIP-20190730.pdf</t>
  </si>
  <si>
    <t>Ottawa</t>
  </si>
  <si>
    <t>Confederation</t>
  </si>
  <si>
    <t>https://www.aecom.com/projects/ottawa-light-rail/</t>
  </si>
  <si>
    <t>BART to San Jose</t>
  </si>
  <si>
    <t>https://www.mercurynews.com/2021/10/25/federal-government-awards-2-3-billion-for-barts-san-jose-extension/</t>
  </si>
  <si>
    <t>BG</t>
  </si>
  <si>
    <t>Sofia</t>
  </si>
  <si>
    <t>Line 1</t>
  </si>
  <si>
    <t>Line 1 northern</t>
  </si>
  <si>
    <t>Measured</t>
  </si>
  <si>
    <t>BGN</t>
  </si>
  <si>
    <t>https://www.novinite.com/articles/167648/Subway+Trains+to+Sofia+Airport+Start+Running+at+1+pm+on+April+2</t>
  </si>
  <si>
    <t>Line 1 southern</t>
  </si>
  <si>
    <t>https://www.novinite.com/articles/168384/Subway+Extension+to+Business+Park+Sofia+Opens</t>
  </si>
  <si>
    <t>Line 2</t>
  </si>
  <si>
    <t>https://www.railway-technology.com/uncategorised/newsbulgaria-opens-sofia-metro-line-2/</t>
  </si>
  <si>
    <t>Line 2 extension</t>
  </si>
  <si>
    <t>https://seenews.com/news/sofia-subway-launches-13-km-section-with-one-station-533330</t>
  </si>
  <si>
    <t>Line 3</t>
  </si>
  <si>
    <t>https://europa.eu/investeu/projects/sofia-metro-line-3_en</t>
  </si>
  <si>
    <t>Line 3 extension (Third Stage)</t>
  </si>
  <si>
    <t>https://seenews.com/news/sofia-opens-1125-mln-euro-tender-for-subway-expansion-681553</t>
  </si>
  <si>
    <t>PL</t>
  </si>
  <si>
    <t>Warsaw</t>
  </si>
  <si>
    <t>PLN</t>
  </si>
  <si>
    <t>https://www.railwaygazette.com/news/single-view/view/warszawa-opens-second-metro-line.html</t>
  </si>
  <si>
    <t>Line 2 extension to Trocka</t>
  </si>
  <si>
    <t>https://www.railjournal.com/passenger/metros/warsaw-metro-line-m2-reaches-targowek/</t>
  </si>
  <si>
    <t>Line 2 extension to KJ</t>
  </si>
  <si>
    <t>https://www.railwaygazette.com/metros/warszawa-metro-line-m2-goes-west/56191.article</t>
  </si>
  <si>
    <t>Line 2 extension to Bródno</t>
  </si>
  <si>
    <t>https://www.railwaypro.com/wp/a-single-bidder-for-warsaw-metro-line-2-extension/</t>
  </si>
  <si>
    <t>RO</t>
  </si>
  <si>
    <t>Bucharest</t>
  </si>
  <si>
    <t>Line 5</t>
  </si>
  <si>
    <t>RON</t>
  </si>
  <si>
    <t>http://www.metrorex.ro/Resurse/RaportActivitate/Metrorex%20eng%202018.pdf</t>
  </si>
  <si>
    <t>RU</t>
  </si>
  <si>
    <t>Moscow</t>
  </si>
  <si>
    <t>Line 11</t>
  </si>
  <si>
    <t>RUB</t>
  </si>
  <si>
    <t>https://www.rbc.ru/politics/23/11/2017/5a16bd6a9a7947a6f487fe13</t>
  </si>
  <si>
    <t>Nizhniy Novgorod</t>
  </si>
  <si>
    <t>https://www.metro-report.com/analysis/single-news/view/the-winners-and-losers-of-russian-metros.html</t>
  </si>
  <si>
    <t>Saint Petersburg</t>
  </si>
  <si>
    <t>Line 3 extension</t>
  </si>
  <si>
    <t>Line 5 extension</t>
  </si>
  <si>
    <t>http://krti.gov.spb.ru/press/news/52016/?category=17</t>
  </si>
  <si>
    <t>Line 1 extension</t>
  </si>
  <si>
    <t>https://zakupki.gov.ru/epz/order/notice/oku44/view/supplier-results.html?regNumber=0173200001418000217</t>
  </si>
  <si>
    <t>CZ</t>
  </si>
  <si>
    <t>Prague</t>
  </si>
  <si>
    <t>Line A extension</t>
  </si>
  <si>
    <t>CZK</t>
  </si>
  <si>
    <t>https://www.railjournal.com/passenger/metros/prague-opens-metro-line-a-western-extension/</t>
  </si>
  <si>
    <t>HU</t>
  </si>
  <si>
    <t>Budapest</t>
  </si>
  <si>
    <t>Line 4</t>
  </si>
  <si>
    <t>HUF</t>
  </si>
  <si>
    <t>https://www.europarl.europa.eu/doceo/document//P-8-2017-000299_EN.html</t>
  </si>
  <si>
    <t>FR</t>
  </si>
  <si>
    <t>Toulouse</t>
  </si>
  <si>
    <t>https://www.toulousemetro3.fr/le-projet/3eme-ligne.html</t>
  </si>
  <si>
    <t>IT</t>
  </si>
  <si>
    <t>Turin</t>
  </si>
  <si>
    <t>Line 1 phases 1-3</t>
  </si>
  <si>
    <t>agency</t>
  </si>
  <si>
    <t>http://www.otipiemonte.it/Pagine/Completo.asp?ID=86</t>
  </si>
  <si>
    <t>Line 1 south (phase 4)</t>
  </si>
  <si>
    <t>Line 1 west (phase 5)</t>
  </si>
  <si>
    <t>FI</t>
  </si>
  <si>
    <t>Helsinki</t>
  </si>
  <si>
    <t>West Metro</t>
  </si>
  <si>
    <t>West Metro phase 1</t>
  </si>
  <si>
    <t>https://www.lansimetro.fi/en/contact-information/faq/</t>
  </si>
  <si>
    <t>West Metro phase 2</t>
  </si>
  <si>
    <t>Ring Rail Line</t>
  </si>
  <si>
    <t>https://vayla.fi/web/en/projects/all-projects/ring-rail-line</t>
  </si>
  <si>
    <t>SE</t>
  </si>
  <si>
    <t>Stockholm</t>
  </si>
  <si>
    <t>Arenastaden</t>
  </si>
  <si>
    <t>SEK</t>
  </si>
  <si>
    <t>http://nyatunnelbanan.sll.se/sites/tunnelbanan/files/Faktablad_Upphandling_%20engelsk.pdf</t>
  </si>
  <si>
    <t>Nacka/Söderort</t>
  </si>
  <si>
    <t>Barkarby</t>
  </si>
  <si>
    <t>Citybanan</t>
  </si>
  <si>
    <t>https://web.archive.org/web/20150402164159/http://www.trafikverket.se/en/startpage/Projects/Railway-construction-projects1/The-Stockholm-City-Line/</t>
  </si>
  <si>
    <t>Malmo</t>
  </si>
  <si>
    <t>Citytunneln</t>
  </si>
  <si>
    <t>http://www.tunnel-online.info/en/artikel/artikel_en_1204638.html</t>
  </si>
  <si>
    <t>UK</t>
  </si>
  <si>
    <t>London</t>
  </si>
  <si>
    <t>Northern Line Extension</t>
  </si>
  <si>
    <t>GBP</t>
  </si>
  <si>
    <t>http://www.cityam.com/257486/full-steam-ahead-tunnelling-12bn-northern-line-extension</t>
  </si>
  <si>
    <t>MX</t>
  </si>
  <si>
    <t>Mexico City</t>
  </si>
  <si>
    <t>Line 12</t>
  </si>
  <si>
    <t>MXN</t>
  </si>
  <si>
    <t>http://www.elfinanciero.com.mx/nacional/linea-12-costara-mas-que-el-tren-mexico-queretaro</t>
  </si>
  <si>
    <t>TW</t>
  </si>
  <si>
    <t>Taipei</t>
  </si>
  <si>
    <t>Wanda Line Phase 2</t>
  </si>
  <si>
    <t>TWD</t>
  </si>
  <si>
    <t>http://www.taipeitimes.com/News/taiwan/archives/2018/05/03/2003692436</t>
  </si>
  <si>
    <t>Milan</t>
  </si>
  <si>
    <t>M5</t>
  </si>
  <si>
    <t>M5 phase 1</t>
  </si>
  <si>
    <t>http://www.expofairs.com/pianeta-costruzioni/001/pagina_017.pdf</t>
  </si>
  <si>
    <t>M5 phase 2</t>
  </si>
  <si>
    <t>https://web.archive.org/web/20140508030702/http://cantieri.mit.gov.it/Lists/Scheda%20Tecnica/DispForm.aspx?ID=69&amp;Source=http%3A%2F%2Fcantieri%2Emit%2Egov%2Eit%2FPagine%2FLombardia%2Easpx&amp;ContentTypeId=0x01005F85B0B356E4DE4EBCF0C8A435933BF500F5F261BE3F32F347B9117D7DBB5780B0</t>
  </si>
  <si>
    <t>https://www.metro4milano.it/wordpress/wp-content/uploads/2020/04/Quadro-Economico-_-Atto-Integrativo-n.1-alla-Convenzione-di-concessione_-allegato-13.pdf</t>
  </si>
  <si>
    <t>Paris</t>
  </si>
  <si>
    <t>Grand Paris Express</t>
  </si>
  <si>
    <t>https://www.gpmetropole-infos.fr/le-cout-du-grand-paris-express-revu-a-la-hausse/</t>
  </si>
  <si>
    <t>Passante Railway (tunnel section only)</t>
  </si>
  <si>
    <t>https://www.milanolife.it/la-quinta-linea-il-passante-ferroviario-di-milano/</t>
  </si>
  <si>
    <t>VN</t>
  </si>
  <si>
    <t>Hanoi</t>
  </si>
  <si>
    <t>VND</t>
  </si>
  <si>
    <t>https://vnexpress.net/thoi-su/thanh-tra-chi-ra-nhieu-vi-pham-tai-du-an-metro-1-7-ty-usd-o-ha-noi-3777287.html</t>
  </si>
  <si>
    <t>http://saigondautu.com.vn/chu-diem-su-kien/5-du-an-doi-von-khung-61311.html</t>
  </si>
  <si>
    <t>KR</t>
  </si>
  <si>
    <t>Seoul</t>
  </si>
  <si>
    <t>Sinbundang</t>
  </si>
  <si>
    <t>KRW</t>
  </si>
  <si>
    <t>https://books.google.de/books?id=B3-SBgAAQBAJ&amp;pg=PA44&amp;lpg=PA44&amp;dq=shinbundang+line+construction+cost+11690&amp;source=bl&amp;ots=_CTZGAt6MP&amp;sig=ACfU3U0qGvuRqbqwA60o8fLQNSdXTt8BlQ&amp;hl=en&amp;sa=X&amp;ved=2ahUKEwi847D6oPPqAhXLqqQKHf_ZB1MQ6AEwEHoECAsQAQ#v=onepage&amp;q=shinbundang%20line%20construction%20cost%2011690&amp;f=false</t>
  </si>
  <si>
    <t>Sinbundang Phase 2</t>
  </si>
  <si>
    <t>https://shinbundang.co.kr/eng/index.jsp?pageID=/eng/intro/intro2_6.jsp&amp;open_main=4&amp;open_sub1=1&amp;open_sub2=6</t>
  </si>
  <si>
    <t>Guadalajara</t>
  </si>
  <si>
    <t>https://www.eleconomista.com.mx/estados/Linea-3-arriba-78-de-su-costo-20200121-0023.html</t>
  </si>
  <si>
    <t>DE</t>
  </si>
  <si>
    <t>Leipzig</t>
  </si>
  <si>
    <t>City Tunnel</t>
  </si>
  <si>
    <t>http://dip21.bundestag.de/dip21/btd/17/029/1702939.pdf</t>
  </si>
  <si>
    <t>Rome</t>
  </si>
  <si>
    <t>Line B1 extension</t>
  </si>
  <si>
    <t>https://www.comune.roma.it/PCR/resources/cms/documents/B1schedaillustrativaintervento.pdf</t>
  </si>
  <si>
    <t>Line C</t>
  </si>
  <si>
    <t>Line C - section T6a</t>
  </si>
  <si>
    <t>https://metrocspa.it/cms/wp-content/uploads/2016/12/2-Q.E.G.-12-set-2013.pdf</t>
  </si>
  <si>
    <t>Line C - section T4-5</t>
  </si>
  <si>
    <t>Line C - section T3</t>
  </si>
  <si>
    <t>Berlin</t>
  </si>
  <si>
    <t>U55</t>
  </si>
  <si>
    <t>https://www.das-parlament.de/2019/31_32/kehrseite/652908-652908</t>
  </si>
  <si>
    <t>U5-U55 connection</t>
  </si>
  <si>
    <t>https://www.projekt-u5.de/de/die-neue-u5/</t>
  </si>
  <si>
    <t>BE</t>
  </si>
  <si>
    <t>Brussels</t>
  </si>
  <si>
    <t>https://www.metro3.be/fr/faq</t>
  </si>
  <si>
    <t>DK</t>
  </si>
  <si>
    <t>Copenhagen</t>
  </si>
  <si>
    <t>City Circle Line</t>
  </si>
  <si>
    <t>DKK</t>
  </si>
  <si>
    <t>https://www.thelocal.dk/20190930/in-pictures-copenhagens-new-city-ring-metro-line</t>
  </si>
  <si>
    <t>NO</t>
  </si>
  <si>
    <t>Oslo</t>
  </si>
  <si>
    <t>Løren Line</t>
  </si>
  <si>
    <t>NOK</t>
  </si>
  <si>
    <t>https://www.railwaygazette.com/l%C3%B8renbanen-opens-in-oslo/42312.article</t>
  </si>
  <si>
    <t>Fornebu Line</t>
  </si>
  <si>
    <t>https://www.nrk.no/osloogviken/fornebubanen-er-vedtatt-i-oslo-bystyre-1.16010843</t>
  </si>
  <si>
    <t>AU</t>
  </si>
  <si>
    <t>Sydney</t>
  </si>
  <si>
    <t>Metro City &amp; SW</t>
  </si>
  <si>
    <t>AUD</t>
  </si>
  <si>
    <t>https://www.abc.net.au/news/2020-02-21/nsw-government-confirms-three-billion-metro-budget-blowout/11986968</t>
  </si>
  <si>
    <t>Metro NW</t>
  </si>
  <si>
    <t>https://www.transport.nsw.gov.au/news-and-events/media-releases/sydney-metro-northwest-under-budget</t>
  </si>
  <si>
    <t>Melbourne</t>
  </si>
  <si>
    <t>Metro Tunnel</t>
  </si>
  <si>
    <t>https://www.audit.vic.gov.au/report/melbourne-metro-tunnel-project-phase-2-main-works?section=</t>
  </si>
  <si>
    <t>SG</t>
  </si>
  <si>
    <t>Singapore</t>
  </si>
  <si>
    <t>Downtown MRT Line</t>
  </si>
  <si>
    <t>SGD</t>
  </si>
  <si>
    <t>https://www.todayonline.com/singapore/comparing-singapores-newest-and-oldest-mrt-lines</t>
  </si>
  <si>
    <t>Thomson MRT Line</t>
  </si>
  <si>
    <t>https://www.straitstimes.com/singapore/transport/thomson-east-coast-line-6-more-stations-from-springleaf-to-caldecott-opening</t>
  </si>
  <si>
    <t>Eglinton Crosstown</t>
  </si>
  <si>
    <t>https://www.railwayage.com/news/eglinton-crosstown-behind-schedule/</t>
  </si>
  <si>
    <t>IN</t>
  </si>
  <si>
    <t>Mumbai</t>
  </si>
  <si>
    <t>Monorail</t>
  </si>
  <si>
    <t>INR</t>
  </si>
  <si>
    <t>https://indianexpress.com/article/cities/mumbai/indias-first-monorail-rolls-out-in-city/</t>
  </si>
  <si>
    <t>https://housing.com/news/mumbai-metro-line-3-everything-you-need-to-know/</t>
  </si>
  <si>
    <t>Line 2A</t>
  </si>
  <si>
    <t>https://www.freepressjournal.in/mumbai/metro-line-2a-revised-deadline-is-may-2021</t>
  </si>
  <si>
    <t>Line 2B</t>
  </si>
  <si>
    <t>https://mmrda.maharashtra.gov.in/metro-line-2b</t>
  </si>
  <si>
    <t>https://mmrda.maharashtra.gov.in/metro-line-4#</t>
  </si>
  <si>
    <t>Line 4A</t>
  </si>
  <si>
    <t>https://mmrda.maharashtra.gov.in/documents/10180/9283015/Metro+Line+4A/da25997a-6844-4c74-b4bd-9538285c9471</t>
  </si>
  <si>
    <t>https://mmrda.maharashtra.gov.in/metro-line-5#</t>
  </si>
  <si>
    <t>Line 6</t>
  </si>
  <si>
    <t>https://mmrda.maharashtra.gov.in/documents/10180/9283015/Metro+Line+6/17c5ed14-e9fb-4920-9521-02eebb25c4a9</t>
  </si>
  <si>
    <t>Line 7</t>
  </si>
  <si>
    <t>https://www.hindustantimes.com/mumbai-news/metro-lines-2a-7-to-be-delayed-by-3-months-mmrda-chief/story-UodpzX0AgmfV4e1OBrDxCK.html</t>
  </si>
  <si>
    <t>Line 7A + 9</t>
  </si>
  <si>
    <t>https://mmrda.maharashtra.gov.in/metro-line-9#</t>
  </si>
  <si>
    <t>Line 10</t>
  </si>
  <si>
    <t>https://mmrda.maharashtra.gov.in/documents/10180/9283015/Metro+Line+10/076595c3-c882-424c-b49d-f22399e9a096</t>
  </si>
  <si>
    <t>https://mmrda.maharashtra.gov.in/documents/10180/9283015/Metro+Line+11/8dc85106-19e2-48a5-875e-acdb289c357d</t>
  </si>
  <si>
    <t>https://mmrda.maharashtra.gov.in/documents/10180/9283015/Metro+Line+12/20c81fcb-0b2c-40c2-9e06-a7b4e7d46bdb</t>
  </si>
  <si>
    <t>GR</t>
  </si>
  <si>
    <t>Athens</t>
  </si>
  <si>
    <t>https://www.ametro.gr/?p=14801&amp;lang=en</t>
  </si>
  <si>
    <t>Line 3 to Piraeus</t>
  </si>
  <si>
    <t>https://www.ametro.gr/wp-content/uploads/2018/08/AM_Xrimatooikonomikes_katastaseis_2017.pdf</t>
  </si>
  <si>
    <t>Thessaloniki</t>
  </si>
  <si>
    <t>Main line</t>
  </si>
  <si>
    <t>https://omekgroup.com.gr/projects/thessaloniki-metro/</t>
  </si>
  <si>
    <t>Kalamaria Extension</t>
  </si>
  <si>
    <t>Busan</t>
  </si>
  <si>
    <t>https://www.railwaygazette.com/asia/busan-metro-line-1-extends/44436.article</t>
  </si>
  <si>
    <t>Gimpo Urban Railway</t>
  </si>
  <si>
    <t>http://www.kyeonggi.com/news/articleView.html?idxno=564944</t>
  </si>
  <si>
    <t>Line 7 extension</t>
  </si>
  <si>
    <t>https://www.hankyung.com/society/article/2013061797248</t>
  </si>
  <si>
    <t>2020s program</t>
  </si>
  <si>
    <t>http://news1.kr/articles/?3552208</t>
  </si>
  <si>
    <t>Circle Line</t>
  </si>
  <si>
    <t>Circle Line Stage 6</t>
  </si>
  <si>
    <t>https://www.straitstimes.com/singapore/transport/last-stage-of-circle-line-to-cost-a-lot-more-than-first-5-stages</t>
  </si>
  <si>
    <t>Line 12 to Aubervilliers</t>
  </si>
  <si>
    <t>https://www.prolongement-metro12.fr/faq-metro-m12/</t>
  </si>
  <si>
    <t>https://94.citoyens.com/2020/le-prolongement-du-metro-1-a-val-de-fontenay-en-enquete-publique-fin-2021,10-12-2020.html</t>
  </si>
  <si>
    <t>Jubilee line extension</t>
  </si>
  <si>
    <t>http://news.bbc.co.uk/2/hi/uk_news/529006.stm</t>
  </si>
  <si>
    <t>CL</t>
  </si>
  <si>
    <t>Santiago</t>
  </si>
  <si>
    <t>https://www.railwaygazette.com/projects-and-planning/santiago-tenders-line-7-construction/56621.article</t>
  </si>
  <si>
    <t>Project 63</t>
  </si>
  <si>
    <t>https://www.metro.cl/files/documentos/metro-investor-201709.pdf</t>
  </si>
  <si>
    <t>BR</t>
  </si>
  <si>
    <t>Sao Paulo</t>
  </si>
  <si>
    <t>BRL</t>
  </si>
  <si>
    <t>https://www.bnamericas.com/en/news/brazil-metro-cost-overruns-top-us9bn1</t>
  </si>
  <si>
    <t>Salvador</t>
  </si>
  <si>
    <t>Lines 1-2</t>
  </si>
  <si>
    <t>http://patrocinados.estadao.com.br/ccr/salvadors-subway-becomes-a-model-of-success/</t>
  </si>
  <si>
    <t>PA</t>
  </si>
  <si>
    <t>Panama City</t>
  </si>
  <si>
    <t>http://elsiglo.com.pa/panama/justifican-costo-linea-1-metro/23828270</t>
  </si>
  <si>
    <t>https://www.railjournal.com/regions/central-south-america/panama-city-metro-line-2-inaugurated/</t>
  </si>
  <si>
    <t>https://www.railwaypro.com/wp/south-korean-consortium-to-build-panama-metro-line-3/</t>
  </si>
  <si>
    <t>PH</t>
  </si>
  <si>
    <t>Manila</t>
  </si>
  <si>
    <t>Line 9</t>
  </si>
  <si>
    <t>PHP</t>
  </si>
  <si>
    <t>https://rappler.com/business/construction-metro-manila-subway-begins-february-2019</t>
  </si>
  <si>
    <t>https://www.railwaygazette.com/news/single-view/view/manila-metro-line-7-breaks-ground.html</t>
  </si>
  <si>
    <t>https://news.abs-cbn.com/business/multimedia/infographic/07/27/18/the-makati-subway</t>
  </si>
  <si>
    <t>https://newsinfo.inquirer.net/1211139/mrt-4-project-targeted-for-completion-in-2025</t>
  </si>
  <si>
    <t>AT</t>
  </si>
  <si>
    <t>Vienna</t>
  </si>
  <si>
    <t>https://wien.orf.at/news/stories/2607445/</t>
  </si>
  <si>
    <t>https://www.wien.gv.at/stadtentwicklung/projekte/verkehrsplanung/u-bahn/u1-oberlaa.html</t>
  </si>
  <si>
    <t>U2/U5 cross</t>
  </si>
  <si>
    <t>https://wien.orf.at/news/stories/2940360/</t>
  </si>
  <si>
    <t>Kochi</t>
  </si>
  <si>
    <t>Metro</t>
  </si>
  <si>
    <t>https://kochimetro.org/everything-you-need-to-know-about-the-kochi-metro/</t>
  </si>
  <si>
    <t>Delhi</t>
  </si>
  <si>
    <t>Phase 3</t>
  </si>
  <si>
    <t>http://www.delhimetrorail.com/funding.aspx</t>
  </si>
  <si>
    <t>Phase 4</t>
  </si>
  <si>
    <t>Phase 4 first half</t>
  </si>
  <si>
    <t>https://housing.com/news/delhi-metro-phase-iv-finally-approved-government/</t>
  </si>
  <si>
    <t>Phase 4 second half</t>
  </si>
  <si>
    <t>https://economictimes.indiatimes.com/news/politics-and-nation/operational-loss-in-delhi-metro-phase-iv-project-to-be-borne-by-delhi-govt-sc/articleshow/71008680.cms</t>
  </si>
  <si>
    <t>IR</t>
  </si>
  <si>
    <t>Tehran</t>
  </si>
  <si>
    <t>Line 3 extension to SW</t>
  </si>
  <si>
    <t>IRR</t>
  </si>
  <si>
    <t>https://www.railjournal.com/passenger/metros/tehran-opens-metro-line-3-extension/</t>
  </si>
  <si>
    <t>https://financialtribune.com/articles/auto/78612/tehran-municipality-struggling-with-subway-development-costs</t>
  </si>
  <si>
    <t>ES</t>
  </si>
  <si>
    <t>Madrid</t>
  </si>
  <si>
    <t>1995-98 program</t>
  </si>
  <si>
    <t>https://tunnelbuilder.com/metrosur/edition2pdf/page2.pdf</t>
  </si>
  <si>
    <t>1999-2003 program</t>
  </si>
  <si>
    <t>PT</t>
  </si>
  <si>
    <t>Lisbon</t>
  </si>
  <si>
    <t>Circular line</t>
  </si>
  <si>
    <t>https://www.railjournal.com/passenger/metros/european-commission-approves-e83m-for-lisbon-metro-expansion/</t>
  </si>
  <si>
    <t>Porto</t>
  </si>
  <si>
    <t>Pink line, yellow line</t>
  </si>
  <si>
    <t>https://www.themayor.eu/en/massive-lisbon-metro-expansion-scheduled-for-2020</t>
  </si>
  <si>
    <t>Eje Transversal</t>
  </si>
  <si>
    <t>https://www.esmadrid.com/sites/default/files/plan_integral_cercanias_madrid_2018_2025.pdf</t>
  </si>
  <si>
    <t>https://www.metro-report.com/news/metro/single-view/view/madrid-metro-line-2-extended-to-las-rosas.html?sword_list[]=madrid&amp;no_cache=1</t>
  </si>
  <si>
    <t>Line 9 extension</t>
  </si>
  <si>
    <t>https://web.archive.org/web/20150328212257/https://www.metromadrid.es/en/comunicacion/prensa/2015/March/noticia09.html</t>
  </si>
  <si>
    <t>EC</t>
  </si>
  <si>
    <t>Quito</t>
  </si>
  <si>
    <t>http://documents.worldbank.org/curated/en/872611529897472449/pdf/Ecuador-PP-06052018.pdf</t>
  </si>
  <si>
    <t>Chamartin-Atocha tunnel</t>
  </si>
  <si>
    <t>https://elpais.com/elpais/2008/07/09/actualidad/1215591420_850215.html</t>
  </si>
  <si>
    <t>Line 14</t>
  </si>
  <si>
    <t>http://www.omegacentre.bartlett.ucl.ac.uk/wp-content/uploads/2014/12/FRANCE_METEOR_PROFILE.pdf</t>
  </si>
  <si>
    <t>Sheppard</t>
  </si>
  <si>
    <t>https://www.theglobeandmail.com/news/toronto/sheppard-subway-extension-a-quarter-the-stops-for-three-times-the-cost/article622366/</t>
  </si>
  <si>
    <t>Laval extension</t>
  </si>
  <si>
    <t>https://montrealgazette.com/news/local-news/the-sleepy-success-story-of-the-laval-metro-extension</t>
  </si>
  <si>
    <t>Karlsruhe</t>
  </si>
  <si>
    <t>Kombilösung</t>
  </si>
  <si>
    <t>https://www.diekombiloesung.de/haeufige-fragen.html</t>
  </si>
  <si>
    <t>Dusseldorf</t>
  </si>
  <si>
    <t>Wehrhahn Line</t>
  </si>
  <si>
    <t>https://www.wz.de/nrw/duesseldorf/wehrhahn-linie-wird-noch-viel-teurer_aid-25646289</t>
  </si>
  <si>
    <t>New York</t>
  </si>
  <si>
    <t>7 extension</t>
  </si>
  <si>
    <t>http://web.mta.info/nyct/service/new7LineExtension_to11Avenue.htm</t>
  </si>
  <si>
    <t>Second Avenue</t>
  </si>
  <si>
    <t>Second Avenue Phase 1</t>
  </si>
  <si>
    <t>http://web.mta.info/capitaldashboard/CPDMega.html</t>
  </si>
  <si>
    <t>Second Avenue Phase 2</t>
  </si>
  <si>
    <t>https://www.transit.dot.gov/sites/fta.dot.gov/files/2023-03/NY-New-York-Second-Avenue-Subway-Phase-2-NSE-Profile-FY24.pdf</t>
  </si>
  <si>
    <t>East Side Access</t>
  </si>
  <si>
    <t>https://www.nytimes.com/2018/04/25/nyregion/mta-east-side-access-11-billion.html</t>
  </si>
  <si>
    <t>Gateway</t>
  </si>
  <si>
    <t>https://www.masstransitmag.com/rail/infrastructure/press-release/21094267/gateway-program-the-hudson-tunnel-projects-trims-14-billion-with-new-financial-plan</t>
  </si>
  <si>
    <t>Crossrail</t>
  </si>
  <si>
    <t>FOI</t>
  </si>
  <si>
    <t>Line 4 to Bagneux</t>
  </si>
  <si>
    <t>http://www.prolongement-m4.fr/sites/default/files/documents/m4-bagneux-dossierpresse_180316_bd.pdf</t>
  </si>
  <si>
    <t>RER E extension</t>
  </si>
  <si>
    <t>https://www.usinenouvelle.com/article/le-prolongement-a-l-ouest-de-paris-du-rer-e-devient-enfin-realite.N775434</t>
  </si>
  <si>
    <t>Line 4 to Montrouge</t>
  </si>
  <si>
    <t>https://france3-regions.francetvinfo.fr/paris-ile-de-france/2013/03/22/ligne-4-montrouge-se-met-sur-les-rails-220977.html</t>
  </si>
  <si>
    <t>Line 8 to Pointe-du-Lac</t>
  </si>
  <si>
    <t>https://www.railpassion.fr/materiel-actualites-rp/011-14751-la-ligne-8-du-metro-arrive-a-creteil-pointe-du-lac/</t>
  </si>
  <si>
    <t>Line 13 to Courtilles</t>
  </si>
  <si>
    <t>https://web.archive.org/web/20120221232537/http://www.iledefrance.fr/lactualite/transports/metro-rer/ligne-13-deux-nouvelles-stations-a-asnieres-gennevilliers/</t>
  </si>
  <si>
    <t>Line 12 to Front Populaire</t>
  </si>
  <si>
    <t>https://plainecommune.fr/projets/transports-et-mobilite/prolongement-de-la-ligne-12/</t>
  </si>
  <si>
    <t>https://www.ratp.fr/en/groupe-ratp/metrotrains/m11-extension-rosny-bois-perrier-and-then-noisy-champs</t>
  </si>
  <si>
    <t>IL</t>
  </si>
  <si>
    <t>Tel Aviv</t>
  </si>
  <si>
    <t>Red Line</t>
  </si>
  <si>
    <t>NIS</t>
  </si>
  <si>
    <t>https://en.globes.co.il/en/article-first-third-of-red-line-completed-1001205843</t>
  </si>
  <si>
    <t>Green Line</t>
  </si>
  <si>
    <t>http://www.xinhuanet.com/english/2019-05/21/c_138075072.htm</t>
  </si>
  <si>
    <t>NZ</t>
  </si>
  <si>
    <t>Auckland</t>
  </si>
  <si>
    <t>City Rail Link</t>
  </si>
  <si>
    <t>NZD</t>
  </si>
  <si>
    <t>https://ourauckland.aucklandcouncil.govt.nz/articles/news/2019/04/revised-cost-for-city-rail-link/</t>
  </si>
  <si>
    <t>Hamburg</t>
  </si>
  <si>
    <t>U4</t>
  </si>
  <si>
    <t>U4 to HafenCity U</t>
  </si>
  <si>
    <t>https://www.nahverkehrhamburg.de/u4-verlaengerung-in-horner-geest-soll-465-millionen-euro-kosten-9328/</t>
  </si>
  <si>
    <t>U4 to Elbbrücken</t>
  </si>
  <si>
    <t>U4 to Dannerallee</t>
  </si>
  <si>
    <t>https://www.nahverkehrhamburg.de/u4-kann-verlaengert-werden-planfeststellungsbeschluss-ist-da-14090/</t>
  </si>
  <si>
    <t>Barcelona</t>
  </si>
  <si>
    <t>L3 to Trinitat Nova</t>
  </si>
  <si>
    <t>https://pemb.cat/public/docs/794_r6_cat_b2_17_perllongament_linia_3_de_metro_corr.pdf</t>
  </si>
  <si>
    <t>Terrassa tunnel</t>
  </si>
  <si>
    <t>https://govern.cat/govern/docs/2012/10/03/12/36/6b33e55c-7ef4-4200-8517-97c7501d026e.pdf</t>
  </si>
  <si>
    <t>Sabadell tunnel</t>
  </si>
  <si>
    <t>L2 to Badalona</t>
  </si>
  <si>
    <t>http://territori.scot.cat/cat/notices/2010/10/metro_lInia_2_2737.php</t>
  </si>
  <si>
    <t>L5 to Vall d'Hebron</t>
  </si>
  <si>
    <t>https://www.ccma.cat/324/La-linia-5-del-Metro-de-Barcelona-samplia-dema-amb-les-estacions-del-Carmel-el-Collla-Teixonera-i-Vall-dHebron/noticia/790448/</t>
  </si>
  <si>
    <t>L9/10</t>
  </si>
  <si>
    <t>https://www.eib.org/en/projects/pipelines/all/20160937</t>
  </si>
  <si>
    <t>Bilbao</t>
  </si>
  <si>
    <t>https://www.eitb.eus/es/noticias/economia/detalle/4706859/inauguracion-linea-3-metro-bilbao-operada-euskotren-8-abril/</t>
  </si>
  <si>
    <t>Seville</t>
  </si>
  <si>
    <t>https://www.diariodesevilla.es/sevilla/construccion-linea-1-Metro-Sevilla_0_1341766366.html</t>
  </si>
  <si>
    <t>Malaga</t>
  </si>
  <si>
    <t>https://www.diariosur.es/20130217/local/malaga/obras-metro-malaga-costaran-201302170041.html</t>
  </si>
  <si>
    <t>BD</t>
  </si>
  <si>
    <t>Dhaka</t>
  </si>
  <si>
    <t>BDT</t>
  </si>
  <si>
    <t>https://www.thedailystar.net/news/bangladesh/transport/news/metro-now-set-cost-50pc-more-3072816</t>
  </si>
  <si>
    <t>https://bdnews24.com/economy/2019/10/15/govt-approves-two-more-metro-rail-projects-worth-tk-938bn</t>
  </si>
  <si>
    <t>Jakarta</t>
  </si>
  <si>
    <t>MRT first phase</t>
  </si>
  <si>
    <t>IDR</t>
  </si>
  <si>
    <t>https://www.jttri.or.jp/docs/seminar190719-25.pdf</t>
  </si>
  <si>
    <t>Lyon</t>
  </si>
  <si>
    <t>Line A to Vaulx</t>
  </si>
  <si>
    <t>https://web.archive.org/web/20080312071952/http://www.sytral.fr/176.0.html</t>
  </si>
  <si>
    <t>Line B</t>
  </si>
  <si>
    <t>Line B to Oullins</t>
  </si>
  <si>
    <t>https://www.lyon-entreprises.com/actualites/article/le-prolongement-de-la-ligne-b-du-metro-lyonnais-a-oullins-devrait-booster-le-developpement-du-sud-ouest-lyonnais</t>
  </si>
  <si>
    <t>Line B to Hospital-Sud</t>
  </si>
  <si>
    <t>http://www.oullins.fr/territoire-d-avenir/prolongement-du-metro-b-382.html</t>
  </si>
  <si>
    <t>PK</t>
  </si>
  <si>
    <t>Lahore</t>
  </si>
  <si>
    <t>Orange Line</t>
  </si>
  <si>
    <t>PKR</t>
  </si>
  <si>
    <t>https://dailytimes.com.pk/470024/punjab-drops-plan-to-connect-orange-line-train-with-metro-bus-railway-station/</t>
  </si>
  <si>
    <t>TH</t>
  </si>
  <si>
    <t>Bangkok</t>
  </si>
  <si>
    <t>Sukhumvit Line</t>
  </si>
  <si>
    <t>Sukhumvit Line to Kheka</t>
  </si>
  <si>
    <t>THB</t>
  </si>
  <si>
    <t>https://www.mrta.co.th/en/projectelectrictrain/bangkok-and-vicinities/greenline/</t>
  </si>
  <si>
    <t>Sukhumvit Line to Khu Khot</t>
  </si>
  <si>
    <t>https://www.mrta.co.th/en/projectelectrictrain/bangkok-and-vicinities/blueline/?AspxAutoDetectCookieSupport=1</t>
  </si>
  <si>
    <t>Brown Line</t>
  </si>
  <si>
    <t>https://www.mrta.co.th/en/projectelectrictrain/bangkok-and-vicinities/brownline/</t>
  </si>
  <si>
    <t>Pink Line</t>
  </si>
  <si>
    <t>https://www.mrta.co.th/en/projectelectrictrain/bangkok-and-vicinities/pinkline/</t>
  </si>
  <si>
    <t>Yellow Line</t>
  </si>
  <si>
    <t>https://www.mrta.co.th/en/projectelectrictrain/bangkok-and-vicinities/yellowline/</t>
  </si>
  <si>
    <t>https://www.mrta.co.th/en/projectelectrictrain/bangkok-and-vicinities/orangeline/</t>
  </si>
  <si>
    <t>Chiang Mai</t>
  </si>
  <si>
    <t>https://www.nationthailand.com/business/30382028</t>
  </si>
  <si>
    <t>Ho Chi Minh City</t>
  </si>
  <si>
    <t>https://e.vnexpress.net/news/news/hcmc-submits-plans-for-new-2-9-billion-metro-line-4095209.html</t>
  </si>
  <si>
    <t>Line 2 first phase</t>
  </si>
  <si>
    <t>https://e.vnexpress.net/news/news/saigon-metro-lines-cost-escalation-cleared-construction-not-to-stop-4002027.html</t>
  </si>
  <si>
    <t>Line 5 first phase</t>
  </si>
  <si>
    <t>https://saigoneer.com/saigon-news/12943-saigon-starts-seeking-investors-for-metro-line-5</t>
  </si>
  <si>
    <t>JP</t>
  </si>
  <si>
    <t>Osaka</t>
  </si>
  <si>
    <t>Tokaido branch relocation</t>
  </si>
  <si>
    <t>JPY</t>
  </si>
  <si>
    <t>https://www.westjr.co.jp/global/en/ir/library/fact-sheets/2018/pdf/fact2018.pdf</t>
  </si>
  <si>
    <t>Higashi Line</t>
  </si>
  <si>
    <t>Monorail extension</t>
  </si>
  <si>
    <t>http://www.mlit.go.jp/common/001272230.pdf</t>
  </si>
  <si>
    <t>Tokyo</t>
  </si>
  <si>
    <t>Fukutoshin Line</t>
  </si>
  <si>
    <t>https://www.japantimes.co.jp/news/2008/06/12/national/fukutoshin-subway-line-debuts/</t>
  </si>
  <si>
    <t>Minatomirai Line</t>
  </si>
  <si>
    <t>https://www.japantimes.co.jp/life/2004/02/13/travel/new-subway-signals-start-of-a-new-era/</t>
  </si>
  <si>
    <t>Oedo Line ring</t>
  </si>
  <si>
    <t>https://web.archive.org/web/20060517042836/http://www.kotsu.metro.tokyo.jp/news/pdf/sub_t_20060324a_01.pdf</t>
  </si>
  <si>
    <t>Haneda express line</t>
  </si>
  <si>
    <t>https://en.connectionjapan.com/2019/02/16/jr-east-construira-linha-para-ligar-toquio-ao-aeroporto-de-haneda/</t>
  </si>
  <si>
    <t>Tama Monorail first phase</t>
  </si>
  <si>
    <t>https://www.ejrcf.or.jp/jrtr/jrtr26/pdf/t58_neh.pdf</t>
  </si>
  <si>
    <t>Monorail to Tokyo Station</t>
  </si>
  <si>
    <t>https://www.railwaygazette.com/tokyo-monorail-plans-to-extend/39875.article</t>
  </si>
  <si>
    <t>Tokyo-Ueno Line</t>
  </si>
  <si>
    <t>https://www.railwaygazette.com/cross-tokyo-link-inaugurated/40649.article</t>
  </si>
  <si>
    <t>Sotetsu Shin-Yokohama</t>
  </si>
  <si>
    <t>Sotetsu Shin-Yokohama JR Line</t>
  </si>
  <si>
    <t>https://resources.realestate.co.jp/living/faster-commute-and-lower-congestion-expected-as-sotetsu-main-line-and-jr-east-start-direct-rail-service-on-nov-30th/</t>
  </si>
  <si>
    <t>Sotetsu Shin-Yokohama Tokyu Line</t>
  </si>
  <si>
    <t>https://www.decn.co.jp/?p=89391</t>
  </si>
  <si>
    <t>Fukuoka</t>
  </si>
  <si>
    <t>Nanakuma Line extension</t>
  </si>
  <si>
    <t>https://www.fukuoka-now.com/en/news/nanakuma-subway-line-extension-delayed/</t>
  </si>
  <si>
    <t>Line 6 phase 1</t>
  </si>
  <si>
    <t>https://www.railjournal.com/passenger/metros/revival-of-sao-paulo-metro-line-6-orange-project-a-step-closer/</t>
  </si>
  <si>
    <t>CH</t>
  </si>
  <si>
    <t>Lucerne</t>
  </si>
  <si>
    <t>Zentralbahn</t>
  </si>
  <si>
    <t>CHF</t>
  </si>
  <si>
    <t>https://www.luzernerzeitung.ch/zentralschweiz/luzern/seetalplatz-und-zentralbahn-60-millionen-guenstiger-als-budgetiert-ld.1150224</t>
  </si>
  <si>
    <t>Zurich</t>
  </si>
  <si>
    <t>Durchmesserlinie</t>
  </si>
  <si>
    <t>https://www.railwaygazette.com/infrastructure/cross-city-tunnel-opening-increases-capacity-in-zurich/39619.article</t>
  </si>
  <si>
    <t>Tsukuba Express</t>
  </si>
  <si>
    <t>https://www.jlgc.org.uk/en/news_letter/funding-local-infrastructure-and-the-tsukuba-express/</t>
  </si>
  <si>
    <t>Bangalore</t>
  </si>
  <si>
    <t>Phase 2</t>
  </si>
  <si>
    <t>https://www.metrorailnews.in/bengaluru-metros-yelachenahalli-anjanapura-line-supposed-to-be-ready-by-november-2020/</t>
  </si>
  <si>
    <t>Phase 1</t>
  </si>
  <si>
    <t>https://economictimes.indiatimes.com/industry/transportation/railways/cost-and-time-overrun-marks-bengaluru-metro-phase-i/articleshow/57550535.cms</t>
  </si>
  <si>
    <t>Gurgaon</t>
  </si>
  <si>
    <t>http://archive.indianexpress.com/news/gurgaon-rapid-metro-begins-trial-runs/1011112/0</t>
  </si>
  <si>
    <t>http://www.ptinews.com/news/8562521_Second-phase-of-Gurgaon-s-Rapid-Metro-launched.html</t>
  </si>
  <si>
    <t>Nagpur</t>
  </si>
  <si>
    <t>http://www.metrorailnagpur.com/projectprofile.aspx</t>
  </si>
  <si>
    <t>https://timesofindia.indiatimes.com/city/nagpur/mahametro-saves-rs1850cr-in-nagpur-metro-phase-ii/articleshow/67371648.cms</t>
  </si>
  <si>
    <t>Ahmadabad</t>
  </si>
  <si>
    <t>https://indianexpress.com/article/cities/ahmedabad/ahmedabad-metro-phase-1-delay-makes-cost-jump-by-rs-2000-cr-6486037/</t>
  </si>
  <si>
    <t>Hyderabad</t>
  </si>
  <si>
    <t>https://www.indiatoday.in/india/story/hyderabad-metro-project-delay-by-l-and-t-pushes-up-cost-by-over-30-per-cent-1094750-2017-11-26</t>
  </si>
  <si>
    <t>Airport express</t>
  </si>
  <si>
    <t>https://www.thehindu.com/news/cities/Hyderabad/airport-metro-to-have-underground-section-connecting-to-passenger-terminal/article29317205.ece</t>
  </si>
  <si>
    <t>Chennai</t>
  </si>
  <si>
    <t>https://www.business-standard.com/article/current-affairs/phase-ii-chennai-metro-project-to-cost-rs-36-000-cr-114022800932_1.html</t>
  </si>
  <si>
    <t>Phase 1 extension</t>
  </si>
  <si>
    <t>https://themetrorailguy.com/chennai-metro-phase-1-extension-information-route-maps-tenders-updates/</t>
  </si>
  <si>
    <t>https://www.businesstoday.in/sectors/infra/relief-for-commuters-in-chennai-metro-network-to-expand-phase-ii-work-begins/story/350907.html</t>
  </si>
  <si>
    <t>Geneva</t>
  </si>
  <si>
    <t>CEVA</t>
  </si>
  <si>
    <t>https://www.ceva.ch/2017/05/11/financement-et-organisation/?b=https://www.ceva.ch/category/projet</t>
  </si>
  <si>
    <t>UA</t>
  </si>
  <si>
    <t>Kyiv</t>
  </si>
  <si>
    <t>M3 to Vynohradar</t>
  </si>
  <si>
    <t>UAH</t>
  </si>
  <si>
    <t>https://www.unian.info/kiev/10350087-kyiv-metro-signs-contract-for-subway-line-construction-to-kyiv-s-vynohradar-district.html</t>
  </si>
  <si>
    <t>http://www.globalconstructionreview.com/news/china-railway-completes-feasibility-study-kiev-met/</t>
  </si>
  <si>
    <t>Kharkiv</t>
  </si>
  <si>
    <t>M3 extension</t>
  </si>
  <si>
    <t>https://www.railwaygazette.com/vehicles/crrc-wins-kharkiv-metro-train-contract/56702.article</t>
  </si>
  <si>
    <t>Sanying Line</t>
  </si>
  <si>
    <t>https://www.dorts.ntpc.gov.tw/home.jsp?id=90&amp;act=be4f48068b2b0031&amp;dataserno=09b73a18932ab2e245b25cd63399a208</t>
  </si>
  <si>
    <t>Danhai LRT</t>
  </si>
  <si>
    <t>https://focustaiwan.tw/society/202003240018</t>
  </si>
  <si>
    <t>Circular Line first section</t>
  </si>
  <si>
    <t>https://www.taiwannews.com.tw/en/news/3861624</t>
  </si>
  <si>
    <t>Airport MRT</t>
  </si>
  <si>
    <t>https://www.straitstimes.com/asia/east-asia/taipei-airport-rail-line-ready-to-roll</t>
  </si>
  <si>
    <t>Taoyuan MRT Green Line</t>
  </si>
  <si>
    <t>https://dorts.tycg.gov.tw/en/business/mrt-green-line</t>
  </si>
  <si>
    <t>Taoyuan MRT Brown Line</t>
  </si>
  <si>
    <t>https://dorts.tycg.gov.tw/en/business/mrt-brown-line</t>
  </si>
  <si>
    <t>Taoyuan Underground</t>
  </si>
  <si>
    <t>https://www.cna.com.tw/news/firstnews/201908150041.aspx</t>
  </si>
  <si>
    <t>Kaohsiung</t>
  </si>
  <si>
    <t>Red and Orange Lines</t>
  </si>
  <si>
    <t>https://www.railjournal.com/in_depth/taiwan-transit-in-transition</t>
  </si>
  <si>
    <t>Urban Railway Underground</t>
  </si>
  <si>
    <t>https://www.rb.gov.tw/en/showpage.php?lmenuid=24&amp;smenuid=154</t>
  </si>
  <si>
    <t>Tainan</t>
  </si>
  <si>
    <t>Underground Project</t>
  </si>
  <si>
    <t>https://www.rb.gov.tw/en/showpage.php?lmenuid=24&amp;smenuid=159</t>
  </si>
  <si>
    <t>Taichung</t>
  </si>
  <si>
    <t>https://www.rb.gov.tw/en/showpage.php?lmenuid=24&amp;smenuid=75</t>
  </si>
  <si>
    <t>Perth</t>
  </si>
  <si>
    <t>Forrestfield-Airport Link</t>
  </si>
  <si>
    <t>https://www.forrestfieldairportlink.wa.gov.au/Portals/14/Project%20Overview%20Fact%20Sheet%20-%20Dec18%20WEB.pdf</t>
  </si>
  <si>
    <t>Yurikamome</t>
  </si>
  <si>
    <t>http://www.ejrcf.or.jp/jrtr/jrtr30/pdf/s42_aok.pdf</t>
  </si>
  <si>
    <t>AR</t>
  </si>
  <si>
    <t>Buenos Aires</t>
  </si>
  <si>
    <t>RER</t>
  </si>
  <si>
    <t>https://tn.com.ar/economia/el-gobierno-relanzo-el-rer-el-proyecto-para-conectar-los-trenes-del-area-metropolitana_856411</t>
  </si>
  <si>
    <t>Nuremberg</t>
  </si>
  <si>
    <t>U3</t>
  </si>
  <si>
    <t>U3 extension to Grossreuth</t>
  </si>
  <si>
    <t>https://www.nuernberg.de/presse/mitteilungen/presse_68381.html</t>
  </si>
  <si>
    <t>Cologne</t>
  </si>
  <si>
    <t>North-South Stadtbahn</t>
  </si>
  <si>
    <t>https://www.nord-sued-stadtbahn.de/projekt/gruende/hintergruende/index.html</t>
  </si>
  <si>
    <t>U8</t>
  </si>
  <si>
    <t>U8 to Wittenau</t>
  </si>
  <si>
    <t>https://signalarchiv.de/Meldungen/10003834</t>
  </si>
  <si>
    <t>U2</t>
  </si>
  <si>
    <t>U2 to Pankow</t>
  </si>
  <si>
    <t>https://www.berliner-zeitung.de/endspurt-auf-der-baustelle-die-strecke-von-vinetastrasse-nach-bahnhof-pankow-wird-puenktlich-fertig-und-billiger-u-bahn-linie-2-ab-sonnabend-sind-die-pankower-am-zug-li.33430</t>
  </si>
  <si>
    <t>Frankfurt</t>
  </si>
  <si>
    <t>U-Bahn Europaviertel</t>
  </si>
  <si>
    <t>https://www.fnp.de/frankfurt/frankfurt-u-bahn-u5-verlaengerung-spaeter-teurer-wegen-eva-zr-13449222.html</t>
  </si>
  <si>
    <t>PE</t>
  </si>
  <si>
    <t>Lima</t>
  </si>
  <si>
    <t>https://projects.worldbank.org/en/projects-operations/project-detail/P145610</t>
  </si>
  <si>
    <t>MY</t>
  </si>
  <si>
    <t>Kuala Lumpur</t>
  </si>
  <si>
    <t>Kajang Line</t>
  </si>
  <si>
    <t>MYR</t>
  </si>
  <si>
    <t>https://www.nst.com.my/news/nation/2017/07/258054/sbk-mrt-proud-achievement-which-will-save-commuters-cost-time-pm</t>
  </si>
  <si>
    <t>Putrajaya Line (MRT 2)</t>
  </si>
  <si>
    <t>https://www.thestar.com.my/business/business-news/2020/01/17/mrt-2-at-70-completion-guan-eng-says</t>
  </si>
  <si>
    <t>M2</t>
  </si>
  <si>
    <r>
      <rPr>
        <sz val="8"/>
        <rFont val="Arial"/>
        <family val="2"/>
      </rPr>
      <t xml:space="preserve">https://rayhaberleri.wordpress.com/1998/10/22/proje-bilgisi-taksim-yenikapi-metro-hatti/, </t>
    </r>
    <r>
      <rPr>
        <u/>
        <sz val="8"/>
        <color rgb="FF1155CC"/>
        <rFont val="Arial"/>
        <family val="2"/>
      </rPr>
      <t>https://rayhaber.com/2009/02/proje-bilgisi-halic-metro-gecis-koprusu-insaati/</t>
    </r>
    <r>
      <rPr>
        <sz val="8"/>
        <rFont val="Arial"/>
        <family val="2"/>
      </rPr>
      <t>, https://rayhaber.com/2004/10/proje-bilgisi-istanbul-metrosu-4-levent-ayazaga-kesimi-depo-sahasi-ve-baglanti-hatlari-insaat-isi/</t>
    </r>
  </si>
  <si>
    <t>M3</t>
  </si>
  <si>
    <t>M3 Phase 1</t>
  </si>
  <si>
    <t>https://www.sabah.com.tr/Gundem/2013/06/14/istanbula-yeni-metro</t>
  </si>
  <si>
    <t>M4 Phase 1</t>
  </si>
  <si>
    <t>https://railturkey.org/2016/10/15/kadikoy-kartal-tavsantepe-metro-m4/2/</t>
  </si>
  <si>
    <t>M4 Phase 2</t>
  </si>
  <si>
    <t>M5 Phase 1</t>
  </si>
  <si>
    <t>http://www.uskudarumraniyecekmekoymetrosu.com/ana-sayfa/projenin-tarihcesi.aspx</t>
  </si>
  <si>
    <t>BC1</t>
  </si>
  <si>
    <t>CR3</t>
  </si>
  <si>
    <t>https://www.railwaygazette.com/infrastructure/marmaray-upgrading-works-resume/43921.article</t>
  </si>
  <si>
    <t>M7</t>
  </si>
  <si>
    <t>M7 Phase1-2</t>
  </si>
  <si>
    <t>https://rayhaber.com/2015/05/kabatas-mecidiyekoy-mahmutbey-metro-hatti-projesi-elektromekanik-sistemler-temin-montaj-ve-isletmeye-alma-isleri-ihalesini-kazanan-alsim-alarko-ile-sozlesme-imzalandi/</t>
  </si>
  <si>
    <t>Izmir</t>
  </si>
  <si>
    <t>M1</t>
  </si>
  <si>
    <t>M1 (Phase 1)</t>
  </si>
  <si>
    <t>https://www.hurriyet.com.tr/ege/metroluyuz-39155285</t>
  </si>
  <si>
    <t>M1  (Phase 2)</t>
  </si>
  <si>
    <t>TRY</t>
  </si>
  <si>
    <t>https://www.uab.gov.tr/uploads/pages/kutuphane/d38e678334e19c8.pdf</t>
  </si>
  <si>
    <t>M1 (Phase 3)</t>
  </si>
  <si>
    <t>Ankara</t>
  </si>
  <si>
    <t>https://www.cnnturk.com/turkiye/efsanevi-kecioren-metrosu-aciliyor</t>
  </si>
  <si>
    <t>Bursa</t>
  </si>
  <si>
    <t>Bursaray</t>
  </si>
  <si>
    <t>https://rayhaber.com/2011/04/en-hesapli-bursaray-ihalesi-kestel-etabinin-kilometre-maliyeti-universite-etabinin-ucte-biri/, https://rayhaberpozitif.wordpress.com/tag/hasim-iscan-caddesi/, https://www.haberler.com/bursaray-kestel-hattinin-temeli-atildi-insaat-1-5-2901776-haberi/</t>
  </si>
  <si>
    <t>CN</t>
  </si>
  <si>
    <t>Beijing</t>
  </si>
  <si>
    <t>Line 8</t>
  </si>
  <si>
    <t>Line 8 Phase 3 North</t>
  </si>
  <si>
    <t>CNY</t>
  </si>
  <si>
    <t>https://www.bjsubway.com/news/ghjs/2013-12-30/1316.html</t>
  </si>
  <si>
    <t>http://zizhan.mot.gov.cn/zhuantizhuanlan/qita/quanqiuhuanjingjijin/zhishigongxiang/201601/P020160125565596507649.pdf</t>
  </si>
  <si>
    <t>Line 1 Phase 1</t>
  </si>
  <si>
    <t>Baidu</t>
  </si>
  <si>
    <t>https://baike.baidu.com/item/%E5%8C%97%E4%BA%AC%E5%9C%B0%E9%93%811%E5%8F%B7%E7%BA%BF/7646800?fromtitle=%E5%8C%97%E4%BA%AC%E5%9C%B0%E9%93%81%E4%B8%80%E5%8F%B7%E7%BA%BF&amp;fromid=5427835&amp;fr=aladdin</t>
  </si>
  <si>
    <t>Line 14 West</t>
  </si>
  <si>
    <t>http://www.mtr.bj.cn/article/5d510c13ebb1a36f5ef598dd.html; https://baike.baidu.com/item/%E5%8C%97%E4%BA%AC%E5%9C%B0%E9%93%8114%E5%8F%B7%E7%BA%BF#reference-[2]-1443669-wrap</t>
  </si>
  <si>
    <t>Line 14 East</t>
  </si>
  <si>
    <t>Capital Airport Express</t>
  </si>
  <si>
    <t>Capital Airport Express west extenion</t>
  </si>
  <si>
    <t>https://new.qq.com/omn/20210301/20210301A0E4JW00.html</t>
  </si>
  <si>
    <t>Line 13</t>
  </si>
  <si>
    <t>Wikiland</t>
  </si>
  <si>
    <t>http://www.wikiwand.com/zh-sg/%E5%8C%97%E4%BA%AC%E5%9C%B0%E9%93%8113%E5%8F%B7%E7%BA%BF</t>
  </si>
  <si>
    <t>Line 8 Phase 2 North</t>
  </si>
  <si>
    <t>https://zh.wikipedia.org/wiki/%E5%8C%97%E4%BA%AC%E5%9C%B0%E9%93%818%E5%8F%B7%E7%BA%BF#%E4%BA%8C%E6%9C%9F%E5%B7%A5%E7%A8%8B</t>
  </si>
  <si>
    <t>Line 8 Phase 2 South</t>
  </si>
  <si>
    <t>https://zh.wikipedia.org/wiki/%E5%8C%97%E4%BA%AC%E5%9C%B0%E9%93%818%E5%8F%B7%E7%BA%BF</t>
  </si>
  <si>
    <t>Shanghai</t>
  </si>
  <si>
    <t>Line 1 (Shanghai Railway Station to Jinjiang Park)</t>
  </si>
  <si>
    <t>https://zh.wikipedia.org/wiki/%E4%B8%8A%E6%B5%B7%E8%BD%A8%E9%81%93%E4%BA%A4%E9%80%9A1%E5%8F%B7%E7%BA%BF</t>
  </si>
  <si>
    <t>Line 2 Phase 1</t>
  </si>
  <si>
    <t>https://zh.wikipedia.org/wiki/%E4%B8%8A%E6%B5%B7%E8%BD%A8%E9%81%93%E4%BA%A4%E9%80%9A2%E5%8F%B7%E7%BA%BF</t>
  </si>
  <si>
    <t>Line 2 Eastern Extension 1</t>
  </si>
  <si>
    <t>Line 2 Western Extension 1</t>
  </si>
  <si>
    <t>Line 2 Eastern Extension 2</t>
  </si>
  <si>
    <t>Line 2 Western Extension 2</t>
  </si>
  <si>
    <t>https://zh.wikipedia.org/wiki/%E4%B8%8A%E6%B5%B7%E8%BD%A8%E9%81%93%E4%BA%A4%E9%80%9A3%E5%8F%B7%E7%BA%BF</t>
  </si>
  <si>
    <t>Line 3 Northern Extension</t>
  </si>
  <si>
    <t>Line 4 Phase 1</t>
  </si>
  <si>
    <t>https://zh.wikipedia.org/wiki/%E4%B8%8A%E6%B5%B7%E8%BD%A8%E9%81%93%E4%BA%A4%E9%80%9A4%E5%8F%B7%E7%BA%BF</t>
  </si>
  <si>
    <t>Line 5 Phase 1</t>
  </si>
  <si>
    <t>https://zh.wikipedia.org/wiki/%E4%B8%8A%E6%B5%B7%E8%BD%A8%E9%81%93%E4%BA%A4%E9%80%9A5%E5%8F%B7%E7%BA%BF</t>
  </si>
  <si>
    <t>Line 5 Southern Extension</t>
  </si>
  <si>
    <t>Line 7 Phase 1</t>
  </si>
  <si>
    <t>https://zh.wikipedia.org/wiki/%E4%B8%8A%E6%B5%B7%E8%BD%A8%E9%81%93%E4%BA%A4%E9%80%9A7%E5%8F%B7%E7%BA%BF</t>
  </si>
  <si>
    <t>Line 7 Northern Extension</t>
  </si>
  <si>
    <t>Line 8 Phase 2</t>
  </si>
  <si>
    <t>https://zh.wikipedia.org/wiki/%E4%B8%8A%E6%B5%B7%E8%BD%A8%E9%81%93%E4%BA%A4%E9%80%9A8%E5%8F%B7%E7%BA%BF</t>
  </si>
  <si>
    <t>Line 9 Phase 1</t>
  </si>
  <si>
    <t>https://zh.wikipedia.org/wiki/%E4%B8%8A%E6%B5%B7%E8%BD%A8%E9%81%93%E4%BA%A4%E9%80%9A9%E5%8F%B7%E7%BA%BF</t>
  </si>
  <si>
    <t>Line 9 Phase 2</t>
  </si>
  <si>
    <t>Line 9 Phase 3</t>
  </si>
  <si>
    <t>Line 9 Phase 3 Eastern Extension</t>
  </si>
  <si>
    <t>https://www.pudong.gov.cn/zwgkupfiles/temp/2021-11-10/2c4b9a67-37b0-4046-a0ca-7cdc4d3b0d27/46%E5%8F%B7.pdf</t>
  </si>
  <si>
    <t>https://web.archive.org/web/20201108201629/http://news.sina.com.cn/o/2017-12-27/doc-ifyqchnr6135266.shtml</t>
  </si>
  <si>
    <t>Line 10 Phase 1</t>
  </si>
  <si>
    <t>https://zh.wikipedia.org/wiki/%E4%B8%8A%E6%B5%B7%E8%BD%A8%E9%81%93%E4%BA%A4%E9%80%9A10%E5%8F%B7%E7%BA%BF</t>
  </si>
  <si>
    <t>Line 11 Phase 1</t>
  </si>
  <si>
    <t>https://zh.wikipedia.org/wiki/%E4%B8%8A%E6%B5%B7%E8%BD%A8%E9%81%93%E4%BA%A4%E9%80%9A11%E5%8F%B7%E7%BA%BF</t>
  </si>
  <si>
    <t>Line 11 Phase 2</t>
  </si>
  <si>
    <t>Line 11 Huaqiao</t>
  </si>
  <si>
    <t>Xuzhou</t>
  </si>
  <si>
    <t>Line 3 Phase 2</t>
  </si>
  <si>
    <t>4 years</t>
  </si>
  <si>
    <t>https://www.ndrc.gov.cn/xxgk/zcfb/tz/202002/P020200210345113822478.pdf</t>
  </si>
  <si>
    <t>http://www.rail-transit.com/project/show.php?itemid=510</t>
  </si>
  <si>
    <t>5 years</t>
  </si>
  <si>
    <t>Line 6 Phase 1</t>
  </si>
  <si>
    <t>http://www.rail-transit.com/project/show.php?itemid=328</t>
  </si>
  <si>
    <t>Shenzhen</t>
  </si>
  <si>
    <t>https://www.ndrc.gov.cn/xxgk/zcfb/ghwb/201707/W020190905497930956563.pdf</t>
  </si>
  <si>
    <t>Line 6 (feeder)</t>
  </si>
  <si>
    <t>http://fgw.sz.gov.cn/zwgk/qt/tzgg/201902/P020190226346098115982.pdf; https://www.sohu.com/a/224155978_729676</t>
  </si>
  <si>
    <t>Line 3 Phase 4</t>
  </si>
  <si>
    <t>Line 12 Phase 2</t>
  </si>
  <si>
    <t>https://huacheng.gz-cmc.com/pages/2020/09/02/12217064331742859f82edec5e61f9ff.html</t>
  </si>
  <si>
    <t>Line 13 Northern Extension</t>
  </si>
  <si>
    <t>http://www.rail-transit.com/project/show.php?itemid=537</t>
  </si>
  <si>
    <t>Line 13 Southern Extension</t>
  </si>
  <si>
    <t>Line 16</t>
  </si>
  <si>
    <t>Line 16 Phase 2</t>
  </si>
  <si>
    <t>not started</t>
  </si>
  <si>
    <t>Line 7 Phase 2</t>
  </si>
  <si>
    <t>Line 8 Phase 3</t>
  </si>
  <si>
    <t>Line 20 Phase 1</t>
  </si>
  <si>
    <t>http://www.rail-transit.com/project/show.php?itemid=557</t>
  </si>
  <si>
    <t>http://fgw.sz.gov.cn/gkmlpt/content/8/8275/post_8275981.html#2647</t>
  </si>
  <si>
    <t>Hangzhou</t>
  </si>
  <si>
    <t>https://tieba.baidu.com/p/4042648134?red_tag=1976143705; https://www.sohu.com/a/277774667_180330; http://zzhz.zjol.com.cn/05zzhz/system/2007/01/10/008096707.shtml</t>
  </si>
  <si>
    <t>Nanjing</t>
  </si>
  <si>
    <t>https://baike.baidu.com/item/%E5%8D%97%E4%BA%AC%E5%9C%B0%E9%93%811%E5%8F%B7%E7%BA%BF</t>
  </si>
  <si>
    <t>Wuhan</t>
  </si>
  <si>
    <t>https://zh.wikipedia.org/wiki/%E6%AD%A6%E6%B1%89%E8%BD%A8%E9%81%93%E4%BA%A4%E9%80%9A1%E5%8F%B7%E7%BA%BF#%E4%B8%80%E6%9C%9F%E5%B7%A5%E7%A8%8B; https://baike.baidu.com/item/%E6%AD%A6%E6%B1%89%E5%9C%B0%E9%93%811%E5%8F%B7%E7%BA%BF/</t>
  </si>
  <si>
    <t>Line 1 Phase 2</t>
  </si>
  <si>
    <t>Line 1 Phase 3 Hankou North</t>
  </si>
  <si>
    <t>https://zh.wikipedia.org/wiki/%E6%AD%A6%E6%B1%89%E8%BD%A8%E9%81%93%E4%BA%A4%E9%80%9A1%E5%8F%B7%E7%BA%BF#%E4%B8%80%E6%9C%9F%E5%B7%A5%E7%A8%8B； http://www.whtpi.com/Service/22/1645.html</t>
  </si>
  <si>
    <t>https://wenku.baidu.com/view/ea439d10dcccda38376baf1ffc4ffe473368fd80.html</t>
  </si>
  <si>
    <t>Hefei</t>
  </si>
  <si>
    <t>Line 2 Eastern Extension</t>
  </si>
  <si>
    <t>http://www.rail-transit.com/project/show.php?itemid=563</t>
  </si>
  <si>
    <t>Line 3 Southern Extension</t>
  </si>
  <si>
    <t>http://www.rail-transit.com/project/show.php?itemid=564</t>
  </si>
  <si>
    <t>Line 4 Southern Extension</t>
  </si>
  <si>
    <t>http://www.rail-transit.com/project/show.php?itemid=582</t>
  </si>
  <si>
    <t>http://www.rail-transit.com/project/show.php?itemid=325</t>
  </si>
  <si>
    <t>http://zfxxgk.ndrc.gov.cn/web/iteminfo.jsp?id=16921</t>
  </si>
  <si>
    <t>Line 8 Phase 1</t>
  </si>
  <si>
    <t>Kunming</t>
  </si>
  <si>
    <t>Line 1 Phase 1 and Line 2 Phase 1</t>
  </si>
  <si>
    <t>https://www.kankanyn.com/jianwen/34919.html</t>
  </si>
  <si>
    <t>Line 1 Western Extension</t>
  </si>
  <si>
    <t>https://www.ndrc.gov.cn/fggz/zcssfz/zcgh/201812/W020190910670719961874.pdf</t>
  </si>
  <si>
    <t>Line 28</t>
  </si>
  <si>
    <t>http://www.tzxm.gov.cn/flfg/law/201912/t20191220_12825.html; https://new.qq.com/rain/a/20200812A0UGAJ00</t>
  </si>
  <si>
    <t>Line 11 Phase 3</t>
  </si>
  <si>
    <t>http://www.gov.cn/xinwen/2019-01/06/5355294/files/c3d503decf1d4b6b924324b210ee0f1a.pdf</t>
  </si>
  <si>
    <t>Line 19</t>
  </si>
  <si>
    <t>https://www.ndrc.gov.cn/fggz/zcssfz/zcgh/201812/t20181219_1145778.html; http://shanghai.metrofans.cn/thread-443669-1-1.html</t>
  </si>
  <si>
    <t>Line 21 Phase 1</t>
  </si>
  <si>
    <t>https://www.ndrc.gov.cn/fggz/zcssfz/zcgh/201812/W020190910670719961874.pdf; https://baike.baidu.com/item/%E4%B8%8A%E6%B5%B7%E5%9C%B0%E9%93%8121%E5%8F%B7%E7%BA%BF</t>
  </si>
  <si>
    <t>Line 13 Western Extension</t>
  </si>
  <si>
    <t>Line 11 West</t>
  </si>
  <si>
    <t>http://www.rail-transit.com/project/show.php?itemid=360</t>
  </si>
  <si>
    <t>Line 23 Phase 1</t>
  </si>
  <si>
    <t>http://www.rail-transit.com/project/show.php?itemid=75</t>
  </si>
  <si>
    <t>Line 3 Phase 1+2</t>
  </si>
  <si>
    <t>http://www.gov.cn/xinwen/2018-02/18/content_5267552.htm; https://zh.m.wikisource.org/zh-hans/%E5%8C%97%E4%BA%AC%E5%B8%82%E5%9F%8E%E5%B8%82%E8%BD%A8%E9%81%93%E4%BA%A4%E9%80%9A%E7%AC%AC%E4%BA%8C%E6%9C%9F%E5%BB%BA%E8%AE%BE%E8%A7%84%E5%88%92%EF%BC%882015%EF%BD%9E2021%E5%B9%B4%EF%BC%89</t>
  </si>
  <si>
    <t>https://zh.wikisource.org/zh-hans/%E5%8C%97%E4%BA%AC%E5%B8%82%E5%9F%8E%E5%B8%82%E8%BD%A8%E9%81%93%E4%BA%A4%E9%80%9A%E7%AC%AC%E4%BA%8C%E6%9C%9F%E5%BB%BA%E8%AE%BE%E8%A7%84%E5%88%92%EF%BC%882015%EF%BD%9E2021%E5%B9%B4%EF%BC%89</t>
  </si>
  <si>
    <t>Guangzhou</t>
  </si>
  <si>
    <t>Line 13 Phase 2</t>
  </si>
  <si>
    <t>http://www.rail-transit.com/project/show.php?itemid=350</t>
  </si>
  <si>
    <t>http://www.rail-transit.com/project/show.php?itemid=151</t>
  </si>
  <si>
    <t>Line 8 Phase 4</t>
  </si>
  <si>
    <t>https://zh.wikipedia.org/wiki/%E5%8C%97%E4%BA%AC%E5%9C%B0%E9%93%818%E5%8F%B7%E7%BA%BF#%E4%B8%89%E6%9C%9F%E5%8F%8A%E5%9B%9B%E6%9C%9F%E5%B7%A5%E7%A8%8B</t>
  </si>
  <si>
    <t>Chengdu</t>
  </si>
  <si>
    <t>Line 18</t>
  </si>
  <si>
    <t>Line 18 Phase 3</t>
  </si>
  <si>
    <t>https://www.ndrc.gov.cn/xxgk/zcfb/ghwb/201908/W020190905497973740066.pdf</t>
  </si>
  <si>
    <t>Tianjin</t>
  </si>
  <si>
    <t>M8 Phase 1</t>
  </si>
  <si>
    <t>https://wenku.baidu.com/view/801ab19a8ad63186bceb19e8b8f67c1cfbd6ee6e.html</t>
  </si>
  <si>
    <t>Line 19 Phase 1</t>
  </si>
  <si>
    <t>Line 17</t>
  </si>
  <si>
    <t>http://www.rail-transit.com/project/show.php?itemid=92</t>
  </si>
  <si>
    <t>http://www.bjnews.com.cn/news/2016/11/25/424943.html; https://baijiahao.baidu.com/s?id=1633332748114018963&amp;wfr=spider&amp;for=pc</t>
  </si>
  <si>
    <t>Line 25 Phase 2 (Fangshan Northern Extension)</t>
  </si>
  <si>
    <t>M10 Phase 1</t>
  </si>
  <si>
    <t>http://www.rail-transit.com/project/show.php?itemid=316</t>
  </si>
  <si>
    <t>M7 Phase 1</t>
  </si>
  <si>
    <t>http://www.rail-transit.com/project/show.php?itemid=154</t>
  </si>
  <si>
    <t>Line 12 (Ring)</t>
  </si>
  <si>
    <t>Nanchang</t>
  </si>
  <si>
    <t>http://www.rail-transit.com/project/show.php?itemid=392</t>
  </si>
  <si>
    <t>M11 Phase 1</t>
  </si>
  <si>
    <t>http://www.rail-transit.com/project/show.php?itemid=155</t>
  </si>
  <si>
    <t>http://www.rail-transit.com/project/show.php?itemid=252</t>
  </si>
  <si>
    <t>Line 7 Phase 2 (Eastern Extension)</t>
  </si>
  <si>
    <t>Line 2 Southern Extension</t>
  </si>
  <si>
    <t>https://baike.baidu.com/reference/17605858/8a2eRI10Oo3jPyB3RZawIu33fUj3OmCx5fKTFCUCJXoq4BKXZ94NcZoLUG7NPyweTNKYwYHoa5qBIK1P24XE4PGoXEqagKR9-p1ks_BmNh00igM</t>
  </si>
  <si>
    <t>https://www.ndrc.gov.cn/xxgk/zcfb/ghwb/201612/W020190905497886107757.pdf</t>
  </si>
  <si>
    <t>Jiamin Line</t>
  </si>
  <si>
    <t>http://www.rail-transit.com/project/show.php?itemid=343</t>
  </si>
  <si>
    <t>https://www.seetao.com/details/82868.html</t>
  </si>
  <si>
    <t>Line 27 Phase 2 (Changping Southern Extension)</t>
  </si>
  <si>
    <t>http://www.rail-transit.com/project/show.php?itemid=105</t>
  </si>
  <si>
    <t>B1 Phase 1</t>
  </si>
  <si>
    <t>http://news.enorth.com.cn/system/2021/04/23/051305652.shtml</t>
  </si>
  <si>
    <t>http://www.rail-transit.com/project/show.php?itemid=175</t>
  </si>
  <si>
    <t>http://zqb.cyol.com/html/2012-12/31/nw.D110000zgqnb_20121231_3-06.htm</t>
  </si>
  <si>
    <t>Changsha</t>
  </si>
  <si>
    <t>Line 6 Central</t>
  </si>
  <si>
    <t>https://www.ndrc.gov.cn/xxgk/zcfb/ghwb/201703/W020190905497919692262.pdf</t>
  </si>
  <si>
    <t>Line 1 Northern Extension</t>
  </si>
  <si>
    <t>http://www.rail-transit.com/project/show.php?itemid=265</t>
  </si>
  <si>
    <t>http://www.rail-transit.com/project/show.php?itemid=133</t>
  </si>
  <si>
    <t>http://www.rail-transit.com/project/show.php?itemid=272</t>
  </si>
  <si>
    <t>http://www.rail-transit.com/project/show.php?itemid=206</t>
  </si>
  <si>
    <t>Xiamen</t>
  </si>
  <si>
    <t>http://www.gov.cn/xinwen/2016-10/13/5118393/files/fc4eeffb973d4e0297ef1fb6bcaa4e73.pdf</t>
  </si>
  <si>
    <t>Line 4 Phase 2</t>
  </si>
  <si>
    <t>http://www.rail-transit.com/project/show.php?itemid=331</t>
  </si>
  <si>
    <t>Line 10 Phase 2</t>
  </si>
  <si>
    <t>http://www.rail-transit.com/project/show.php?itemid=359</t>
  </si>
  <si>
    <t>Line 14 Phase 2</t>
  </si>
  <si>
    <t>http://www.gov.cn/xinwen/2017-03/23/5180079/files/d764253433a944c0a620def88bf6f446.pdf</t>
  </si>
  <si>
    <t>Line 13 Phase 1</t>
  </si>
  <si>
    <t>Nanning</t>
  </si>
  <si>
    <t>http://www.rail-transit.com/project/show.php?itemid=42</t>
  </si>
  <si>
    <t>Line 22</t>
  </si>
  <si>
    <t>http://www.rail-transit.com/project/show.php?itemid=171</t>
  </si>
  <si>
    <t>http://www.tzxm.gov.cn/flfg/law/201912/t20191220_12825.html</t>
  </si>
  <si>
    <t>Line 5 Eastern Extension</t>
  </si>
  <si>
    <t>Line 6 Phase 2</t>
  </si>
  <si>
    <t>http://www.rail-transit.com/project/show.php?itemid=138</t>
  </si>
  <si>
    <t>Line 2 Phase 2</t>
  </si>
  <si>
    <t>Zhengzhou</t>
  </si>
  <si>
    <t>Line 14 Phase 1</t>
  </si>
  <si>
    <t>https://www.ndrc.gov.cn/fggz/zcssfz/zcgh/201904/W020190910670741123314.pdf</t>
  </si>
  <si>
    <t>Fuzhou</t>
  </si>
  <si>
    <t>http://www.rail-transit.com/project/show.php?itemid=33</t>
  </si>
  <si>
    <t>Line 9 Line 5</t>
  </si>
  <si>
    <t>http://www.rail-transit.com/project/show.php?itemid=365</t>
  </si>
  <si>
    <t>Line 5 South Extension</t>
  </si>
  <si>
    <t>http://www.rail-transit.com/project/show.php?itemid=200</t>
  </si>
  <si>
    <t>Chongqing</t>
  </si>
  <si>
    <t>Line 5 Northern Extension</t>
  </si>
  <si>
    <t>http://www.rail-transit.com/project/show.php?itemid=356</t>
  </si>
  <si>
    <t>Line 13A</t>
  </si>
  <si>
    <t>http://www.tzxm.gov.cn/flfg/law/201912/t20191220_12825.html; https://baijiahao.baidu.com/s?id=1636643464335769195&amp;wfr=spider&amp;for=pc</t>
  </si>
  <si>
    <t>Changchun</t>
  </si>
  <si>
    <t>http://www.rail-transit.com/project/show.php?itemid=531</t>
  </si>
  <si>
    <t>Line 11 East</t>
  </si>
  <si>
    <t>http://img.thupdi.com/news/2015/08/1440573393290975.pdf</t>
  </si>
  <si>
    <t>Line 2 Western Extension</t>
  </si>
  <si>
    <t>https://www.ndrc.gov.cn/fggz/zcssfz/zcgh/201505/W020190910670534928118.pdf</t>
  </si>
  <si>
    <t>http://www.nngdjt.com/html/4061/8670.html</t>
  </si>
  <si>
    <t>http://www.rail-transit.com/project/show.php?itemid=188</t>
  </si>
  <si>
    <t>https://www.ndrc.gov.cn/fggz/zcssfz/zcgh/201601/t20160112_1145713.html</t>
  </si>
  <si>
    <t>Line 30 Phase 1</t>
  </si>
  <si>
    <t>http://bj.bendibao.com/news/20141120/171344.shtm</t>
  </si>
  <si>
    <t>http://zfxxgk.ndrc.gov.cn/web/iteminfo.jsp?id=316</t>
  </si>
  <si>
    <t>Xi'an</t>
  </si>
  <si>
    <t>https://www.ndrc.gov.cn/fggz/zcssfz/zcgh/201907/W020190910670748591840.pdf</t>
  </si>
  <si>
    <t>http://www.rail-transit.com/project/show.php?itemid=137</t>
  </si>
  <si>
    <t>Line 8 Northern Extension</t>
  </si>
  <si>
    <t>https://www.ndrc.gov.cn/fggz/zcssfz/zcgh/201703/W020190910670680927090.pdf</t>
  </si>
  <si>
    <t>Line 6 West</t>
  </si>
  <si>
    <t>http://www.rail-transit.com/project/show.php?itemid=134</t>
  </si>
  <si>
    <t>Suzhou</t>
  </si>
  <si>
    <t>http://www.rail-transit.com/project/show.php?itemid=321</t>
  </si>
  <si>
    <t>http://www.rail-transit.com/project/show.php?itemid=170</t>
  </si>
  <si>
    <t>http://www.gov.cn/xinwen/2017-03/23/content_5180079.htm</t>
  </si>
  <si>
    <t>Shenyang</t>
  </si>
  <si>
    <t>http://www.shenyangbus.com/a/sydt/2018/1227/10268.html</t>
  </si>
  <si>
    <t>Line 17 Phase 2</t>
  </si>
  <si>
    <t>http://www.rail-transit.com/project/show.php?itemid=211</t>
  </si>
  <si>
    <t>Line 3 Phase1</t>
  </si>
  <si>
    <t>http://www.nngdjt.com/html/4061/6290.html</t>
  </si>
  <si>
    <t>Guiyang</t>
  </si>
  <si>
    <t>Line 3 Phase 1</t>
  </si>
  <si>
    <t>https://baike.baidu.com/item/%E8%B4%B5%E9%98%B3%E8%BD%A8%E9%81%93%E4%BA%A4%E9%80%9A3%E5%8F%B7%E7%BA%BF/16024214#reference-[2]-15957490-wrap</t>
  </si>
  <si>
    <t>http://www.rail-transit.com/project/show.php?itemid=85</t>
  </si>
  <si>
    <t>http://www.rail-transit.com/project/show.php?itemid=136</t>
  </si>
  <si>
    <t>Line 1 Northwestern Extension</t>
  </si>
  <si>
    <t>http://www.rail-transit.com/project/show.php?itemid=495</t>
  </si>
  <si>
    <t>https://www.ndrc.gov.cn/fggz/zcssfz/zcgh/201812/W020190910670713741772.pdf</t>
  </si>
  <si>
    <t>http://www.rail-transit.com/project/show.php?itemid=205</t>
  </si>
  <si>
    <t>http://www.rail-transit.com/project/show.php?itemid=310</t>
  </si>
  <si>
    <t>Line S8</t>
  </si>
  <si>
    <t>Line S8 Southern Extension</t>
  </si>
  <si>
    <t>https://www.ndrc.gov.cn/xxgk/zcfb/ghwb/201611/W020190905497856961234.pdf</t>
  </si>
  <si>
    <t>Line 5A</t>
  </si>
  <si>
    <t>Airport Contact Line</t>
  </si>
  <si>
    <t>Line 12 Phase 1</t>
  </si>
  <si>
    <t>http://www.rail-transit.com/project/show.php?itemid=514</t>
  </si>
  <si>
    <t>Line 10 North and East</t>
  </si>
  <si>
    <t>http://news.sciencenet.cn/sbhtmlnews/2008/8/209799.html</t>
  </si>
  <si>
    <t>https://www.ndrc.gov.cn/fzggw/jgsj/zcs/sjdt/201212/t20121224_1145294.html</t>
  </si>
  <si>
    <t>Line 7 South</t>
  </si>
  <si>
    <t>https://www.ndrc.gov.cn/xxgk/zcfb/tz/201812/W020190905514226164270.pdf; https://baike.baidu.com/item/%E9%95%BF%E6%98%A5%E8%BD%A8%E9%81%93%E4%BA%A4%E9%80%9A7%E5%8F%B7%E7%BA%BF/17545289</t>
  </si>
  <si>
    <t>Line 1 Eastern Extension</t>
  </si>
  <si>
    <t>http://www.shenyangbus.com/a/sydt/2018/1227/10268.html; https://3g.163.com/dy/article_cambrian/FBU1V3JE052590Q7.html</t>
  </si>
  <si>
    <t>http://www.rail-transit.com/project/show.php?itemid=329</t>
  </si>
  <si>
    <t>https://www.ndrc.gov.cn/xxgk/zcfb/tz/201412/W020190905507203840468.pdf</t>
  </si>
  <si>
    <t>http://zfxxgk.ndrc.gov.cn/web/iteminfo.jsp?id=362</t>
  </si>
  <si>
    <t>Line 10 Phase 3</t>
  </si>
  <si>
    <t>Line 1 Phase 1+2</t>
  </si>
  <si>
    <t>https://www.sohu.com/a/112444814_268310</t>
  </si>
  <si>
    <t>Line 4 Western Extension</t>
  </si>
  <si>
    <t>Z4 Phase 1</t>
  </si>
  <si>
    <t>http://www.rail-transit.com/file/upload/201907/15/10573644162.pdf</t>
  </si>
  <si>
    <t>Daxing Airport Express</t>
  </si>
  <si>
    <t>Daxing Airport Express Phase 1</t>
  </si>
  <si>
    <t>Daxing Airport Express Phase 2</t>
  </si>
  <si>
    <t>Line 8 Phase 1 for Olympics</t>
  </si>
  <si>
    <t>https://www.360kuai.com/pc/9fb76b182add530db?cota=4&amp;kuai_so=1&amp;tj_url=so_rec&amp;sign=360_7bc3b157; http://itdzs.org/OnLineMagazine/PDFView.aspx?ID=4</t>
  </si>
  <si>
    <t>Line 1 Phase 3</t>
  </si>
  <si>
    <t>http://www.rail-transit.com/project/show.php?itemid=440</t>
  </si>
  <si>
    <t>Line 27 Phase 1</t>
  </si>
  <si>
    <t>https://www.ndrc.gov.cn/xxgk/zcfb/ghwb/201809/W020190905497960329280.pdf</t>
  </si>
  <si>
    <t>Line S1</t>
  </si>
  <si>
    <t>Taiyuan</t>
  </si>
  <si>
    <t>http://www.rail-transit.com/project/show.php?itemid=159</t>
  </si>
  <si>
    <t>https://www.ndrc.gov.cn/xxgk/zcfb/tz/201812/W020190905514226164270.pdf</t>
  </si>
  <si>
    <t>http://www.rail-transit.com/project/show.php?itemid=148</t>
  </si>
  <si>
    <t>Line 15 Phase 1</t>
  </si>
  <si>
    <t>S2</t>
  </si>
  <si>
    <t>S2 Phase 1 North</t>
  </si>
  <si>
    <t>http://www.rail-transit.com/project/show.php?itemid=113</t>
  </si>
  <si>
    <t>http://www.rail-transit.com/project/show.php?itemid=142</t>
  </si>
  <si>
    <t>Line 2 West Extension</t>
  </si>
  <si>
    <t>Line 1 Feeder</t>
  </si>
  <si>
    <t>http://zfxxgk.ndrc.gov.cn/web/iteminfo.jsp?id=12400</t>
  </si>
  <si>
    <t>Line 2 Phase 3</t>
  </si>
  <si>
    <t>https://4g.dahe.cn/news/20191106554486</t>
  </si>
  <si>
    <t>Line 19 Phase 2</t>
  </si>
  <si>
    <t>http://www.rail-transit.com/project/show.php?itemid=470</t>
  </si>
  <si>
    <t>http://www.rail-transit.com/project/show.php?itemid=458</t>
  </si>
  <si>
    <t>http://finance.sina.com.cn/roll/20120905/131013052588.shtml</t>
  </si>
  <si>
    <t>http://www.janeoo.com/news/hangyedongtai-detail-539834.htm</t>
  </si>
  <si>
    <t>Line 3 Eastern Extension</t>
  </si>
  <si>
    <t>Daxing Line</t>
  </si>
  <si>
    <t>http://www.mtr.bj.cn/article/5d510c0aebb1a36f5ef5981f.html</t>
  </si>
  <si>
    <t>https://sh.ihouse.ifeng.com/news/2020_06_10-52808712_0.shtml/?from=news_highlights_news</t>
  </si>
  <si>
    <t>Chongming</t>
  </si>
  <si>
    <t>Line 16 Phase 1</t>
  </si>
  <si>
    <t>http://www.rail-transit.com/project/show.php?itemid=448</t>
  </si>
  <si>
    <t>Xingang</t>
  </si>
  <si>
    <t>Z2 Phase 1</t>
  </si>
  <si>
    <t>Line 5 Phase 2</t>
  </si>
  <si>
    <t>S1 Phase 1</t>
  </si>
  <si>
    <t>Line 2 West Extension Phase 1</t>
  </si>
  <si>
    <t>http://finance.sina.com.cn/b/20040419/0854725033.shtml</t>
  </si>
  <si>
    <t>Ring Line</t>
  </si>
  <si>
    <t>http://www.gzcy.org/uploadfile/2013/0930/20130930103001739.pdf</t>
  </si>
  <si>
    <t>Line 1 North Extension</t>
  </si>
  <si>
    <t>Line 1 North Extension Phase 1</t>
  </si>
  <si>
    <t>https://www.ndrc.gov.cn/xxgk/zcfb/ghwb/201703/t20170323_962232.html</t>
  </si>
  <si>
    <t>Line 6 Branch (EXPO) Phase 2</t>
  </si>
  <si>
    <t>NDRC</t>
  </si>
  <si>
    <t>Line 3 Phase 3</t>
  </si>
  <si>
    <t>http://politics.people.com.cn/n/2013/0223/c70731-20575832.html</t>
  </si>
  <si>
    <t>http://www.rail-transit.com/project/show.php?itemid=238</t>
  </si>
  <si>
    <t>Line 2 Northern Extension</t>
  </si>
  <si>
    <t>http://hb.sina.com.cn/news/b/2013-06-03/070979213.html</t>
  </si>
  <si>
    <t>http://www.rail-transit.com/project/show.php?itemid=504</t>
  </si>
  <si>
    <t>Line 6 East</t>
  </si>
  <si>
    <t>Line 21</t>
  </si>
  <si>
    <t>Line 4 North Extension</t>
  </si>
  <si>
    <t>Line 11 (to Disney)</t>
  </si>
  <si>
    <t>http://www.rail-transit.com/project/show.php?itemid=184</t>
  </si>
  <si>
    <t>http://finance.ifeng.com/city/bj/20101117/2902241.shtml</t>
  </si>
  <si>
    <t>https://zh.wikipedia.org/wiki/%E4%B8%8A%E6%B5%B7%E8%BD%A8%E9%81%93%E4%BA%A4%E9%80%9A6%E5%8F%B7%E7%BA%BF</t>
  </si>
  <si>
    <t>Line 1 Phase 4 (Jinghe)</t>
  </si>
  <si>
    <t>https://zh.wikipedia.org/wiki/%E6%AD%A6%E6%B1%89%E8%BD%A8%E9%81%93%E4%BA%A4%E9%80%9A1%E5%8F%B7%E7%BA%BF#%E4%B8%80%E6%9C%9F%E5%B7%A5%E7%A8%8B</t>
  </si>
  <si>
    <t>Line 9 (Konggang)</t>
  </si>
  <si>
    <t>M3 Phase 2</t>
  </si>
  <si>
    <t>Line 6 Branch (EXPO)</t>
  </si>
  <si>
    <t>https://yn.leju.com/news/2020-07-03/17306684750030261506576.shtml</t>
  </si>
  <si>
    <t>Line 13B</t>
  </si>
  <si>
    <t>Line 5 North Extension</t>
  </si>
  <si>
    <t>https://max.book118.com/html/2017/1209/143431974.shtm</t>
  </si>
  <si>
    <t>Line 8 Phase 3 (Pujiang Line)</t>
  </si>
  <si>
    <t>https://zh.wikipedia.org/wiki/%E4%B8%8A%E6%B5%B7%E8%BD%A8%E9%81%93%E4%BA%A4%E9%80%9A%E6%B5%A6%E6%B1%9F%E7%BA%BF#cite_note-4</t>
  </si>
  <si>
    <t>Line 1 Southern Extension</t>
  </si>
  <si>
    <t>Line 8 Phase 3 South</t>
  </si>
  <si>
    <t>Line 10 South and West</t>
  </si>
  <si>
    <t>https://zh.wikipedia.org/wiki/%E5%8C%97%E4%BA%AC%E5%9C%B0%E9%93%8110%E5%8F%B7%E7%BA%BF#%E4%BA%8C%E6%9C%9F%E5%B7%A5%E7%A8%8B</t>
  </si>
  <si>
    <t>Wenzhou</t>
  </si>
  <si>
    <t>http://zjjcmspublic.oss-cn-hangzhou-zwynet-d01-a.internet.cloud.zj.gov.cn/jcms_files/jcms1/web1825/site/attach/0/150120083915404.pdf</t>
  </si>
  <si>
    <t>S2 Phase 1</t>
  </si>
  <si>
    <t>https://www.163.com/dy/article/GT2J4GU20545AOQT.html</t>
  </si>
  <si>
    <t>http://www.wenzhou.gov.cn/art/2019/3/21/art_1219304_31430838.html</t>
  </si>
  <si>
    <t>Lanzhou</t>
  </si>
  <si>
    <t>http://www.rail-transit.com/project/show.php?itemid=241</t>
  </si>
  <si>
    <t>http://www.rail-transit.com/project/show.php?itemid=419</t>
  </si>
  <si>
    <t>Dongguan</t>
  </si>
  <si>
    <t>https://zfxxgk.ndrc.gov.cn/web/iteminfo.jsp?id=18775</t>
  </si>
  <si>
    <t>https://baijiahao.baidu.com/s?id=1638089292564878111&amp;wfr=spider&amp;for=pc</t>
  </si>
  <si>
    <t>Line 1 Feeder Phase 1</t>
  </si>
  <si>
    <t>https://finance.sina.com.cn/jjxw/2022-08-26/doc-imizmscv7763110.shtml?finpagefr=p_115</t>
  </si>
  <si>
    <t>Line 3 feeder</t>
  </si>
  <si>
    <t>SA</t>
  </si>
  <si>
    <t>Riyadh</t>
  </si>
  <si>
    <t>Blue</t>
  </si>
  <si>
    <t>http://www.riyadhmetro.sa/</t>
  </si>
  <si>
    <t>Red</t>
  </si>
  <si>
    <t>Orange</t>
  </si>
  <si>
    <t>Yellow</t>
  </si>
  <si>
    <t>https://www.fastmetroriyadh.com/about/our-lines/</t>
  </si>
  <si>
    <t>Green</t>
  </si>
  <si>
    <t>https://www.fastmetroriyadh.com/ar/%d8%a7%d9%84%d8%ae%d8%b1%d9%8a%d8%b7%d8%a9-2/</t>
  </si>
  <si>
    <t>Purple</t>
  </si>
  <si>
    <t>Jeddah</t>
  </si>
  <si>
    <t>Jeddah Metro</t>
  </si>
  <si>
    <t>http://www.metrojeddah.com.sa/page/Metro</t>
  </si>
  <si>
    <t>Mecca</t>
  </si>
  <si>
    <t>Mecca Metro</t>
  </si>
  <si>
    <t>SAR</t>
  </si>
  <si>
    <t>Ad Dammam</t>
  </si>
  <si>
    <t>Dammam Metro (a-Sharqiya)</t>
  </si>
  <si>
    <t>https://www.bncnetwork.net/Project/Dammam_Metro/lLeKWJzyKRk=</t>
  </si>
  <si>
    <t>QA</t>
  </si>
  <si>
    <t>Doha</t>
  </si>
  <si>
    <t>Doha Metro</t>
  </si>
  <si>
    <t>https://www.railway-technology.com/projects/doha-metro/</t>
  </si>
  <si>
    <t>BH</t>
  </si>
  <si>
    <t>Bahrain</t>
  </si>
  <si>
    <t>Phase 1 (Red &amp; Blue)</t>
  </si>
  <si>
    <t>https://www.urbantransportnews.com/bahrain-to-finalise-109-km-light-metro-rail-bids-in-march-2020/</t>
  </si>
  <si>
    <t>X</t>
  </si>
  <si>
    <t>http://www.tradearabia.com/news/stn_178416.html</t>
  </si>
  <si>
    <t>AE</t>
  </si>
  <si>
    <t>Dubai</t>
  </si>
  <si>
    <t>Phase 1 - Red Line</t>
  </si>
  <si>
    <t>Phase 2 - Green Line</t>
  </si>
  <si>
    <t>Phase 3 (Red Line Extension/Route 2020)</t>
  </si>
  <si>
    <t>https://www.railway-technology.com/projects/route-2020-dubai/</t>
  </si>
  <si>
    <t>EG</t>
  </si>
  <si>
    <t>Cairo</t>
  </si>
  <si>
    <t>EGP</t>
  </si>
  <si>
    <t>Line 2 Extension</t>
  </si>
  <si>
    <t>http://english.ahram.org.eg/NewsContent/3/12/35035/Business/Economy/Cairos-rd-underground-line-opens-Tuesday-linking-A.aspx</t>
  </si>
  <si>
    <t>EU</t>
  </si>
  <si>
    <t>Line 4 (4 Phases)</t>
  </si>
  <si>
    <t>https://tunnelbuilder.com/News/New-metro-line-6-in-Cairo-deal-signed-.aspx</t>
  </si>
  <si>
    <t>KW</t>
  </si>
  <si>
    <t>Kuwait City</t>
  </si>
  <si>
    <t>Kuwait Metro</t>
  </si>
  <si>
    <t>https://www.railjournal.com/passenger/metros/kuwait-announces-details-of-metro-project/</t>
  </si>
  <si>
    <t>Line 15</t>
  </si>
  <si>
    <t>http://www.rail-transit.com/project/show.php?itemid=287</t>
  </si>
  <si>
    <t>http://www.rail-transit.com/project/show.php?itemid=201</t>
  </si>
  <si>
    <t>https://www.sohu.com/a/134664821_249521;  https://zh.wikipedia.org/wiki/%E4%B8%8A%E6%B5%B7%E8%BD%A8%E9%81%93%E4%BA%A4%E9%80%9A16%E5%8F%B7%E7%BA%BF</t>
  </si>
  <si>
    <t>http://fgw.sz.gov.cn/zwgk/qt/tzgg/201902/P020190226346098115982.pdf</t>
  </si>
  <si>
    <t>http://www.rail-transit.com/project/show.php?itemid=354</t>
  </si>
  <si>
    <t>http://www.dcement.com/Article/201310/117609.html</t>
  </si>
  <si>
    <t>https://zh.wikipedia.org/wiki/%E8%B4%B5%E9%98%B3%E8%BD%A8%E9%81%93%E4%BA%A4%E9%80%9A1%E5%8F%B7%E7%BA%BF</t>
  </si>
  <si>
    <t>https://zh.wikipedia.org/wiki/%E6%AD%A6%E6%B1%89%E8%BD%A8%E9%81%93%E4%BA%A4%E9%80%9A4%E5%8F%B7%E7%BA%BF#%E4%B8%80%E6%9C%9F%E5%B7%A5%E7%A8%8B</t>
  </si>
  <si>
    <t>rail-transit.com/project/show.php?itemid=77</t>
  </si>
  <si>
    <t>https://www.ndrc.gov.cn/xxgk/zcfb/tz/201607/W020190905517098302181.pdf</t>
  </si>
  <si>
    <t>https://www.chengdurail.com/detail/7247.html</t>
  </si>
  <si>
    <t>https://www.ndrc.gov.cn/fggz/zcssfz/zdgc/201607/W020190910671924062945.pdf</t>
  </si>
  <si>
    <t>https://ekap.kik.gov.tr/EKAP/Ortak/IhaleArama/index.html</t>
  </si>
  <si>
    <t>M8</t>
  </si>
  <si>
    <t>M5 Phase 2-M13</t>
  </si>
  <si>
    <t xml:space="preserve">M12 </t>
  </si>
  <si>
    <t>M11</t>
  </si>
  <si>
    <t>https://www.insaatderyasi.com/gayrettepe-3-havalimani-metro-ihalesine-1-milyar-euro-1718h.htm</t>
  </si>
  <si>
    <t>M11 Phase 2</t>
  </si>
  <si>
    <t>http://www.yatirimlar.com/haber-AYGM_Istanbul_Yeni_Havalimani___Halkali_Metro_Hatti_insaati_ile_Elektromekanik_Sistemlerinin_temin_montaj_ve_isletmeye_alma_isleri_ihalesi_icin_sozlesme_imzaladi-248098.htm</t>
  </si>
  <si>
    <t>UZ</t>
  </si>
  <si>
    <t>Tashkent</t>
  </si>
  <si>
    <t>Sergeli Line</t>
  </si>
  <si>
    <t>http://www.uzbekembassy.in/construction-of-sergeli-metro-line-to-cost-170-1-million/</t>
  </si>
  <si>
    <t>Yunusabad Line extension</t>
  </si>
  <si>
    <t>https://www.railwaypro.com/wp/tashkent-metro-extension-is-underway/</t>
  </si>
  <si>
    <t>Lainz Tunnel</t>
  </si>
  <si>
    <t>https://wien.orf.at/v2/news/stories/2537074/</t>
  </si>
  <si>
    <t>Rio de Janeiro</t>
  </si>
  <si>
    <t>http://itdpbrasil.org.br/wp-content/uploads/2018/05/ITDP_PP_Linha_4_Maio_2018.pdf</t>
  </si>
  <si>
    <t>SkyRail Bahia</t>
  </si>
  <si>
    <t>https://www.yicaiglobal.com/news/byd-design-for-usd689-million-brazil-monorail-gets-green-light</t>
  </si>
  <si>
    <t>https://www.railjournal.com/in_depth/21-rail-projects-to-watch-in-2021</t>
  </si>
  <si>
    <t>Calgary</t>
  </si>
  <si>
    <t>Green Line stage 1</t>
  </si>
  <si>
    <t>https://globalnews.ca/news/7527443/green-line-lrt-calgary-alberta-government/</t>
  </si>
  <si>
    <t>Millennium Line Phase 1</t>
  </si>
  <si>
    <t>https://web.archive.org/web/20181110080355/https://www.translink.ca/-/media/Documents/about_translink/corporate_overview/corporate_reports/history/translink_history_nov_2008.pdf</t>
  </si>
  <si>
    <t>Canada Line</t>
  </si>
  <si>
    <t>https://vancouversun.com/news/local-news/by-the-numbers-canada-line-turns-10</t>
  </si>
  <si>
    <t>Evergreen Line</t>
  </si>
  <si>
    <t>https://thebreaker.news/news/evergreen-line-costs/</t>
  </si>
  <si>
    <t>U5-East</t>
  </si>
  <si>
    <t>https://www.mopo.de/hamburg/politik/xxl-bahnprojekt-darum-kostet-hamburgs-neue-u5-linie-milliarden-32844424</t>
  </si>
  <si>
    <t>Rennes</t>
  </si>
  <si>
    <t>http://www.presse.metropole.rennes.fr/accueil/documents-presse/tous-les-documents/27-10165/mise-en-service-de-la-ligne-b-du-metro-de-rennes-metropole-le-21-decembre-2020</t>
  </si>
  <si>
    <t>HK</t>
  </si>
  <si>
    <t>Hong Kong</t>
  </si>
  <si>
    <t>Tung Chung Line extension</t>
  </si>
  <si>
    <t>HKD</t>
  </si>
  <si>
    <t>https://news.rthk.hk/rthk/en/component/k2/1519400-20200407.htm</t>
  </si>
  <si>
    <t>West Island Line</t>
  </si>
  <si>
    <t>https://www.legco.gov.hk/yr15-16/english/panels/tp/tp_rdp/papers/tp_rdp20160627cb4-1136-2-e.pdf</t>
  </si>
  <si>
    <t>Airport Railway</t>
  </si>
  <si>
    <t>https://www.info.gov.hk/archive/napco/cost.html</t>
  </si>
  <si>
    <t>Quarry Bay Congestion Relief Works (Kwung Tung Extension)</t>
  </si>
  <si>
    <t>N/A</t>
  </si>
  <si>
    <t>Tseung Kwan O Extension</t>
  </si>
  <si>
    <t>Penny's Bay Rail Link (Disneyland Resort Line)</t>
  </si>
  <si>
    <t>South Island Line (East)</t>
  </si>
  <si>
    <t>Kwun Tong Line extension</t>
  </si>
  <si>
    <t>Tuen Mun South Extension</t>
  </si>
  <si>
    <t>https://www.legco.gov.hk/yr19-20/english/panels/tp/tp_rdp/papers/tp_rdp20200605cb4-646-1-e.pdf</t>
  </si>
  <si>
    <t>Sha Tin-Central Link</t>
  </si>
  <si>
    <t>https://www.railwaygazette.com/infrastructure/shatin-central-project-faces-23-cost-increase/45602.article</t>
  </si>
  <si>
    <t>Modified Initial System</t>
  </si>
  <si>
    <t>https://mmis.hkpl.gov.hk///c/portal/cover?c=QF757YsWv59%2F9WIUSQ5l76Vd0tr1CR%2F%2F#.YW2ctNha4E8.link</t>
  </si>
  <si>
    <t>Tsuen Wan Extension</t>
  </si>
  <si>
    <t>https://mmis.hkpl.gov.hk///c/portal/cover?c=QF757YsWv59%2F9WIUSQ5l7%2Fm%2BLaqXoBAd#.YW1kGBtofbY.link</t>
  </si>
  <si>
    <t>Island Line</t>
  </si>
  <si>
    <t>https://mmis.hkpl.gov.hk///c/portal/cover?c=QF757YsWv59%2F9WIUSQ5l7xsxoWQ4dkCT#.YW1js87Ueak.link</t>
  </si>
  <si>
    <t>Eastern Harbour Crossing</t>
  </si>
  <si>
    <t>https://mmis.hkpl.gov.hk///c/portal/cover?c=QF757YsWv59%2F9WIUSQ5l77yBOL%2Bgwk13#.YW423bEbO3o.link</t>
  </si>
  <si>
    <t>Noida Metro</t>
  </si>
  <si>
    <t>https://timesofindia.indiatimes.com/city/noida/noida-greater-noida-metro-link-to-cost-less-than-estimate/articleshow/58370627.cms</t>
  </si>
  <si>
    <t>Jaipur</t>
  </si>
  <si>
    <t>http://mohua.gov.in/upload/uploadfiles/files/Jaipur_Metro_PPT.pdf</t>
  </si>
  <si>
    <t>Lucknow</t>
  </si>
  <si>
    <t>https://pib.gov.in/newsite/PrintRelease.aspx?relid=133816</t>
  </si>
  <si>
    <t>Brescia</t>
  </si>
  <si>
    <t>https://www.giornaledibrescia.it/brescia-e-hinterland/metrobus-a-brescia-arrivano-71-6-milioni-dal-cipe-1.1130855</t>
  </si>
  <si>
    <t>Airport Express Extension</t>
  </si>
  <si>
    <t>LOHAS Park Spur Line</t>
  </si>
  <si>
    <t>Kowloon Southern Link</t>
  </si>
  <si>
    <t>Naples</t>
  </si>
  <si>
    <t>Line 1 - city center</t>
  </si>
  <si>
    <t>Line 1 airport extension</t>
  </si>
  <si>
    <t>http://silos.infrastrutturestrategiche.it/admin/scheda.aspx?id=1324</t>
  </si>
  <si>
    <t>Line 6 (Mostra-Municipio)</t>
  </si>
  <si>
    <t>http://silos.infrastrutturestrategiche.it/admin/scheda.aspx?id=1317</t>
  </si>
  <si>
    <t>Line 2 -phase 1-2</t>
  </si>
  <si>
    <t>plan</t>
  </si>
  <si>
    <t>https://www.infrato.it/wp-content/uploads/2022/01/2022_1_Presentazione-Linea-2.pdf</t>
  </si>
  <si>
    <t>Hanshin Namba Line</t>
  </si>
  <si>
    <t>https://www.hankyu-hanshin.co.jp/upload/irRelatedInfoEn/15.pdf</t>
  </si>
  <si>
    <t>RS</t>
  </si>
  <si>
    <t>Belgrade</t>
  </si>
  <si>
    <t>Metro Line 1</t>
  </si>
  <si>
    <t>https://www.railwaypro.com/wp/alstom-involved-in-the-belgrade-metro-project/</t>
  </si>
  <si>
    <t>Metro Line 2</t>
  </si>
  <si>
    <t>Gothenburg</t>
  </si>
  <si>
    <t>West Link</t>
  </si>
  <si>
    <t>https://www.trafikverket.se/en/startpage/projects/Railway-construction-projects/The-West-Link-ProjectVastlanken/</t>
  </si>
  <si>
    <t>System to 2012, ex-Neihu</t>
  </si>
  <si>
    <t>Neihu Line</t>
  </si>
  <si>
    <t>https://web.archive.org/web/20160420112521/http://www2.dorts.gov.tw/news/newsletter/ns259/rp259_02.htm</t>
  </si>
  <si>
    <t>Xinyi Line</t>
  </si>
  <si>
    <t>https://www.taipeitimes.com/News/editorials/archives/2013/11/28/2003577823</t>
  </si>
  <si>
    <t>Xinyi Line East Extension</t>
  </si>
  <si>
    <t>https://english.gov.taipei/News_Content.aspx?n=A11F01CFC9F58C83&amp;sms=DFFA119D1FD5602C&amp;s=C36916C73CDB70EA</t>
  </si>
  <si>
    <t>Honolulu</t>
  </si>
  <si>
    <t>HART</t>
  </si>
  <si>
    <t>https://www.hawaiibusiness.com/hart-history-hawaii-rail-project-when-finished-budget/</t>
  </si>
  <si>
    <t>Crenshaw/LAX Line</t>
  </si>
  <si>
    <t>https://la.curbed.com/2019/12/4/20992333/crenshaw-lax-line-opening-map-stops</t>
  </si>
  <si>
    <t>Miami</t>
  </si>
  <si>
    <t>Metrorail extension to MIA</t>
  </si>
  <si>
    <t>https://www.miamidade.gov/transit/improvement-airportlink.asp</t>
  </si>
  <si>
    <t>West Seattle and Ballard</t>
  </si>
  <si>
    <t>https://publicola.com/wp-content/uploads/2021/01/Presentation-Updated-Project-Cost-Estimates-210107.pdf</t>
  </si>
  <si>
    <t>Washington</t>
  </si>
  <si>
    <t>Silver Line</t>
  </si>
  <si>
    <t>Silver Line Phase 1</t>
  </si>
  <si>
    <t>http://www.dullesmetro.com/about-dulles-rail/funding/</t>
  </si>
  <si>
    <t>Silver Line Phase 2</t>
  </si>
  <si>
    <t>https://dcist.com/story/22/07/19/silver-line-cost-additional-250-million/</t>
  </si>
  <si>
    <t>Adana</t>
  </si>
  <si>
    <t>First stage</t>
  </si>
  <si>
    <t>https://www.sabah.com.tr/gundem/2010/05/13/adana_metrosu_hizmete_giriyor</t>
  </si>
  <si>
    <t>M6</t>
  </si>
  <si>
    <t>https://www.uab.gov.tr/uploads/cities/istanbul/34-istanbul.pdf</t>
  </si>
  <si>
    <t>M3 Phase 3</t>
  </si>
  <si>
    <t>https://rayhaber.com/2017/03/basaksehir-kayasehir-metrosu-insaati-ihale-sonucu/,</t>
  </si>
  <si>
    <t>M7 Phase 3</t>
  </si>
  <si>
    <t>https://www.ibb.istanbul/Uploads/2019/10/1.-DOc.DR.PELiN-ALPKoKiN--RAYLI-SiSTEMLERiN-MEVCUT-DURUMU.pdf</t>
  </si>
  <si>
    <t>M9</t>
  </si>
  <si>
    <t>M1A-M1B (LR)</t>
  </si>
  <si>
    <t>100-140</t>
  </si>
  <si>
    <t>Munich</t>
  </si>
  <si>
    <t>Second Trunk Line</t>
  </si>
  <si>
    <t>https://www.2.stammstrecke-muenchen.de/kosten-und-finanzierung.html</t>
  </si>
  <si>
    <t>M1B</t>
  </si>
  <si>
    <t>M4 P4-M10</t>
  </si>
  <si>
    <t>Łódź</t>
  </si>
  <si>
    <t>Cross-City Line</t>
  </si>
  <si>
    <t>https://www.transport-publiczny.pl/mobile/rusza-drazenie-tuneli-w-lodzi-tunele-wykonaja-katarzyna-i-faustyna-67079.html</t>
  </si>
  <si>
    <t>RER D Gare de Lyon-Les Halles</t>
  </si>
  <si>
    <t>http://www.cgedd.developpement-durable.gouv.fr/IMG/pdf/RER_D_ChateletGareLyon_cle776cb1-1.pdf</t>
  </si>
  <si>
    <t>Keelung MRT</t>
  </si>
  <si>
    <t>https://focustaiwan.tw/politics/202202220017</t>
  </si>
  <si>
    <t>Line C to Letnany</t>
  </si>
  <si>
    <t>https://zpravy.aktualne.cz/czk-15bn-prague-metro-extension-ends-in-a-field/r~i:article:630675/</t>
  </si>
  <si>
    <t>Line D</t>
  </si>
  <si>
    <t>https://deutsch.radio.cz/prager-metro-bau-der-neuen-linie-d-nimmt-konturen-8683676</t>
  </si>
  <si>
    <t>U3 to Moosach</t>
  </si>
  <si>
    <t>https://www.u-bahn-muenchen.de/report/baustellenreport/moosach/</t>
  </si>
  <si>
    <t>U5 to Pasing</t>
  </si>
  <si>
    <t>https://www.sueddeutsche.de/muenchen/muenchen-u-bahn-u5-pasing-kosten-1.5475070</t>
  </si>
  <si>
    <t>Catania</t>
  </si>
  <si>
    <t>Galatea-Stesicoro</t>
  </si>
  <si>
    <t>http://silos.infrastrutturestrategiche.it/admin/scheda.aspx?id=1723</t>
  </si>
  <si>
    <t>Borgo-Nesima</t>
  </si>
  <si>
    <t>Nesima-Monte Po</t>
  </si>
  <si>
    <t>Stesicoro-Aeroporto</t>
  </si>
  <si>
    <t>Monte-Po- MisterbiancoCentro</t>
  </si>
  <si>
    <t>Misterbianco Centro-Paterno'</t>
  </si>
  <si>
    <t>Genova</t>
  </si>
  <si>
    <t>Principe - De Ferrari</t>
  </si>
  <si>
    <t>wiki</t>
  </si>
  <si>
    <t>http://www.rivistacorteconti.it/export/sites/rivistaweb/RepositoryPdf/2017/fascicolo_16_2017/30_CDC_gestione_4.pdf</t>
  </si>
  <si>
    <t>De Ferrari - Brignole</t>
  </si>
  <si>
    <t>https://www.gazzettaufficiale.it/atto/serie_generale/caricaDettaglioAtto/originario?atto.dataPubblicazioneGazzetta=2009-11-19&amp;atto.codiceRedazionale=09A13744&amp;elenco30giorni=false</t>
  </si>
  <si>
    <t>Brin-Canepari + Brignole Martinez</t>
  </si>
  <si>
    <t>https://smart.comune.genova.it/articoli/presentato-ai-cittadini-il-progetto-della-nuova-metro-brin-canepari</t>
  </si>
  <si>
    <t>M5 (Bignami Moza)</t>
  </si>
  <si>
    <t>http://allegati.comune.milano.it/trasportiambiente/SportelloUnicoMobilita/LINEAM5.pdf and https://www.camera.it/temiap/temi16/2011scheda[089].pdf</t>
  </si>
  <si>
    <t>M1 (Bisceglie - Baggio)</t>
  </si>
  <si>
    <t>https://www.comune.milano.it/aree-tematiche/mobilita/strade-e-sottosuolo/prolungamento-m1-quartiere-baggio-olmi-valsesia</t>
  </si>
  <si>
    <t>M1 (Sesto FS - Monza Bettola)</t>
  </si>
  <si>
    <t>http://silos.infrastrutturestrategiche.it/admin/scheda.aspx?id=1256      and     https://www.comune.milano.it/detail?docid=015146_2016_158420</t>
  </si>
  <si>
    <t>M2 (Famagosta-Assago)</t>
  </si>
  <si>
    <t>?</t>
  </si>
  <si>
    <t>M3 (Maciachini-Comasina)</t>
  </si>
  <si>
    <t>M1 (Molino Dorino-Rho MilanoFiera)</t>
  </si>
  <si>
    <t>http://silos.infrastrutturestrategiche.it/admin/scheda.aspx?id=1241</t>
  </si>
  <si>
    <t>Line 1 (Piscinola - Dante)</t>
  </si>
  <si>
    <t>https://www.regione.campania.it/assets/documents/delibera-20-2017.pdf</t>
  </si>
  <si>
    <t>MCNE (Piscinola- Aversa)</t>
  </si>
  <si>
    <t>http://silos.infrastrutturestrategiche.it/admin/scheda.aspx?id=1332</t>
  </si>
  <si>
    <t>Line 1/MCNE (Piscinola-Secondigliano)</t>
  </si>
  <si>
    <t>Edmonton</t>
  </si>
  <si>
    <t>Valley Line Southeast</t>
  </si>
  <si>
    <t>https://edmontonjournal.com/news/local-news/long-delayed-1-8-billion-valley-line-lrt-stymied-yet-again</t>
  </si>
  <si>
    <t>Agra</t>
  </si>
  <si>
    <t>Lines 1 and 2</t>
  </si>
  <si>
    <t>https://www.indiatoday.in/india/story/pm-modi-to-virtually-inaugurate-construction-of-rs-8-000-crore-agra-metro-project-on-december-7-1746997-2020-12-05</t>
  </si>
  <si>
    <t>Changzhou</t>
  </si>
  <si>
    <t>http://www.rail-transit.com/project/show.php?itemid=261</t>
  </si>
  <si>
    <t>http://www.rail-transit.com/project/show.php?itemid=41</t>
  </si>
  <si>
    <t>Foshan</t>
  </si>
  <si>
    <t>Guangfo Line</t>
  </si>
  <si>
    <t>http://www.guangfometro.cn/Pages/Company/Default.aspx</t>
  </si>
  <si>
    <t>http://www.rail-transit.com/project/show.php?itemid=650</t>
  </si>
  <si>
    <t>Guilin</t>
  </si>
  <si>
    <t>http://www.rail-transit.com/project/show.php?itemid=278</t>
  </si>
  <si>
    <t>Harbin</t>
  </si>
  <si>
    <t>Line 2 Phase 2 North and South Ext</t>
  </si>
  <si>
    <t>https://web.archive.org/web/20160509075613/http://www.harbin-metro.com/system/20160418/000002978.html</t>
  </si>
  <si>
    <t>Line 1 Phase 4</t>
  </si>
  <si>
    <t>http://www.rail-transit.com/project/show.php?itemid=212</t>
  </si>
  <si>
    <t>See sceenshot</t>
  </si>
  <si>
    <t>http://www.rail-transit.com/project/show.php?itemid=232</t>
  </si>
  <si>
    <t>http://www.gov.cn/jrzg/2005-12/05/content_118066.htm</t>
  </si>
  <si>
    <t>Incheon</t>
  </si>
  <si>
    <t>Line 2 Goyang Extension Project</t>
  </si>
  <si>
    <t>https://www.kgnews.co.kr/mobile/article.html?no=674722</t>
  </si>
  <si>
    <t>http://www.incheonnews.com/news/articleView.html?idxno=86652</t>
  </si>
  <si>
    <t>Jiaxing</t>
  </si>
  <si>
    <t>Hujia Regional Railway (Zhejiang section)</t>
  </si>
  <si>
    <t>http://www.rail-transit.com/project/show.php?itemid=379</t>
  </si>
  <si>
    <t>Kanpur</t>
  </si>
  <si>
    <t>Line 1 and 2</t>
  </si>
  <si>
    <t>https://timesofindia.indiatimes.com/city/kanpur/first-train-set-for-kanpur-metro-project-rolls-out-from-gujarats-savli/articleshow/86322835.cms</t>
  </si>
  <si>
    <t>Patna</t>
  </si>
  <si>
    <t>https://timesofindia.indiatimes.com/city/patna/patna-metro-rail-project-awaits-funds-from-japan-agency/articleshow/88284432.cms</t>
  </si>
  <si>
    <t>Pune</t>
  </si>
  <si>
    <t>https://timesofindia.indiatimes.com/city/pune/98-of-land-acquired-for-pmrda-metro-line-project-start-date-soon/articleshow/85723503.cms</t>
  </si>
  <si>
    <t>https://indianexpress.com/article/cities/pune/pune-maha-metro-pmc-7154473/</t>
  </si>
  <si>
    <t>Putian</t>
  </si>
  <si>
    <t>F2 Line</t>
  </si>
  <si>
    <t>http://www.rail-transit.com/project/show.php?itemid=532</t>
  </si>
  <si>
    <t>Shaoxing</t>
  </si>
  <si>
    <t>Hangshao Line</t>
  </si>
  <si>
    <t>http://www.ce.cn/cysc/jtys/tielu/202102/02/t20210202_36283657.shtml</t>
  </si>
  <si>
    <t>http://www.rail-transit.com/project/show.php?itemid=259</t>
  </si>
  <si>
    <t>Shijiazhuang</t>
  </si>
  <si>
    <t>http://www.rail-transit.com/project/show.php?itemid=572</t>
  </si>
  <si>
    <t>http://www.rail-transit.com/project/show.php?itemid=573</t>
  </si>
  <si>
    <t>Surat</t>
  </si>
  <si>
    <t>https://indianexpress.com/article/cities/surat/tenders-worth-rs-3002-cr-awarded-work-for-phase-1-of-surat-metro-begins-7511571/</t>
  </si>
  <si>
    <t>S3 Phase 1</t>
  </si>
  <si>
    <t>Wuxi</t>
  </si>
  <si>
    <t>http://www.rail-transit.com/project/show.php?itemid=234</t>
  </si>
  <si>
    <t>http://www.rail-transit.com/project/show.php?itemid=100</t>
  </si>
  <si>
    <t>http://m.thepaper.cn/kuaibao_detail.jsp?contid=4947698&amp;from=kuaibao</t>
  </si>
  <si>
    <t>https://kns.cnki.net/kcms/detail/detail.aspx?filename=XDGD201501028&amp;dbname=cjfdtotal&amp;dbcode=CJFD&amp;v=MTkxNjl6c09UM2lRclJjekZyQ1VSN2lmWStSc0Z5N25Vci9CUFNuTWFyRzRIOVRNcm85SGJJUjZEZzgvemhZVTc=</t>
  </si>
  <si>
    <t>Line 1 South</t>
  </si>
  <si>
    <t>http://www.rail-transit.com/project/show.php?itemid=308</t>
  </si>
  <si>
    <t>Wuxi-Yixing Intercity</t>
  </si>
  <si>
    <t>https://www.seetao.com/details/158417.html</t>
  </si>
  <si>
    <t>https://www.audit.gov.cn/n4/n19/c45720/content.html</t>
  </si>
  <si>
    <t>http://www.rail-transit.com/project/show.php?itemid=283</t>
  </si>
  <si>
    <t>Yiwu</t>
  </si>
  <si>
    <t>Phase 1 Program</t>
  </si>
  <si>
    <t>http://www.rail-transit.com/project/show.php?itemid=78</t>
  </si>
  <si>
    <t>Zibo</t>
  </si>
  <si>
    <t>http://www.rail-transit.com/project/show.php?itemid=117</t>
  </si>
  <si>
    <t>http://fs.fccs.com/news/6022708.html</t>
  </si>
  <si>
    <t>https://www.ndrc.gov.cn/xxgk/zcfb/pifu/202101/t20210126_1316566.html?code=&amp;state=123</t>
  </si>
  <si>
    <t>https://3g.163.com/dy/article/EBK3L3990525EER4.html</t>
  </si>
  <si>
    <t>http://www.rail-transit.com/project/show.php?itemid=240</t>
  </si>
  <si>
    <t>rail-transit.com/project/show.php?itemid=649</t>
  </si>
  <si>
    <t>Dalian</t>
  </si>
  <si>
    <t>http://www.rail-transit.com/project/show.php?itemid=163</t>
  </si>
  <si>
    <t>http://www.rail-transit.com/project/show.php?itemid=609</t>
  </si>
  <si>
    <t>Line 1 South Extension</t>
  </si>
  <si>
    <t>https://www.sohu.com/a/417789253_410388</t>
  </si>
  <si>
    <t>F1 Express Line</t>
  </si>
  <si>
    <t>https://new.qq.com/omn/20210613/20210613A08PZJ00.html</t>
  </si>
  <si>
    <t>Line 2 East Extension</t>
  </si>
  <si>
    <t>https://xm.leju.com/news/2020-07-10/14296687241366554352613.shtml</t>
  </si>
  <si>
    <t>http://fgw.fuzhou.gov.cn/zz/fgwzwgk/tzgg/201804/t20180428_2189534.htm</t>
  </si>
  <si>
    <t>http://www.fzmtr.com/cms/pages/680468206126290000/attachments/%E9%99%84%E4%BB%B63%EF%BC%9A%E7%A6%8F%E5%B7%9E%E5%B8%82%E8%BD%A8%E9%81%93%E4%BA%A4%E9%80%9A1%E5%8F%B7%E7%BA%BF%E5%B7%A5%E7%A8%8B%EF%BC%88%E4%B8%80%E6%9C%9F%EF%BC%89%E5%8C%97%E6%AE%B5%E5%8F%8A%E5%85%A8%E7%BA%BF%E7%AB%A3%E5%B7%A5%E7%8E%AF%E5%A2%83%E4%BF%9D%E6%8A%A4%E9%AA%8C%E6%94%B6%E4%BC%9A%E9%AA%8C%E6%94%B6%E6%84%8F%E8%A7%81.pdf</t>
  </si>
  <si>
    <t>Hohhot</t>
  </si>
  <si>
    <t>http://www.rail-transit.com/project/show.php?itemid=202</t>
  </si>
  <si>
    <t>Huizhou</t>
  </si>
  <si>
    <t>http://www.rail-transit.com/project/show.php?itemid=230</t>
  </si>
  <si>
    <t>Jinan</t>
  </si>
  <si>
    <t>http://www.rail-transit.com/project/show.php?itemid=239</t>
  </si>
  <si>
    <t>http://m.iqilu.com/pcarticle/4545295</t>
  </si>
  <si>
    <t>rail-transit.com/project/show.php?itemid=228</t>
  </si>
  <si>
    <t>http://www.rail-transit.com/project/show.php?itemid=617</t>
  </si>
  <si>
    <t>Luoyang</t>
  </si>
  <si>
    <t>http://www.rail-transit.com/project/show.php?itemid=164</t>
  </si>
  <si>
    <t>Ningbo</t>
  </si>
  <si>
    <t>Ningbo-Fenghua Line</t>
  </si>
  <si>
    <t>http://www.rail-transit.com/project/show.php?itemid=282</t>
  </si>
  <si>
    <t>http://www.rail-transit.com/project/show.php?itemid=554</t>
  </si>
  <si>
    <t>http://www.rail-transit.com/project/show.php?itemid=273</t>
  </si>
  <si>
    <t>2013-2020 Program</t>
  </si>
  <si>
    <t>http://www.cnnb.com.cn/dwhzlm/system/2013/11/15/007905106.shtml</t>
  </si>
  <si>
    <t>http://www.rail-transit.com/project/show.php?itemid=236</t>
  </si>
  <si>
    <t>http://www.rail-transit.com/project/show.php?itemid=503</t>
  </si>
  <si>
    <t>http://www.rail-transit.com/project/show.php?itemid=320</t>
  </si>
  <si>
    <t>promeechina.com/newsinfo.html?id=27</t>
  </si>
  <si>
    <t>Qingdao</t>
  </si>
  <si>
    <t>http://www.sasac.gov.cn/n2588025/n2588124/c8918136/content.html</t>
  </si>
  <si>
    <t>http://sd.sina.com.cn/news/2018-04-12/detail-ifyzeyqa8611820.shtml</t>
  </si>
  <si>
    <t>Qingdao-Pingdu Intercity Rail</t>
  </si>
  <si>
    <t>http://www.rail-transit.com/project/show.php?itemid=140</t>
  </si>
  <si>
    <t>Line 8 Branch</t>
  </si>
  <si>
    <t>https://zfxxgk.ndrc.gov.cn/web/iteminfo.jsp?id=18249</t>
  </si>
  <si>
    <t>http://www.rail-transit.com/project/show.php?itemid=187</t>
  </si>
  <si>
    <t>Line 6 Phase 2 South</t>
  </si>
  <si>
    <t>http://www.rail-transit.com/project/show.php?itemid=725</t>
  </si>
  <si>
    <t>http://www.rail-transit.com/project/show.php?itemid=400</t>
  </si>
  <si>
    <t>Line 1 + Line 7 Phase 1</t>
  </si>
  <si>
    <t>http://www.rail-transit.com/project/show.php?itemid=229</t>
  </si>
  <si>
    <t>http://www.rail-transit.com/project/show.php?itemid=450</t>
  </si>
  <si>
    <t>http://www.rail-transit.com/project/show.php?itemid=726</t>
  </si>
  <si>
    <t>https://ditie.mapbar.com/qingdao/news/37965.html</t>
  </si>
  <si>
    <t>Line 2 Phase 2 East Section</t>
  </si>
  <si>
    <t>http://www.rail-transit.com/project/show.php?itemid=668</t>
  </si>
  <si>
    <t>http://www.rail-transit.com/project/show.php?itemid=669</t>
  </si>
  <si>
    <t>Urumqi</t>
  </si>
  <si>
    <t>http://www.rail-transit.com/project/show.php?itemid=195</t>
  </si>
  <si>
    <t>http://www.rail-transit.com/project/show.php?itemid=130</t>
  </si>
  <si>
    <t>http://www.rail-transit.com/project/show.php?itemid=428</t>
  </si>
  <si>
    <t>https://web.archive.org/web/20191106163139/http://www.bjgdjs.com/html/2019-09/797.html</t>
  </si>
  <si>
    <t>http://www.rail-transit.com/project/show.php?itemid=391</t>
  </si>
  <si>
    <t>Phase 1 Expansion (Line 1 and 2)</t>
  </si>
  <si>
    <t>http://www.jiangxi.gov.cn/art/2018/8/16/art_4985_350163.html</t>
  </si>
  <si>
    <t>Wuming Line</t>
  </si>
  <si>
    <t>http://www.rail-transit.com/project/show.php?itemid=587</t>
  </si>
  <si>
    <t>Airport Line</t>
  </si>
  <si>
    <t>http://www.rail-transit.com/project/show.php?itemid=524</t>
  </si>
  <si>
    <t>Nantong</t>
  </si>
  <si>
    <t>http://www.rail-transit.com/project/show.php?itemid=56</t>
  </si>
  <si>
    <t>http://www.rail-transit.com/project/show.php?itemid=339</t>
  </si>
  <si>
    <t>Sinbundang Phase 3 Section 1</t>
  </si>
  <si>
    <t>engdaily.com/news/articleView.html?idxno=14873</t>
  </si>
  <si>
    <t>Sinbundang Phase 3 Section 2</t>
  </si>
  <si>
    <t>Sinbundang Phase 3 Section 3</t>
  </si>
  <si>
    <t>Sillim Light Metro</t>
  </si>
  <si>
    <t>https://www.donga.com/news/Society/article/all/20201227/104655671/1</t>
  </si>
  <si>
    <t>Ui Light Metro</t>
  </si>
  <si>
    <t>http://m.ufnews.co.kr/main/sub_news_detail.html?wr_id=4725</t>
  </si>
  <si>
    <t>GTX A</t>
  </si>
  <si>
    <t>https://biz.chosun.com/policy/policy_sub/2021/10/05/EY5IMDNIDZAGHLQO7KIGLMGBQQ/</t>
  </si>
  <si>
    <t>Jinjeop Line</t>
  </si>
  <si>
    <t>https://www.yna.co.kr/view/AKR20220112075600060</t>
  </si>
  <si>
    <t>Sin Ansan Line</t>
  </si>
  <si>
    <t>https://www.yna.co.kr/view/AKR20190822028500003</t>
  </si>
  <si>
    <t>Line 5 Hanam Line</t>
  </si>
  <si>
    <t>https://www.mk.co.kr/news/society/view/2021/03/266810/</t>
  </si>
  <si>
    <t>https://www.researchgate.net/publication/270429893_Delivery_of_subway_line_9_in_Seoul_South_Korea_-_lessons_in_public-private_partnering</t>
  </si>
  <si>
    <t>Line 7 Extension 2</t>
  </si>
  <si>
    <t>http://www.incheonin.com/news/articleView.html?idxno=86255</t>
  </si>
  <si>
    <t>Line 9 Phase 4</t>
  </si>
  <si>
    <t>http://www.redaily.co.kr/news/articleView.html?idxno=571</t>
  </si>
  <si>
    <t>https://m.moneys.mt.co.kr/article.html?no=2016012815008069876</t>
  </si>
  <si>
    <t>http://www.rail-transit.com/project/show.php?itemid=179</t>
  </si>
  <si>
    <t>http://www.rail-transit.com/project/show.php?itemid=194</t>
  </si>
  <si>
    <t>http://www.rail-transit.com/project/show.php?itemid=216</t>
  </si>
  <si>
    <t>https://sy.leju.com/news/2021-10-25/16496858323734529623540.shtml</t>
  </si>
  <si>
    <t>http://www.rail-transit.com/project/show.php?itemid=196</t>
  </si>
  <si>
    <t>https://www.ndrc.gov.cn/fggz/zcssfz/zcgh/201601/W020190910670584360634.pdf</t>
  </si>
  <si>
    <t>http://www.rail-transit.com/project/show.php?itemid=226</t>
  </si>
  <si>
    <t>First</t>
  </si>
  <si>
    <t>http://www.gov.cn/jrzg/2012-09/28/content_2235330.htm</t>
  </si>
  <si>
    <t>Jinzhong-Taiyuan Intercity</t>
  </si>
  <si>
    <t>http://www.rail-transit.com/project/show.php?itemid=120</t>
  </si>
  <si>
    <t>http://www.rail-transit.com/project/show.php?itemid=260</t>
  </si>
  <si>
    <t>Taizhou</t>
  </si>
  <si>
    <t>Line S2</t>
  </si>
  <si>
    <t>Line S2 South Segment</t>
  </si>
  <si>
    <t>http://www.rail-transit.com/project/show.php?itemid=711</t>
  </si>
  <si>
    <t>Line S2 West Segment</t>
  </si>
  <si>
    <t>http://www.zjtz.gov.cn/art/2021/8/25/art_1229049733_59046724.html</t>
  </si>
  <si>
    <t>https://www.cpppc.org/zhejiang/1001654.jhtml</t>
  </si>
  <si>
    <t>http://www.rail-transit.com/project/show.php?itemid=251</t>
  </si>
  <si>
    <t>First Phase Program (Lines 1, 2 and 3)</t>
  </si>
  <si>
    <t>http://www.ciecc.com.cn/art/2013/3/8/art_1599_30934.html</t>
  </si>
  <si>
    <t>https://new.qq.com/omn/20190117/20190117A1GO47.html</t>
  </si>
  <si>
    <t>http://www.rail-transit.com/project/show.php?itemid=295</t>
  </si>
  <si>
    <t>https://jiaotongbk.com/n6/201691.html</t>
  </si>
  <si>
    <t>http://www.rail-transit.com/project/show.php?itemid=264</t>
  </si>
  <si>
    <t>http://www.rail-transit.com/project/show.php?itemid=243</t>
  </si>
  <si>
    <t>http://news.sina.com.cn/o/2010-12-29/033421723553.shtml</t>
  </si>
  <si>
    <t>http://news.cctv.com/society/20090323/106184.shtml</t>
  </si>
  <si>
    <t>Zhengxu Regional</t>
  </si>
  <si>
    <t>Zhengxu Regional Rail (Xucheng Section)</t>
  </si>
  <si>
    <t>http://www.rail-transit.com/project/show.php?itemid=143</t>
  </si>
  <si>
    <t>Zhengxu Regional Rail (Zhengzhou Section)</t>
  </si>
  <si>
    <t>http://www.rail-transit.com/project/show.php?itemid=141</t>
  </si>
  <si>
    <t>https://www.163.com/dy/article/GDQSS29P0530L2T3.html</t>
  </si>
  <si>
    <t>http://www.rail-transit.com/project/show.php?itemid=192</t>
  </si>
  <si>
    <t>Yanfang Branch</t>
  </si>
  <si>
    <t>http://www.rail-transit.com/project/show.php?itemid=525</t>
  </si>
  <si>
    <t>http://politics.people.com.cn/n/2014/1105/c70731-25980932.html</t>
  </si>
  <si>
    <t>Line M101</t>
  </si>
  <si>
    <t>https://web.archive.org/web/20220515142603/https://www.rails.cn/download/2022/20220418_%E9%99%84%E4%BB%B61%EF%BC%9A%E5%8C%97%E4%BA%AC%E8%BD%A8%E9%81%93%E4%BA%A4%E9%80%9AM101%E7%BA%BF%E4%B8%80%E6%9C%9F%E5%B7%A5%E7%A8%8B%E7%8E%AF%E5%A2%83%E5%BD%B1%E5%93%8D%E6%8A%A5%E5%91%8A%E4%B9%A6%EF%BC%88%E5%BE%81%E6%B1%82%E6%84%8F%E8%A7%81%E7%A8%BF%EF%BC%89.pdf</t>
  </si>
  <si>
    <t>New Beihu Line</t>
  </si>
  <si>
    <t>https://zfxxgk.ndrc.gov.cn/web/iteminfo.jsp?id=320</t>
  </si>
  <si>
    <t>http://www.rail-transit.com/project/show.php?itemid=231</t>
  </si>
  <si>
    <t>http://www.chinanews.com/gn/news/2009/02-11/1558424.shtml</t>
  </si>
  <si>
    <t>http://www.hncsmtr.com/jsdt/gcgk/2033/14944654790008899_1.html</t>
  </si>
  <si>
    <t>https://www.sohu.com/a/237588900_683466</t>
  </si>
  <si>
    <t>Line 2 West Extension Phase 2</t>
  </si>
  <si>
    <t>http://www.rail-transit.com/project/show.php?itemid=501</t>
  </si>
  <si>
    <t>Line S3</t>
  </si>
  <si>
    <t>http://www.rail-transit.com/project/show.php?itemid=540</t>
  </si>
  <si>
    <t>Line S5</t>
  </si>
  <si>
    <t>https://www.163.com/dy/article/HFCE3KEU05149A02.html</t>
  </si>
  <si>
    <t>https://www.12369zb.com/view/482/MUlxBX4B4pnqPFb2iCfa.html</t>
  </si>
  <si>
    <t>https://www.ndrc.gov.cn/fggz/zcssfz/zdgc/201505/t20150518_1146000.html</t>
  </si>
  <si>
    <t>Line 18 Phase 1 and 2</t>
  </si>
  <si>
    <t>http://www.rail-transit.com/project/show.php?itemid=291</t>
  </si>
  <si>
    <t>Line 5 Phase 1 and 2 (redesign)</t>
  </si>
  <si>
    <t>Line 17 Phase 1</t>
  </si>
  <si>
    <t>http://www.rail-transit.com/project/show.php?itemid=76</t>
  </si>
  <si>
    <t>https://www.163.com/dy/article/DPVGIOAD0514MG5I.html</t>
  </si>
  <si>
    <t>Line 3 Phase 3 (redesign)</t>
  </si>
  <si>
    <t>Bishan-Tongliang Line</t>
  </si>
  <si>
    <t>http://www.rail-transit.com/project/show.php?itemid=412</t>
  </si>
  <si>
    <t>https://www.sohu.com/a/392594635_120388781</t>
  </si>
  <si>
    <t>http://www.rail-transit.com/shiping/show.php?itemid=869</t>
  </si>
  <si>
    <t>Jiangjin Line</t>
  </si>
  <si>
    <t>Jiangjin Line South Extension</t>
  </si>
  <si>
    <t>http://ghzrzyj.cq.gov.cn/zwxx_186/mtgz/202208/t20220803_10975207.html</t>
  </si>
  <si>
    <t>http://www.rail-transit.com/project/show.php?itemid=399</t>
  </si>
  <si>
    <t>http://m.xinhuanet.com/cq/2019-01/27/c_1124047880.htm</t>
  </si>
  <si>
    <t>Line 17 (redesign) Phase 1</t>
  </si>
  <si>
    <t>http://www.rail-transit.com/project/show.php?itemid=519</t>
  </si>
  <si>
    <t>Line 18 Phase 2</t>
  </si>
  <si>
    <t>http://fzggw.cq.gov.cn/zwgk/zfxxgkml/sphzbaxx/202009/t20200930_7937966_wap.html</t>
  </si>
  <si>
    <t>https://www.sohu.com/a/516618507_120388781</t>
  </si>
  <si>
    <t>Line 27</t>
  </si>
  <si>
    <t>http://www.rail-transit.com/project/show.php?itemid=457</t>
  </si>
  <si>
    <t>http://fzggw.cq.gov.cn/zwgk/zfxxgkml/sphzbaxx/202011/t20201103_8406228_wap.html</t>
  </si>
  <si>
    <t>Line 15 Phase 2</t>
  </si>
  <si>
    <t>http://www.rail-transit.com/project/show.php?itemid=693</t>
  </si>
  <si>
    <t>http://www.rail-transit.com/project/show.php?itemid=456</t>
  </si>
  <si>
    <t>http://www.rail-transit.com/shiping/show.php?itemid=958</t>
  </si>
  <si>
    <t>Line 24 Phase 1</t>
  </si>
  <si>
    <t>http://www.rail-transit.com/project/show.php?itemid=521</t>
  </si>
  <si>
    <t>http://news.sohu.com/20070609/n250475902.shtml</t>
  </si>
  <si>
    <t>http://www.gov.cn/jrzg/2011-09/29/content_1959823.htm</t>
  </si>
  <si>
    <t>http://news.sina.com.cn/o/2005-06-15/11406180055s.shtml</t>
  </si>
  <si>
    <t>https://m.sohu.com/n/384104755/</t>
  </si>
  <si>
    <t>Line 4 West extension</t>
  </si>
  <si>
    <t>http://www.rail-transit.com/project/show.php?itemid=517</t>
  </si>
  <si>
    <t>http://fzggw.cq.gov.cn/zwgk/zfxxgkml/sphzbaxx/202010/t20201010_7947213_wap.html</t>
  </si>
  <si>
    <t>Line 6 East Extension</t>
  </si>
  <si>
    <t>https://www.ndrc.gov.cn/fggz/zcssfz/zdgc/201209/t20120905_1145857.html</t>
  </si>
  <si>
    <t>https://m.21jingji.com/article/20201209/herald/7d218ef3f8835e2e9df093c805e45652.html</t>
  </si>
  <si>
    <t>Line 14 Branch</t>
  </si>
  <si>
    <t>http://district.ce.cn/newarea/roll/201503/17/t20150317_4847921.shtml</t>
  </si>
  <si>
    <t>Line 4 South Extension</t>
  </si>
  <si>
    <t>http://mee.gov.cn/ywgz/hjyxpj/jsxmhjyxpj/xmslqk/201605/W020160522150689146882.pdf</t>
  </si>
  <si>
    <t>https://www.sohu.com/a/351491006_124706</t>
  </si>
  <si>
    <t>http://drc.gd.gov.cn/zdxm5665/content/post_851139.html</t>
  </si>
  <si>
    <t>http://news.sina.com.cn/c/2007-09-06/013313825648.shtml</t>
  </si>
  <si>
    <t>Line 6 Phase 3</t>
  </si>
  <si>
    <t>http://drc.gd.gov.cn/zdxm5665/content/post_851371.html</t>
  </si>
  <si>
    <t>http://www.gz.gov.cn/zwgk/zdxm/2012n/content/post_2847743.html</t>
  </si>
  <si>
    <t>Line 2 and 8 Extension</t>
  </si>
  <si>
    <t>https://www.ndrc.gov.cn/fzggw/jgsj/tzs/sjdt/200706/t20070622_1192155.html</t>
  </si>
  <si>
    <t>Line 8 Eastern Extension</t>
  </si>
  <si>
    <t>https://new.qq.com/omn/20210623/20210623A096ZY00.html</t>
  </si>
  <si>
    <t>https://news.dayoo.com/guangzhou/202011/02/139995_53631830.htm</t>
  </si>
  <si>
    <t>Line 18 North</t>
  </si>
  <si>
    <t>http://www.rail-transit.com/project/show.php?itemid=619</t>
  </si>
  <si>
    <t>http://www.rail-transit.com/project/show.php?itemid=87</t>
  </si>
  <si>
    <t>Nansha-Zhuhai (Zhongshan) intercity or Line 18</t>
  </si>
  <si>
    <t>http://gd.people.com.cn/n2/2020/0805/c123932-34206133.html</t>
  </si>
  <si>
    <t>Line 22 Northern Extension</t>
  </si>
  <si>
    <t>http://www.rail-transit.com/project/show.php?itemid=294</t>
  </si>
  <si>
    <t>Hangzhou-Haining Line</t>
  </si>
  <si>
    <t>http://www.rail-transit.com/project/show.php?itemid=249</t>
  </si>
  <si>
    <t>Hanglin LIne</t>
  </si>
  <si>
    <t>Hanglin Line (Hangzhou Section)</t>
  </si>
  <si>
    <t>http://www.rail-transit.com/project/show.php?itemid=89</t>
  </si>
  <si>
    <t>Hanglin Line (Lin'an Section)</t>
  </si>
  <si>
    <t>Line 2 Phase 1 Xiaoshan section</t>
  </si>
  <si>
    <t>http://zzhz.zjol.com.cn/05zzhz/system/2008/09/29/009985997.shtml</t>
  </si>
  <si>
    <t>K1 Airport Line</t>
  </si>
  <si>
    <t>http://www.rail-transit.com/project/show.php?itemid=116</t>
  </si>
  <si>
    <t>Line 3 North Extension</t>
  </si>
  <si>
    <t>http://www.rail-transit.com/project/show.php?itemid=351</t>
  </si>
  <si>
    <t>Hangfu Line</t>
  </si>
  <si>
    <t>http://www.rail-transit.com/project/show.php?itemid=286</t>
  </si>
  <si>
    <t>Line 5 Phase 2 West</t>
  </si>
  <si>
    <t>http://www.rail-transit.com/project/show.php?itemid=270</t>
  </si>
  <si>
    <t>Line 2 Phase 1 (redesign)</t>
  </si>
  <si>
    <t>https://fzggw.zj.gov.cn/art/2017/7/6/art_1599553_30290528.html</t>
  </si>
  <si>
    <t>http://zj.cnr.cn/hzbb/20141013/t20141013_516587545.shtml</t>
  </si>
  <si>
    <t>http://117.149.20.102/zjgcjy/InfoDetail/?InfoID=8a06b8de-a13d-4102-9c58-df3858d9e226&amp;CategoryNum=004001001</t>
  </si>
  <si>
    <t>http://www.rail-transit.com/project/show.php?itemid=301</t>
  </si>
  <si>
    <t>http://www.rail-transit.com/project/show.php?itemid=313</t>
  </si>
  <si>
    <t>https://www.cssglw.com/news/635201059257656250.html</t>
  </si>
  <si>
    <t>http://www.rail-transit.com/project/show.php?itemid=713</t>
  </si>
  <si>
    <t>Hefei-Lu'an Regional Express Line</t>
  </si>
  <si>
    <t>http://www.rail-transit.com/project/show.php?itemid=66</t>
  </si>
  <si>
    <t>http://www.rail-transit.com/project/show.php?itemid=307</t>
  </si>
  <si>
    <t>http://www.rail-transit.com/project/show.php?itemid=706</t>
  </si>
  <si>
    <t>http://www.rail-transit.com/project/show.php?itemid=167</t>
  </si>
  <si>
    <t>Line S2 Nanjing-Ma'anshan</t>
  </si>
  <si>
    <t>Line S2 Nanjing-Ma'anshan Regional Rail (Anhui section)</t>
  </si>
  <si>
    <t>http://www.rail-transit.com/project/show.php?itemid=605</t>
  </si>
  <si>
    <t>Line S8 Phase 2</t>
  </si>
  <si>
    <t>https://m.jiemian.com/article/2611638.html</t>
  </si>
  <si>
    <t>https://news.sina.com.tw/article/20140812/13098521.html</t>
  </si>
  <si>
    <t>https://kmcha.com/similar/%E5%AF%A7%E5%A4%A9%E5%9F%8E%E9%9A%9B%E8%BB%8C%E9%81%93</t>
  </si>
  <si>
    <t>Line S4 Nanjing-Chuzhou</t>
  </si>
  <si>
    <t>Line S4 Nanjing-Chuzhou Phase 1 (Chuzhou Section)</t>
  </si>
  <si>
    <t>http://www.rail-transit.com/project/show.php?itemid=347</t>
  </si>
  <si>
    <t>http://www.xhby.net/nj/yw/202107/t20210707_7149440.shtml</t>
  </si>
  <si>
    <t>Line S4 Nanjing-Chuzhou Phase 2 (Chuzhou Section)</t>
  </si>
  <si>
    <t>http://www.rail-transit.com/project/show.php?itemid=435</t>
  </si>
  <si>
    <t>Line S4 Nanjing-Chuzhou Phase 2 (Nanjing Section)</t>
  </si>
  <si>
    <t>http://www.rail-transit.com/project/show.php?itemid=610</t>
  </si>
  <si>
    <t>Line S3 Nanjing-He County</t>
  </si>
  <si>
    <t>http://www.rail-transit.com/project/show.php?itemid=727</t>
  </si>
  <si>
    <t>Line S5 Nanjing-Yangzhou</t>
  </si>
  <si>
    <t>http://www.rail-transit.com/project/show.php?itemid=568</t>
  </si>
  <si>
    <t>http://www.jshbgz.cn/hpgs/202102/t20210207_451424.html</t>
  </si>
  <si>
    <t>Line S2 Nanjing-Ma'anshan Regional Rail (Nanjing section)</t>
  </si>
  <si>
    <t>http://www.rail-transit.com/project/show.php?itemid=647</t>
  </si>
  <si>
    <t>http://www.zgjssw.gov.cn/shixianchuanzhen/nanjing/202102/t20210209_6976410.shtml</t>
  </si>
  <si>
    <t>https://www.163.com/dy/article/EDJQN1JG0511K4OT.html</t>
  </si>
  <si>
    <t>http://www.gov.cn/jrzg/2005-12/28/content_140207.htm</t>
  </si>
  <si>
    <t>https://www.chinanews.com.cn/n/2003-01-14/26/263383.html</t>
  </si>
  <si>
    <t>Line S6</t>
  </si>
  <si>
    <t>http://www.rail-transit.com/project/show.php?itemid=145</t>
  </si>
  <si>
    <t>https://news.suning.com/wtoutiao/witem2_5470123473.html</t>
  </si>
  <si>
    <t>https://kknews.cc/society/va42lel.html</t>
  </si>
  <si>
    <t>http://gx.sina.com.cn/news/gx/2014-01-01/00277609.html?from=gx_cnxh</t>
  </si>
  <si>
    <t>Line 12 West Extension</t>
  </si>
  <si>
    <t>seetao.com/details/179710.html</t>
  </si>
  <si>
    <t>http://www.rail-transit.com/project/show.php?itemid=281</t>
  </si>
  <si>
    <t>Line 1 and 2 Phase 1</t>
  </si>
  <si>
    <t>http://www.symtc.com/content.php?5894</t>
  </si>
  <si>
    <t>Shenhui</t>
  </si>
  <si>
    <t>Shenhui Dapeng Branch ICR</t>
  </si>
  <si>
    <t>http://www.rail-transit.com/project/show.php?itemid=545</t>
  </si>
  <si>
    <t>Guangzhou-Dongguan-Shenzhen Regional Rail South Extension</t>
  </si>
  <si>
    <t>http://www.rail-transit.com/project/show.php?itemid=541</t>
  </si>
  <si>
    <t>Shenhui Mainline ICR</t>
  </si>
  <si>
    <t>http://drc.gd.gov.cn/xmgs/content/post_3719459.html</t>
  </si>
  <si>
    <t>http://www.rail-transit.com/project/show.php?itemid=299</t>
  </si>
  <si>
    <t>Line 3 Phase 3 North Ext</t>
  </si>
  <si>
    <t>https://www.ndrc.gov.cn/fggz/zcssfz/zcgh/201509/W020190910670552487617.pdf</t>
  </si>
  <si>
    <t>Line 3 Phase 3 North Ext (Phase 4)</t>
  </si>
  <si>
    <t>https://zfxxgk.ndrc.gov.cn/web/iteminfo.jsp?id=16961</t>
  </si>
  <si>
    <t>Line 5 West Extension</t>
  </si>
  <si>
    <t>http://www.rail-transit.com/project/show.php?itemid=346</t>
  </si>
  <si>
    <t>Phase 1 Expansion (Line 1 and 4)</t>
  </si>
  <si>
    <t>https://www.szmc.net/jituagaikuang/tourongziyewu/tourongziqingkuang/</t>
  </si>
  <si>
    <t>http://www.rail-transit.com/project/show.php?itemid=293</t>
  </si>
  <si>
    <t>http://www.tranbbs.com/Advisory/Rail/Advisory_84459.shtml</t>
  </si>
  <si>
    <t>http://www.rail-transit.com/project/show.php?itemid=574</t>
  </si>
  <si>
    <t>Line 11 Phase 3 Hanchang Section</t>
  </si>
  <si>
    <t>Line 11 Phase 3 Hanyang Section</t>
  </si>
  <si>
    <t>https://m.sohu.com/n/339227064/?v=3</t>
  </si>
  <si>
    <t>Wuhu</t>
  </si>
  <si>
    <t>http://www.rail-transit.com/project/show.php?itemid=106</t>
  </si>
  <si>
    <t>http://www.rail-transit.com/project/show.php?itemid=109</t>
  </si>
  <si>
    <t>http://www.rail-transit.com/xinwen/show.php?itemid=23315</t>
  </si>
  <si>
    <t>http://www.rail-transit.com/project/show.php?itemid=314</t>
  </si>
  <si>
    <t>http://www.rail-transit.com/project/show.php?itemid=110</t>
  </si>
  <si>
    <t>https://www.ndrc.gov.cn/xxgk/zcfb/ghwb/201602/t20160218_962174.html</t>
  </si>
  <si>
    <t>http://chinawestern.org/xbfz/jcss/3635.html</t>
  </si>
  <si>
    <t>http://xa.bendibao.com/traffic/2014913/45825.shtm</t>
  </si>
  <si>
    <t>http://www.rail-transit.com/project/show.php?itemid=244</t>
  </si>
  <si>
    <t>Line 6 Phase 1 and 2</t>
  </si>
  <si>
    <t>http://www.rail-transit.com/project/show.php?itemid=276</t>
  </si>
  <si>
    <t>https://www.ndrc.gov.cn/fzggw/jgsj/zcs/sjdt/201401/t20140102_1145411.html</t>
  </si>
  <si>
    <t>http://www.rail-transit.com/project/show.php?itemid=290</t>
  </si>
  <si>
    <t>http://www.shaanxi.gov.cn/xw/sxyw/201309/t20130915_1497525.html</t>
  </si>
  <si>
    <t>https://www.sohu.com/a/110615261_160914</t>
  </si>
  <si>
    <t>http://news.hsw.cn/system/2016/1102/522665.shtml</t>
  </si>
  <si>
    <t>Quanzhou-Xiamen-Zhangzhou Regional Rail R1</t>
  </si>
  <si>
    <t>Quanzhou-Xiamen-Zhangzhou Regional Rail R1 (Zhangzhou Section)</t>
  </si>
  <si>
    <t>http://www.rail-transit.com/project/show.php?itemid=622</t>
  </si>
  <si>
    <t>Line 4 (Houxi to Xiang'an Airport)</t>
  </si>
  <si>
    <t>http://www.rail-transit.com/project/show.php?itemid=221</t>
  </si>
  <si>
    <t>Quanzhou-Xiamen-Zhangzhou Regional Rail R1 (Xiamen Section)</t>
  </si>
  <si>
    <t>https://www.ndrc.gov.cn/fggz/zcssfz/zdgc/201209/t20120905_1145854.html</t>
  </si>
  <si>
    <t>http://news.sina.com.cn/c/nd/2017-12-27/doc-ifyqchnr6264675.shtml</t>
  </si>
  <si>
    <t>http://www.rail-transit.com/project/show.php?itemid=658</t>
  </si>
  <si>
    <t>Quanzhou-Xiamen-Zhangzhou Regional Rail R1 (Quanzhou Section)</t>
  </si>
  <si>
    <t>https://www.ndrc.gov.cn/fggz/zcssfz/zcgh/201409/W020190910670519267920.pdf</t>
  </si>
  <si>
    <t>Expo Line</t>
  </si>
  <si>
    <t>Expo Line Surrey-Langley extension</t>
  </si>
  <si>
    <t>https://globalnews.ca/news/8016045/justin-trudeau-federal-funding-skytrain-surrey-langley/</t>
  </si>
  <si>
    <t>https://bc.ctvnews.ca/federal-government-providing-up-to-1-3-billion-for-surrey-langley-skytrain-extension-1.5502944</t>
  </si>
  <si>
    <t>DR</t>
  </si>
  <si>
    <t>Santo Domingo</t>
  </si>
  <si>
    <t>DOP</t>
  </si>
  <si>
    <t>https://sustainabledevelopment.un.org/content/documents/Dominican.pdf</t>
  </si>
  <si>
    <t>Line 2a, 2b</t>
  </si>
  <si>
    <t>https://acento.com.do/el-financiero/en-pasados-gobiernos-construir-un-kilometro-del-metro-sd-costaba-us58-millones-ahora-solo-us45-millones-9034221.html</t>
  </si>
  <si>
    <t>U3 extension to Gebersdorf</t>
  </si>
  <si>
    <t>https://www.nuernberg.de/presse/mitteilungen/presse_77790.html</t>
  </si>
  <si>
    <t>Circle Line Stages 1-5</t>
  </si>
  <si>
    <t>https://www.sgcarmart.com/news/article.php?AID=21019</t>
  </si>
  <si>
    <t>U9</t>
  </si>
  <si>
    <t>Extension to Rathaus Steglitz</t>
  </si>
  <si>
    <t>DM</t>
  </si>
  <si>
    <t>http://www.berliner-verkehrsseiten.de/Download/Archiv/U_155_Eroeffnungsschrift_Steglitz_U9.pdf</t>
  </si>
  <si>
    <t>U7</t>
  </si>
  <si>
    <t>Extension to Rathaus Spandau</t>
  </si>
  <si>
    <t>https://www.bz-berlin.de/archiv-artikel/die-u7-wird-25-jahre-alt</t>
  </si>
  <si>
    <t>S-Bahn Stammstrecke</t>
  </si>
  <si>
    <t>https://www.sueddeutsche.de/muenchen/s-bahn-muenchen-im-eiltempo-zum-tunnel-eine-bahn-fuer-die-olympischen-spiele-1.3444727</t>
  </si>
  <si>
    <t>Chicago</t>
  </si>
  <si>
    <t>https://www.chicago-l.org/history/CTA4.html</t>
  </si>
  <si>
    <t>Philadelphia</t>
  </si>
  <si>
    <t>Regional Rail</t>
  </si>
  <si>
    <t>Center City Commuter Connection</t>
  </si>
  <si>
    <t>https://whyy.org/articles/2712/</t>
  </si>
  <si>
    <t>http://www.nat.gov.eg/LocationActivity.aspx?id=79</t>
  </si>
  <si>
    <t>Line 1 All Phases</t>
  </si>
  <si>
    <t>http://www.nat.gov.eg/LocationActivity.aspx?id=78</t>
  </si>
  <si>
    <t>See Notes.</t>
  </si>
  <si>
    <t>Line 2 Phase 4</t>
  </si>
  <si>
    <t>Line 2 Phase 5</t>
  </si>
  <si>
    <t>Line 2 All Phases</t>
  </si>
  <si>
    <t>http://www.nat.gov.eg/LocationActivity.aspx?id=85</t>
  </si>
  <si>
    <t>Line 3 Phase 3A</t>
  </si>
  <si>
    <t>Line 3 Phase 3B</t>
  </si>
  <si>
    <t>http://www.nat.gov.eg/LocationActivity.aspx?id=2078</t>
  </si>
  <si>
    <t>Line 3 Phase 3C</t>
  </si>
  <si>
    <t>Line 3 Phase 4A</t>
  </si>
  <si>
    <t>Line 3 Phase 4B</t>
  </si>
  <si>
    <t>Line 3 All Phases</t>
  </si>
  <si>
    <t>19*</t>
  </si>
  <si>
    <t>http://www.nat.gov.eg/LocationActivity.aspx?id=2106</t>
  </si>
  <si>
    <t>https://www.railway-technology.com/news/orascom-mitsubishi-cairo-metro-line-4-contract/</t>
  </si>
  <si>
    <t>Under tender.</t>
  </si>
  <si>
    <t>All Phases</t>
  </si>
  <si>
    <t>http://www.nat.gov.eg/LocationActivity.aspx?id=2093</t>
  </si>
  <si>
    <t>Monorail East</t>
  </si>
  <si>
    <t>See notes.</t>
  </si>
  <si>
    <t>http://www.nat.gov.eg/LocationActivity.aspx?id=2089</t>
  </si>
  <si>
    <t>Monorail West</t>
  </si>
  <si>
    <t>http://www.nat.gov.eg/LocationActivity.aspx?id=2088</t>
  </si>
  <si>
    <t>Monorail All Phases</t>
  </si>
  <si>
    <t>https://www.railway-technology.com/projects/cairo-monorail/</t>
  </si>
  <si>
    <t>Cairo - New Capital</t>
  </si>
  <si>
    <t>Capital LRT</t>
  </si>
  <si>
    <t>Capital LRT Phase 1 and 2</t>
  </si>
  <si>
    <t>http://www.nat.gov.eg/LocationActivity.aspx?id=2118</t>
  </si>
  <si>
    <t>Capital LRT Phase 3</t>
  </si>
  <si>
    <t>http://www.nat.gov.eg/LocationActivity.aspx?id=2085</t>
  </si>
  <si>
    <t>Capital LRT Phase 4</t>
  </si>
  <si>
    <t>Capital LRT All Phases</t>
  </si>
  <si>
    <t>https://www.enr.com/articles/42694-chinese-firm-wins-egyptian-light-rail-project-pact</t>
  </si>
  <si>
    <t>Alexandria-Port Sa'id</t>
  </si>
  <si>
    <t>Abo Qir-Port Sa'id LRT</t>
  </si>
  <si>
    <t>Under Tender</t>
  </si>
  <si>
    <t>By 2026</t>
  </si>
  <si>
    <t>http://www.nat.gov.eg/LocationActivity.aspx?id=2097</t>
  </si>
  <si>
    <t>Egypt</t>
  </si>
  <si>
    <t>High-Speed Rail</t>
  </si>
  <si>
    <t>HSR Line 1</t>
  </si>
  <si>
    <t>24*</t>
  </si>
  <si>
    <t>www.nat.gov.eg/LocationActivity.aspx?id=2082</t>
  </si>
  <si>
    <t>https://www.railway-technology.com/news/siemens-mobility-rail-contract/</t>
  </si>
  <si>
    <t>HSR Line 2</t>
  </si>
  <si>
    <t>http://www.nat.gov.eg/LocationActivity.aspx?id=2090</t>
  </si>
  <si>
    <t>HSR Line 3</t>
  </si>
  <si>
    <t>http://www.nat.gov.eg/LocationActivity.aspx?id=2105</t>
  </si>
  <si>
    <t>HSR All Lines</t>
  </si>
  <si>
    <t>See above.</t>
  </si>
  <si>
    <t>Cluj-Napoca</t>
  </si>
  <si>
    <t>https://www.romania-insider.com/cluj-napoca-subway-contract-signed-may-2023</t>
  </si>
  <si>
    <t>AVG</t>
  </si>
  <si>
    <t>MEDIAN</t>
  </si>
  <si>
    <t>STD</t>
  </si>
  <si>
    <t>MIN</t>
  </si>
  <si>
    <t>MAX</t>
  </si>
  <si>
    <t>Q1</t>
  </si>
  <si>
    <t>Q3</t>
  </si>
  <si>
    <t>N</t>
  </si>
  <si>
    <t>TOTAL LENGTH OF ALL</t>
  </si>
  <si>
    <t>T. LENGTH OF LINES WITHOUT COST  INFO</t>
  </si>
  <si>
    <t>T. LENGTH OF LINES W COST  INFO</t>
  </si>
  <si>
    <t>T.COST OF PROJECTS</t>
  </si>
  <si>
    <t>AVG COST/KM (W.AVG)</t>
  </si>
  <si>
    <t>59 Countries</t>
  </si>
  <si>
    <t>184 Cities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</si>
</sst>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
    <numFmt numFmtId="167" formatCode="0.0000"/>
    <numFmt numFmtId="168" formatCode="#,##0.0000"/>
  </numFmts>
  <fonts count="23" x14ac:knownFonts="1">
    <font>
      <sz val="12"/>
      <color theme="1"/>
      <name val="Calibri"/>
      <family val="2"/>
      <scheme val="minor"/>
    </font>
    <font>
      <b/>
      <sz val="8"/>
      <color rgb="FF000000"/>
      <name val="Arial"/>
      <family val="2"/>
    </font>
    <font>
      <b/>
      <sz val="8"/>
      <color theme="1"/>
      <name val="Arial"/>
      <family val="2"/>
    </font>
    <font>
      <b/>
      <sz val="10"/>
      <color theme="1"/>
      <name val="Calibri"/>
      <family val="2"/>
      <scheme val="minor"/>
    </font>
    <font>
      <sz val="8"/>
      <color theme="1"/>
      <name val="Arial"/>
      <family val="2"/>
    </font>
    <font>
      <sz val="8"/>
      <color rgb="FF000000"/>
      <name val="Arial"/>
      <family val="2"/>
    </font>
    <font>
      <u/>
      <sz val="8"/>
      <color rgb="FF1155CC"/>
      <name val="Arial"/>
      <family val="2"/>
    </font>
    <font>
      <sz val="11"/>
      <color rgb="FF000000"/>
      <name val="Arial"/>
      <family val="2"/>
    </font>
    <font>
      <u/>
      <sz val="8"/>
      <color rgb="FF0000FF"/>
      <name val="Arial"/>
      <family val="2"/>
    </font>
    <font>
      <sz val="8"/>
      <color rgb="FF000000"/>
      <name val="Calibri"/>
      <family val="2"/>
    </font>
    <font>
      <u/>
      <sz val="8"/>
      <color rgb="FF000000"/>
      <name val="Arial"/>
      <family val="2"/>
    </font>
    <font>
      <sz val="8"/>
      <name val="Arial"/>
      <family val="2"/>
    </font>
    <font>
      <u/>
      <sz val="8"/>
      <color theme="1"/>
      <name val="Arial"/>
      <family val="2"/>
    </font>
    <font>
      <sz val="10"/>
      <color theme="1"/>
      <name val="Arial"/>
      <family val="2"/>
    </font>
    <font>
      <sz val="10"/>
      <color theme="1"/>
      <name val="Calibri"/>
      <family val="2"/>
      <scheme val="minor"/>
    </font>
    <font>
      <u/>
      <sz val="8"/>
      <color rgb="FF0563C1"/>
      <name val="Arial"/>
      <family val="2"/>
    </font>
    <font>
      <sz val="8"/>
      <color rgb="FF0563C1"/>
      <name val="Arial"/>
      <family val="2"/>
    </font>
    <font>
      <i/>
      <sz val="8"/>
      <color theme="1"/>
      <name val="Arial"/>
      <family val="2"/>
    </font>
    <font>
      <sz val="8"/>
      <color theme="1"/>
      <name val="Calibri"/>
      <family val="2"/>
      <scheme val="minor"/>
    </font>
    <font>
      <sz val="9"/>
      <color rgb="FF000000"/>
      <name val="Arial"/>
      <family val="2"/>
    </font>
    <font>
      <sz val="9"/>
      <color theme="1"/>
      <name val="Calibri"/>
      <family val="2"/>
      <scheme val="minor"/>
    </font>
    <font>
      <sz val="10"/>
      <color rgb="FF000000"/>
      <name val="Arial"/>
      <family val="2"/>
    </font>
    <font>
      <sz val="10"/>
      <color rgb="FF000000"/>
      <name val="Calibri"/>
      <family val="2"/>
      <scheme val="minor"/>
    </font>
  </fonts>
  <fills count="12">
    <fill>
      <patternFill patternType="none"/>
    </fill>
    <fill>
      <patternFill patternType="gray125"/>
    </fill>
    <fill>
      <patternFill patternType="solid">
        <fgColor rgb="FFEFEFEF"/>
        <bgColor rgb="FFEFEFEF"/>
      </patternFill>
    </fill>
    <fill>
      <patternFill patternType="solid">
        <fgColor rgb="FFFFFF99"/>
        <bgColor rgb="FFFFFF99"/>
      </patternFill>
    </fill>
    <fill>
      <patternFill patternType="solid">
        <fgColor rgb="FFFCE5CD"/>
        <bgColor rgb="FFFCE5CD"/>
      </patternFill>
    </fill>
    <fill>
      <patternFill patternType="solid">
        <fgColor rgb="FFF3F3F3"/>
        <bgColor rgb="FFF3F3F3"/>
      </patternFill>
    </fill>
    <fill>
      <patternFill patternType="solid">
        <fgColor rgb="FFE2EFD9"/>
        <bgColor rgb="FFE2EFD9"/>
      </patternFill>
    </fill>
    <fill>
      <patternFill patternType="solid">
        <fgColor rgb="FFFFFFFF"/>
        <bgColor rgb="FFFFFFFF"/>
      </patternFill>
    </fill>
    <fill>
      <patternFill patternType="solid">
        <fgColor rgb="FF9FC5E8"/>
        <bgColor rgb="FF9FC5E8"/>
      </patternFill>
    </fill>
    <fill>
      <patternFill patternType="solid">
        <fgColor rgb="FFEEEEEE"/>
        <bgColor rgb="FFEEEEEE"/>
      </patternFill>
    </fill>
    <fill>
      <patternFill patternType="solid">
        <fgColor rgb="FFD9D9D9"/>
        <bgColor rgb="FFD9D9D9"/>
      </patternFill>
    </fill>
    <fill>
      <patternFill patternType="solid">
        <fgColor rgb="FFFF0000"/>
        <bgColor rgb="FFFF0000"/>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top style="thin">
        <color rgb="FFCC0000"/>
      </top>
      <bottom/>
      <diagonal/>
    </border>
    <border>
      <left style="thin">
        <color rgb="FF000000"/>
      </left>
      <right style="thin">
        <color rgb="FF000000"/>
      </right>
      <top style="thin">
        <color rgb="FFCC0000"/>
      </top>
      <bottom style="thin">
        <color rgb="FF000000"/>
      </bottom>
      <diagonal/>
    </border>
  </borders>
  <cellStyleXfs count="1">
    <xf numFmtId="0" fontId="0" fillId="0" borderId="0"/>
  </cellStyleXfs>
  <cellXfs count="174">
    <xf numFmtId="0" fontId="0" fillId="0" borderId="0" xfId="0"/>
    <xf numFmtId="0" fontId="1" fillId="0" borderId="0" xfId="0" applyFont="1" applyAlignment="1">
      <alignment horizontal="left"/>
    </xf>
    <xf numFmtId="3" fontId="1" fillId="0" borderId="0" xfId="0" applyNumberFormat="1" applyFont="1" applyAlignment="1">
      <alignment horizontal="left"/>
    </xf>
    <xf numFmtId="164" fontId="1" fillId="0" borderId="0" xfId="0" applyNumberFormat="1" applyFont="1" applyAlignment="1">
      <alignment horizontal="left"/>
    </xf>
    <xf numFmtId="0" fontId="1" fillId="0" borderId="0" xfId="0" applyFont="1"/>
    <xf numFmtId="0" fontId="2" fillId="0" borderId="0" xfId="0" applyFont="1"/>
    <xf numFmtId="0" fontId="3" fillId="0" borderId="0" xfId="0" applyFont="1"/>
    <xf numFmtId="165" fontId="4" fillId="2" borderId="0" xfId="0" applyNumberFormat="1" applyFont="1" applyFill="1" applyAlignment="1">
      <alignment horizontal="left"/>
    </xf>
    <xf numFmtId="0" fontId="4" fillId="2" borderId="0" xfId="0" applyFont="1" applyFill="1"/>
    <xf numFmtId="0" fontId="5" fillId="0" borderId="0" xfId="0" applyFont="1"/>
    <xf numFmtId="0" fontId="4" fillId="2" borderId="0" xfId="0" applyFont="1" applyFill="1" applyAlignment="1">
      <alignment horizontal="right"/>
    </xf>
    <xf numFmtId="10" fontId="4" fillId="2" borderId="0" xfId="0" applyNumberFormat="1" applyFont="1" applyFill="1" applyAlignment="1">
      <alignment horizontal="right"/>
    </xf>
    <xf numFmtId="3" fontId="4" fillId="2" borderId="0" xfId="0" applyNumberFormat="1" applyFont="1" applyFill="1" applyAlignment="1">
      <alignment horizontal="right"/>
    </xf>
    <xf numFmtId="0" fontId="5" fillId="2" borderId="0" xfId="0" applyFont="1" applyFill="1" applyAlignment="1">
      <alignment horizontal="right"/>
    </xf>
    <xf numFmtId="164" fontId="5" fillId="3" borderId="0" xfId="0" applyNumberFormat="1" applyFont="1" applyFill="1"/>
    <xf numFmtId="0" fontId="5" fillId="0" borderId="0" xfId="0" applyFont="1" applyAlignment="1">
      <alignment horizontal="right"/>
    </xf>
    <xf numFmtId="0" fontId="5" fillId="2" borderId="0" xfId="0" applyFont="1" applyFill="1" applyAlignment="1">
      <alignment horizontal="left"/>
    </xf>
    <xf numFmtId="166" fontId="5" fillId="4" borderId="0" xfId="0" applyNumberFormat="1" applyFont="1" applyFill="1" applyAlignment="1">
      <alignment horizontal="left"/>
    </xf>
    <xf numFmtId="0" fontId="6" fillId="0" borderId="0" xfId="0" applyFont="1"/>
    <xf numFmtId="0" fontId="5" fillId="5" borderId="0" xfId="0" applyFont="1" applyFill="1"/>
    <xf numFmtId="0" fontId="7" fillId="5" borderId="0" xfId="0" applyFont="1" applyFill="1"/>
    <xf numFmtId="165" fontId="5" fillId="2" borderId="0" xfId="0" applyNumberFormat="1" applyFont="1" applyFill="1" applyAlignment="1">
      <alignment horizontal="left"/>
    </xf>
    <xf numFmtId="0" fontId="5" fillId="0" borderId="0" xfId="0" applyFont="1" applyAlignment="1">
      <alignment horizontal="left"/>
    </xf>
    <xf numFmtId="10" fontId="5" fillId="2" borderId="0" xfId="0" applyNumberFormat="1" applyFont="1" applyFill="1" applyAlignment="1">
      <alignment horizontal="right"/>
    </xf>
    <xf numFmtId="3" fontId="5" fillId="2" borderId="0" xfId="0" applyNumberFormat="1" applyFont="1" applyFill="1" applyAlignment="1">
      <alignment horizontal="right"/>
    </xf>
    <xf numFmtId="164" fontId="5" fillId="3" borderId="0" xfId="0" applyNumberFormat="1" applyFont="1" applyFill="1" applyAlignment="1">
      <alignment horizontal="right"/>
    </xf>
    <xf numFmtId="0" fontId="6" fillId="2" borderId="0" xfId="0" applyFont="1" applyFill="1" applyAlignment="1">
      <alignment horizontal="left"/>
    </xf>
    <xf numFmtId="0" fontId="5" fillId="2" borderId="0" xfId="0" applyFont="1" applyFill="1"/>
    <xf numFmtId="0" fontId="7" fillId="2" borderId="0" xfId="0" applyFont="1" applyFill="1"/>
    <xf numFmtId="0" fontId="8" fillId="2" borderId="0" xfId="0" applyFont="1" applyFill="1" applyAlignment="1">
      <alignment horizontal="left"/>
    </xf>
    <xf numFmtId="0" fontId="9" fillId="0" borderId="0" xfId="0" applyFont="1"/>
    <xf numFmtId="0" fontId="5" fillId="6" borderId="0" xfId="0" applyFont="1" applyFill="1"/>
    <xf numFmtId="10" fontId="5" fillId="2" borderId="0" xfId="0" applyNumberFormat="1" applyFont="1" applyFill="1"/>
    <xf numFmtId="3" fontId="5" fillId="2" borderId="0" xfId="0" applyNumberFormat="1" applyFont="1" applyFill="1"/>
    <xf numFmtId="0" fontId="6" fillId="2" borderId="0" xfId="0" applyFont="1" applyFill="1"/>
    <xf numFmtId="0" fontId="10" fillId="0" borderId="0" xfId="0" applyFont="1" applyAlignment="1">
      <alignment horizontal="left"/>
    </xf>
    <xf numFmtId="0" fontId="5" fillId="7" borderId="0" xfId="0" applyFont="1" applyFill="1" applyAlignment="1">
      <alignment horizontal="left"/>
    </xf>
    <xf numFmtId="0" fontId="5" fillId="7" borderId="0" xfId="0" applyFont="1" applyFill="1" applyAlignment="1">
      <alignment horizontal="right"/>
    </xf>
    <xf numFmtId="10" fontId="5" fillId="7" borderId="0" xfId="0" applyNumberFormat="1" applyFont="1" applyFill="1" applyAlignment="1">
      <alignment horizontal="right"/>
    </xf>
    <xf numFmtId="3" fontId="5" fillId="7" borderId="0" xfId="0" applyNumberFormat="1" applyFont="1" applyFill="1" applyAlignment="1">
      <alignment horizontal="right"/>
    </xf>
    <xf numFmtId="0" fontId="8" fillId="7" borderId="0" xfId="0" applyFont="1" applyFill="1" applyAlignment="1">
      <alignment horizontal="left"/>
    </xf>
    <xf numFmtId="0" fontId="4" fillId="2" borderId="0" xfId="0" applyFont="1" applyFill="1" applyAlignment="1">
      <alignment horizontal="left"/>
    </xf>
    <xf numFmtId="0" fontId="5" fillId="4" borderId="0" xfId="0" applyFont="1" applyFill="1" applyAlignment="1">
      <alignment horizontal="left"/>
    </xf>
    <xf numFmtId="3" fontId="5" fillId="4" borderId="0" xfId="0" applyNumberFormat="1" applyFont="1" applyFill="1" applyAlignment="1">
      <alignment horizontal="right"/>
    </xf>
    <xf numFmtId="0" fontId="5" fillId="4" borderId="0" xfId="0" applyFont="1" applyFill="1" applyAlignment="1">
      <alignment horizontal="right"/>
    </xf>
    <xf numFmtId="10" fontId="5" fillId="4" borderId="0" xfId="0" applyNumberFormat="1" applyFont="1" applyFill="1" applyAlignment="1">
      <alignment horizontal="right"/>
    </xf>
    <xf numFmtId="0" fontId="8" fillId="0" borderId="0" xfId="0" applyFont="1"/>
    <xf numFmtId="10" fontId="5" fillId="0" borderId="0" xfId="0" applyNumberFormat="1" applyFont="1" applyAlignment="1">
      <alignment horizontal="right"/>
    </xf>
    <xf numFmtId="3" fontId="5" fillId="0" borderId="0" xfId="0" applyNumberFormat="1" applyFont="1" applyAlignment="1">
      <alignment horizontal="right"/>
    </xf>
    <xf numFmtId="0" fontId="8" fillId="0" borderId="0" xfId="0" applyFont="1" applyAlignment="1">
      <alignment horizontal="left"/>
    </xf>
    <xf numFmtId="0" fontId="6" fillId="0" borderId="0" xfId="0" applyFont="1" applyAlignment="1">
      <alignment horizontal="left"/>
    </xf>
    <xf numFmtId="0" fontId="5" fillId="7" borderId="0" xfId="0" applyFont="1" applyFill="1"/>
    <xf numFmtId="0" fontId="7" fillId="7" borderId="0" xfId="0" applyFont="1" applyFill="1"/>
    <xf numFmtId="0" fontId="6" fillId="7" borderId="0" xfId="0" applyFont="1" applyFill="1" applyAlignment="1">
      <alignment horizontal="left"/>
    </xf>
    <xf numFmtId="0" fontId="4" fillId="0" borderId="0" xfId="0" applyFont="1"/>
    <xf numFmtId="10" fontId="5" fillId="0" borderId="0" xfId="0" applyNumberFormat="1" applyFont="1"/>
    <xf numFmtId="3" fontId="5" fillId="0" borderId="0" xfId="0" applyNumberFormat="1" applyFont="1"/>
    <xf numFmtId="0" fontId="4" fillId="5" borderId="0" xfId="0" applyFont="1" applyFill="1"/>
    <xf numFmtId="0" fontId="4" fillId="5" borderId="0" xfId="0" applyFont="1" applyFill="1" applyAlignment="1">
      <alignment horizontal="right"/>
    </xf>
    <xf numFmtId="10" fontId="4" fillId="5" borderId="0" xfId="0" applyNumberFormat="1" applyFont="1" applyFill="1" applyAlignment="1">
      <alignment horizontal="right"/>
    </xf>
    <xf numFmtId="4" fontId="4" fillId="5" borderId="0" xfId="0" applyNumberFormat="1" applyFont="1" applyFill="1"/>
    <xf numFmtId="167" fontId="5" fillId="0" borderId="0" xfId="0" applyNumberFormat="1" applyFont="1" applyAlignment="1">
      <alignment horizontal="right"/>
    </xf>
    <xf numFmtId="2" fontId="5" fillId="5" borderId="0" xfId="0" applyNumberFormat="1" applyFont="1" applyFill="1"/>
    <xf numFmtId="0" fontId="6" fillId="5" borderId="0" xfId="0" applyFont="1" applyFill="1"/>
    <xf numFmtId="10" fontId="5" fillId="5" borderId="0" xfId="0" applyNumberFormat="1" applyFont="1" applyFill="1"/>
    <xf numFmtId="4" fontId="4" fillId="0" borderId="0" xfId="0" applyNumberFormat="1" applyFont="1" applyAlignment="1">
      <alignment horizontal="right"/>
    </xf>
    <xf numFmtId="0" fontId="8" fillId="5" borderId="0" xfId="0" applyFont="1" applyFill="1"/>
    <xf numFmtId="4" fontId="4" fillId="5" borderId="0" xfId="0" applyNumberFormat="1" applyFont="1" applyFill="1" applyAlignment="1">
      <alignment horizontal="right"/>
    </xf>
    <xf numFmtId="167" fontId="4" fillId="5" borderId="0" xfId="0" applyNumberFormat="1" applyFont="1" applyFill="1"/>
    <xf numFmtId="2" fontId="4" fillId="2" borderId="0" xfId="0" applyNumberFormat="1" applyFont="1" applyFill="1" applyAlignment="1">
      <alignment horizontal="right"/>
    </xf>
    <xf numFmtId="164" fontId="4" fillId="3" borderId="0" xfId="0" applyNumberFormat="1" applyFont="1" applyFill="1" applyAlignment="1">
      <alignment horizontal="right"/>
    </xf>
    <xf numFmtId="165" fontId="5" fillId="0" borderId="0" xfId="0" applyNumberFormat="1" applyFont="1" applyAlignment="1">
      <alignment horizontal="left"/>
    </xf>
    <xf numFmtId="0" fontId="4" fillId="0" borderId="0" xfId="0" applyFont="1" applyAlignment="1">
      <alignment horizontal="right"/>
    </xf>
    <xf numFmtId="9" fontId="4" fillId="0" borderId="0" xfId="0" applyNumberFormat="1" applyFont="1" applyAlignment="1">
      <alignment horizontal="right"/>
    </xf>
    <xf numFmtId="2" fontId="5" fillId="0" borderId="0" xfId="0" applyNumberFormat="1" applyFont="1"/>
    <xf numFmtId="164" fontId="5" fillId="0" borderId="0" xfId="0" applyNumberFormat="1" applyFont="1"/>
    <xf numFmtId="0" fontId="12" fillId="0" borderId="0" xfId="0" applyFont="1"/>
    <xf numFmtId="0" fontId="7" fillId="0" borderId="0" xfId="0" applyFont="1"/>
    <xf numFmtId="4" fontId="5" fillId="5" borderId="0" xfId="0" applyNumberFormat="1" applyFont="1" applyFill="1"/>
    <xf numFmtId="10" fontId="4" fillId="5" borderId="0" xfId="0" applyNumberFormat="1" applyFont="1" applyFill="1"/>
    <xf numFmtId="0" fontId="8" fillId="0" borderId="0" xfId="0" applyFont="1"/>
    <xf numFmtId="0" fontId="0" fillId="0" borderId="0" xfId="0"/>
    <xf numFmtId="0" fontId="13" fillId="0" borderId="0" xfId="0" applyFont="1"/>
    <xf numFmtId="2" fontId="4" fillId="5" borderId="0" xfId="0" applyNumberFormat="1" applyFont="1" applyFill="1" applyAlignment="1">
      <alignment horizontal="right"/>
    </xf>
    <xf numFmtId="0" fontId="8" fillId="0" borderId="1" xfId="0" applyFont="1" applyBorder="1"/>
    <xf numFmtId="0" fontId="4" fillId="0" borderId="1" xfId="0" applyFont="1" applyBorder="1"/>
    <xf numFmtId="165" fontId="4" fillId="5" borderId="0" xfId="0" applyNumberFormat="1" applyFont="1" applyFill="1" applyAlignment="1">
      <alignment horizontal="left"/>
    </xf>
    <xf numFmtId="0" fontId="14" fillId="0" borderId="0" xfId="0" applyFont="1"/>
    <xf numFmtId="3" fontId="4" fillId="5" borderId="0" xfId="0" applyNumberFormat="1" applyFont="1" applyFill="1" applyAlignment="1">
      <alignment horizontal="right"/>
    </xf>
    <xf numFmtId="167" fontId="4" fillId="5" borderId="0" xfId="0" applyNumberFormat="1" applyFont="1" applyFill="1" applyAlignment="1">
      <alignment horizontal="right"/>
    </xf>
    <xf numFmtId="10" fontId="4" fillId="0" borderId="0" xfId="0" applyNumberFormat="1" applyFont="1"/>
    <xf numFmtId="165" fontId="4" fillId="0" borderId="0" xfId="0" applyNumberFormat="1" applyFont="1" applyAlignment="1">
      <alignment horizontal="left"/>
    </xf>
    <xf numFmtId="4" fontId="4" fillId="2" borderId="0" xfId="0" applyNumberFormat="1" applyFont="1" applyFill="1" applyAlignment="1">
      <alignment horizontal="right"/>
    </xf>
    <xf numFmtId="168" fontId="5" fillId="5" borderId="0" xfId="0" applyNumberFormat="1" applyFont="1" applyFill="1"/>
    <xf numFmtId="9" fontId="4" fillId="0" borderId="0" xfId="0" applyNumberFormat="1" applyFont="1"/>
    <xf numFmtId="0" fontId="13" fillId="0" borderId="1" xfId="0" applyFont="1" applyBorder="1"/>
    <xf numFmtId="164" fontId="4" fillId="5" borderId="0" xfId="0" applyNumberFormat="1" applyFont="1" applyFill="1" applyAlignment="1">
      <alignment horizontal="right"/>
    </xf>
    <xf numFmtId="0" fontId="5" fillId="5" borderId="0" xfId="0" applyFont="1" applyFill="1" applyAlignment="1">
      <alignment horizontal="right"/>
    </xf>
    <xf numFmtId="10" fontId="5" fillId="5" borderId="0" xfId="0" applyNumberFormat="1" applyFont="1" applyFill="1" applyAlignment="1">
      <alignment horizontal="right"/>
    </xf>
    <xf numFmtId="164" fontId="5" fillId="5" borderId="0" xfId="0" applyNumberFormat="1" applyFont="1" applyFill="1" applyAlignment="1">
      <alignment horizontal="right"/>
    </xf>
    <xf numFmtId="4" fontId="5" fillId="5" borderId="0" xfId="0" applyNumberFormat="1" applyFont="1" applyFill="1" applyAlignment="1">
      <alignment horizontal="right"/>
    </xf>
    <xf numFmtId="2" fontId="5" fillId="5" borderId="0" xfId="0" applyNumberFormat="1" applyFont="1" applyFill="1" applyAlignment="1">
      <alignment horizontal="right"/>
    </xf>
    <xf numFmtId="0" fontId="15" fillId="5" borderId="0" xfId="0" applyFont="1" applyFill="1"/>
    <xf numFmtId="164" fontId="4" fillId="0" borderId="0" xfId="0" applyNumberFormat="1" applyFont="1" applyAlignment="1">
      <alignment horizontal="right"/>
    </xf>
    <xf numFmtId="3" fontId="4" fillId="0" borderId="0" xfId="0" applyNumberFormat="1" applyFont="1" applyAlignment="1">
      <alignment horizontal="right"/>
    </xf>
    <xf numFmtId="0" fontId="12" fillId="8" borderId="0" xfId="0" applyFont="1" applyFill="1"/>
    <xf numFmtId="3" fontId="5" fillId="5" borderId="0" xfId="0" applyNumberFormat="1" applyFont="1" applyFill="1" applyAlignment="1">
      <alignment horizontal="right"/>
    </xf>
    <xf numFmtId="165" fontId="4" fillId="7" borderId="0" xfId="0" applyNumberFormat="1" applyFont="1" applyFill="1" applyAlignment="1">
      <alignment horizontal="left"/>
    </xf>
    <xf numFmtId="0" fontId="4" fillId="7" borderId="0" xfId="0" applyFont="1" applyFill="1" applyAlignment="1">
      <alignment horizontal="right"/>
    </xf>
    <xf numFmtId="10" fontId="4" fillId="7" borderId="0" xfId="0" applyNumberFormat="1" applyFont="1" applyFill="1" applyAlignment="1">
      <alignment horizontal="right"/>
    </xf>
    <xf numFmtId="164" fontId="5" fillId="0" borderId="0" xfId="0" applyNumberFormat="1" applyFont="1" applyAlignment="1">
      <alignment horizontal="right"/>
    </xf>
    <xf numFmtId="0" fontId="4" fillId="7" borderId="0" xfId="0" applyFont="1" applyFill="1"/>
    <xf numFmtId="3" fontId="4" fillId="7" borderId="0" xfId="0" applyNumberFormat="1" applyFont="1" applyFill="1" applyAlignment="1">
      <alignment horizontal="right"/>
    </xf>
    <xf numFmtId="0" fontId="15" fillId="0" borderId="0" xfId="0" applyFont="1"/>
    <xf numFmtId="0" fontId="16" fillId="0" borderId="0" xfId="0" applyFont="1"/>
    <xf numFmtId="164" fontId="5" fillId="2" borderId="0" xfId="0" applyNumberFormat="1" applyFont="1" applyFill="1" applyAlignment="1">
      <alignment horizontal="right"/>
    </xf>
    <xf numFmtId="3" fontId="4" fillId="7" borderId="0" xfId="0" applyNumberFormat="1" applyFont="1" applyFill="1"/>
    <xf numFmtId="0" fontId="5" fillId="5" borderId="1" xfId="0" applyFont="1" applyFill="1" applyBorder="1"/>
    <xf numFmtId="0" fontId="5" fillId="9" borderId="0" xfId="0" applyFont="1" applyFill="1" applyAlignment="1">
      <alignment horizontal="left"/>
    </xf>
    <xf numFmtId="0" fontId="5" fillId="9" borderId="0" xfId="0" applyFont="1" applyFill="1" applyAlignment="1">
      <alignment horizontal="right"/>
    </xf>
    <xf numFmtId="10" fontId="5" fillId="9" borderId="0" xfId="0" applyNumberFormat="1" applyFont="1" applyFill="1" applyAlignment="1">
      <alignment horizontal="right"/>
    </xf>
    <xf numFmtId="3" fontId="5" fillId="9" borderId="0" xfId="0" applyNumberFormat="1" applyFont="1" applyFill="1" applyAlignment="1">
      <alignment horizontal="right"/>
    </xf>
    <xf numFmtId="0" fontId="8" fillId="9" borderId="0" xfId="0" applyFont="1" applyFill="1" applyAlignment="1">
      <alignment horizontal="left"/>
    </xf>
    <xf numFmtId="0" fontId="5" fillId="9" borderId="0" xfId="0" applyFont="1" applyFill="1"/>
    <xf numFmtId="0" fontId="7" fillId="9" borderId="0" xfId="0" applyFont="1" applyFill="1"/>
    <xf numFmtId="165" fontId="5" fillId="10" borderId="0" xfId="0" applyNumberFormat="1" applyFont="1" applyFill="1" applyAlignment="1">
      <alignment horizontal="left"/>
    </xf>
    <xf numFmtId="0" fontId="5" fillId="10" borderId="0" xfId="0" applyFont="1" applyFill="1" applyAlignment="1">
      <alignment horizontal="left"/>
    </xf>
    <xf numFmtId="0" fontId="5" fillId="10" borderId="0" xfId="0" applyFont="1" applyFill="1" applyAlignment="1">
      <alignment horizontal="right"/>
    </xf>
    <xf numFmtId="10" fontId="5" fillId="10" borderId="0" xfId="0" applyNumberFormat="1" applyFont="1" applyFill="1" applyAlignment="1">
      <alignment horizontal="right"/>
    </xf>
    <xf numFmtId="3" fontId="5" fillId="10" borderId="0" xfId="0" applyNumberFormat="1" applyFont="1" applyFill="1" applyAlignment="1">
      <alignment horizontal="right"/>
    </xf>
    <xf numFmtId="164" fontId="5" fillId="10" borderId="0" xfId="0" applyNumberFormat="1" applyFont="1" applyFill="1" applyAlignment="1">
      <alignment horizontal="right"/>
    </xf>
    <xf numFmtId="0" fontId="8" fillId="10" borderId="0" xfId="0" applyFont="1" applyFill="1"/>
    <xf numFmtId="0" fontId="5" fillId="10" borderId="0" xfId="0" applyFont="1" applyFill="1"/>
    <xf numFmtId="0" fontId="7" fillId="10" borderId="0" xfId="0" applyFont="1" applyFill="1"/>
    <xf numFmtId="0" fontId="4" fillId="10" borderId="0" xfId="0" applyFont="1" applyFill="1"/>
    <xf numFmtId="0" fontId="8" fillId="9" borderId="0" xfId="0" applyFont="1" applyFill="1"/>
    <xf numFmtId="0" fontId="4" fillId="9" borderId="0" xfId="0" applyFont="1" applyFill="1"/>
    <xf numFmtId="165" fontId="5" fillId="4" borderId="0" xfId="0" applyNumberFormat="1" applyFont="1" applyFill="1" applyAlignment="1">
      <alignment horizontal="left"/>
    </xf>
    <xf numFmtId="164" fontId="5" fillId="4" borderId="0" xfId="0" applyNumberFormat="1" applyFont="1" applyFill="1" applyAlignment="1">
      <alignment horizontal="right"/>
    </xf>
    <xf numFmtId="0" fontId="6" fillId="4" borderId="0" xfId="0" applyFont="1" applyFill="1" applyAlignment="1">
      <alignment horizontal="left"/>
    </xf>
    <xf numFmtId="165" fontId="4" fillId="0" borderId="2" xfId="0" applyNumberFormat="1" applyFont="1" applyBorder="1" applyAlignment="1">
      <alignment horizontal="left"/>
    </xf>
    <xf numFmtId="165" fontId="4" fillId="0" borderId="2" xfId="0" applyNumberFormat="1" applyFont="1" applyBorder="1"/>
    <xf numFmtId="0" fontId="4" fillId="0" borderId="2" xfId="0" applyFont="1" applyBorder="1"/>
    <xf numFmtId="0" fontId="4" fillId="0" borderId="2" xfId="0" applyFont="1" applyBorder="1" applyAlignment="1">
      <alignment horizontal="right"/>
    </xf>
    <xf numFmtId="10" fontId="4" fillId="0" borderId="2" xfId="0" applyNumberFormat="1" applyFont="1" applyBorder="1" applyAlignment="1">
      <alignment horizontal="right"/>
    </xf>
    <xf numFmtId="3" fontId="4" fillId="0" borderId="2" xfId="0" applyNumberFormat="1" applyFont="1" applyBorder="1" applyAlignment="1">
      <alignment horizontal="right"/>
    </xf>
    <xf numFmtId="0" fontId="8" fillId="0" borderId="3" xfId="0" applyFont="1" applyBorder="1"/>
    <xf numFmtId="0" fontId="14" fillId="0" borderId="2" xfId="0" applyFont="1" applyBorder="1"/>
    <xf numFmtId="10" fontId="4" fillId="0" borderId="0" xfId="0" applyNumberFormat="1" applyFont="1" applyAlignment="1">
      <alignment horizontal="right"/>
    </xf>
    <xf numFmtId="165" fontId="4" fillId="0" borderId="0" xfId="0" applyNumberFormat="1" applyFont="1"/>
    <xf numFmtId="164" fontId="4" fillId="0" borderId="0" xfId="0" applyNumberFormat="1" applyFont="1"/>
    <xf numFmtId="0" fontId="4" fillId="11" borderId="0" xfId="0" applyFont="1" applyFill="1"/>
    <xf numFmtId="3" fontId="4" fillId="0" borderId="0" xfId="0" applyNumberFormat="1" applyFont="1"/>
    <xf numFmtId="2" fontId="13" fillId="0" borderId="0" xfId="0" applyNumberFormat="1" applyFont="1"/>
    <xf numFmtId="164" fontId="13" fillId="0" borderId="0" xfId="0" applyNumberFormat="1" applyFont="1"/>
    <xf numFmtId="0" fontId="17" fillId="0" borderId="0" xfId="0" applyFont="1"/>
    <xf numFmtId="0" fontId="17" fillId="0" borderId="0" xfId="0" applyFont="1" applyAlignment="1">
      <alignment horizontal="right"/>
    </xf>
    <xf numFmtId="10" fontId="17" fillId="0" borderId="0" xfId="0" applyNumberFormat="1" applyFont="1" applyAlignment="1">
      <alignment horizontal="right"/>
    </xf>
    <xf numFmtId="3" fontId="17" fillId="0" borderId="0" xfId="0" applyNumberFormat="1" applyFont="1"/>
    <xf numFmtId="3" fontId="13" fillId="0" borderId="0" xfId="0" applyNumberFormat="1" applyFont="1"/>
    <xf numFmtId="2" fontId="4" fillId="0" borderId="0" xfId="0" applyNumberFormat="1" applyFont="1" applyAlignment="1">
      <alignment horizontal="right"/>
    </xf>
    <xf numFmtId="166" fontId="5" fillId="0" borderId="0" xfId="0" applyNumberFormat="1" applyFont="1" applyAlignment="1">
      <alignment horizontal="left"/>
    </xf>
    <xf numFmtId="166" fontId="4" fillId="0" borderId="0" xfId="0" applyNumberFormat="1" applyFont="1"/>
    <xf numFmtId="0" fontId="18" fillId="0" borderId="0" xfId="0" applyFont="1"/>
    <xf numFmtId="166" fontId="5" fillId="7" borderId="0" xfId="0" applyNumberFormat="1" applyFont="1" applyFill="1" applyAlignment="1">
      <alignment horizontal="left"/>
    </xf>
    <xf numFmtId="165" fontId="14" fillId="0" borderId="0" xfId="0" applyNumberFormat="1" applyFont="1" applyAlignment="1">
      <alignment horizontal="left"/>
    </xf>
    <xf numFmtId="0" fontId="19" fillId="0" borderId="0" xfId="0" applyFont="1"/>
    <xf numFmtId="164" fontId="19" fillId="0" borderId="0" xfId="0" applyNumberFormat="1" applyFont="1"/>
    <xf numFmtId="0" fontId="20" fillId="0" borderId="0" xfId="0" applyFont="1"/>
    <xf numFmtId="164" fontId="21" fillId="0" borderId="0" xfId="0" applyNumberFormat="1" applyFont="1"/>
    <xf numFmtId="4" fontId="21" fillId="0" borderId="0" xfId="0" applyNumberFormat="1" applyFont="1"/>
    <xf numFmtId="164" fontId="19" fillId="0" borderId="0" xfId="0" applyNumberFormat="1" applyFont="1" applyAlignment="1">
      <alignment wrapText="1"/>
    </xf>
    <xf numFmtId="164" fontId="14" fillId="0" borderId="0" xfId="0" applyNumberFormat="1" applyFont="1"/>
    <xf numFmtId="0" fontId="21" fillId="0" borderId="0" xfId="0" applyFont="1"/>
  </cellXfs>
  <cellStyles count="1">
    <cellStyle name="Normal" xfId="0" builtinId="0"/>
  </cellStyles>
  <dxfs count="2">
    <dxf>
      <fill>
        <patternFill patternType="solid">
          <fgColor rgb="FFEA9999"/>
          <bgColor rgb="FFEA9999"/>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chaithra/Downloads/Merged%20Costs%20(1.4).xlsx" TargetMode="External"/><Relationship Id="rId1" Type="http://schemas.openxmlformats.org/officeDocument/2006/relationships/externalLinkPath" Target="/Users/chaithra/Downloads/Merged%20Costs%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2)"/>
      <sheetName val="Sheet1"/>
      <sheetName val="Sheet3"/>
      <sheetName val="Sheet5"/>
      <sheetName val="CPI"/>
    </sheetNames>
    <sheetDataSet>
      <sheetData sheetId="0"/>
      <sheetData sheetId="1"/>
      <sheetData sheetId="2"/>
      <sheetData sheetId="3"/>
      <sheetData sheetId="4">
        <row r="2">
          <cell r="A2">
            <v>1965</v>
          </cell>
          <cell r="B2">
            <v>31.5</v>
          </cell>
          <cell r="C2">
            <v>1</v>
          </cell>
          <cell r="D2">
            <v>8.6022222222222222</v>
          </cell>
        </row>
        <row r="3">
          <cell r="A3">
            <v>1966</v>
          </cell>
          <cell r="B3">
            <v>32.4</v>
          </cell>
          <cell r="C3">
            <v>1</v>
          </cell>
          <cell r="D3">
            <v>8.3632716049382729</v>
          </cell>
        </row>
        <row r="4">
          <cell r="A4">
            <v>1967</v>
          </cell>
          <cell r="B4">
            <v>33.4</v>
          </cell>
          <cell r="C4">
            <v>1</v>
          </cell>
          <cell r="D4">
            <v>8.1128742514970078</v>
          </cell>
        </row>
        <row r="5">
          <cell r="A5">
            <v>1968</v>
          </cell>
          <cell r="B5">
            <v>34.799999999999997</v>
          </cell>
          <cell r="C5">
            <v>1</v>
          </cell>
          <cell r="D5">
            <v>7.786494252873565</v>
          </cell>
        </row>
        <row r="6">
          <cell r="A6">
            <v>1969</v>
          </cell>
          <cell r="B6">
            <v>36.700000000000003</v>
          </cell>
          <cell r="C6">
            <v>1</v>
          </cell>
          <cell r="D6">
            <v>7.3833787465940057</v>
          </cell>
        </row>
        <row r="7">
          <cell r="A7">
            <v>1970</v>
          </cell>
          <cell r="B7">
            <v>38.799999999999997</v>
          </cell>
          <cell r="C7">
            <v>1</v>
          </cell>
          <cell r="D7">
            <v>6.9837628865979395</v>
          </cell>
        </row>
        <row r="8">
          <cell r="A8">
            <v>1971</v>
          </cell>
          <cell r="B8">
            <v>40.5</v>
          </cell>
          <cell r="C8">
            <v>1</v>
          </cell>
          <cell r="D8">
            <v>6.6906172839506182</v>
          </cell>
        </row>
        <row r="9">
          <cell r="A9">
            <v>1972</v>
          </cell>
          <cell r="B9">
            <v>41.8</v>
          </cell>
          <cell r="C9">
            <v>1</v>
          </cell>
          <cell r="D9">
            <v>6.482535885167465</v>
          </cell>
        </row>
        <row r="10">
          <cell r="A10">
            <v>1973</v>
          </cell>
          <cell r="B10">
            <v>44.4</v>
          </cell>
          <cell r="C10">
            <v>1</v>
          </cell>
          <cell r="D10">
            <v>6.1029279279279285</v>
          </cell>
        </row>
        <row r="11">
          <cell r="A11">
            <v>1974</v>
          </cell>
          <cell r="B11">
            <v>49.3</v>
          </cell>
          <cell r="C11">
            <v>1</v>
          </cell>
          <cell r="D11">
            <v>5.4963488843813399</v>
          </cell>
        </row>
        <row r="12">
          <cell r="A12">
            <v>1975</v>
          </cell>
          <cell r="B12">
            <v>53.8</v>
          </cell>
          <cell r="C12">
            <v>1</v>
          </cell>
          <cell r="D12">
            <v>5.0366171003717479</v>
          </cell>
        </row>
        <row r="13">
          <cell r="A13">
            <v>1976</v>
          </cell>
          <cell r="B13">
            <v>56.9</v>
          </cell>
          <cell r="C13">
            <v>1</v>
          </cell>
          <cell r="D13">
            <v>4.762214411247804</v>
          </cell>
        </row>
        <row r="14">
          <cell r="A14">
            <v>1977</v>
          </cell>
          <cell r="B14">
            <v>60.6</v>
          </cell>
          <cell r="C14">
            <v>1</v>
          </cell>
          <cell r="D14">
            <v>4.4714521452145215</v>
          </cell>
        </row>
        <row r="15">
          <cell r="A15">
            <v>1978</v>
          </cell>
          <cell r="B15">
            <v>65.2</v>
          </cell>
          <cell r="C15">
            <v>1</v>
          </cell>
          <cell r="D15">
            <v>4.1559815950920251</v>
          </cell>
        </row>
        <row r="16">
          <cell r="A16">
            <v>1979</v>
          </cell>
          <cell r="B16">
            <v>72.599999999999994</v>
          </cell>
          <cell r="C16">
            <v>1</v>
          </cell>
          <cell r="D16">
            <v>3.7323691460055102</v>
          </cell>
        </row>
        <row r="17">
          <cell r="A17">
            <v>1980</v>
          </cell>
          <cell r="B17">
            <v>82.4</v>
          </cell>
          <cell r="C17">
            <v>1</v>
          </cell>
          <cell r="D17">
            <v>3.2884708737864079</v>
          </cell>
        </row>
        <row r="18">
          <cell r="A18">
            <v>1981</v>
          </cell>
          <cell r="B18">
            <v>90.9</v>
          </cell>
          <cell r="C18">
            <v>1</v>
          </cell>
          <cell r="D18">
            <v>2.980968096809681</v>
          </cell>
        </row>
        <row r="19">
          <cell r="A19">
            <v>1982</v>
          </cell>
          <cell r="B19">
            <v>96.5</v>
          </cell>
          <cell r="C19">
            <v>1</v>
          </cell>
          <cell r="D19">
            <v>2.8079792746113994</v>
          </cell>
        </row>
        <row r="20">
          <cell r="A20">
            <v>1983</v>
          </cell>
          <cell r="B20">
            <v>99.6</v>
          </cell>
          <cell r="C20">
            <v>1</v>
          </cell>
          <cell r="D20">
            <v>2.7205823293172693</v>
          </cell>
        </row>
        <row r="21">
          <cell r="A21">
            <v>1984</v>
          </cell>
          <cell r="B21">
            <v>103.9</v>
          </cell>
          <cell r="C21">
            <v>1</v>
          </cell>
          <cell r="D21">
            <v>2.6079884504331088</v>
          </cell>
        </row>
        <row r="22">
          <cell r="A22">
            <v>1985</v>
          </cell>
          <cell r="B22">
            <v>107.6</v>
          </cell>
          <cell r="C22">
            <v>1</v>
          </cell>
          <cell r="D22">
            <v>2.518308550185874</v>
          </cell>
        </row>
        <row r="23">
          <cell r="A23">
            <v>1986</v>
          </cell>
          <cell r="B23">
            <v>109.6</v>
          </cell>
          <cell r="C23">
            <v>1</v>
          </cell>
          <cell r="D23">
            <v>2.4723540145985403</v>
          </cell>
        </row>
        <row r="24">
          <cell r="A24">
            <v>1987</v>
          </cell>
          <cell r="B24">
            <v>113.6</v>
          </cell>
          <cell r="C24">
            <v>1</v>
          </cell>
          <cell r="D24">
            <v>2.3852992957746482</v>
          </cell>
        </row>
        <row r="25">
          <cell r="A25">
            <v>1988</v>
          </cell>
          <cell r="B25">
            <v>118.3</v>
          </cell>
          <cell r="C25">
            <v>1</v>
          </cell>
          <cell r="D25">
            <v>2.2905325443786984</v>
          </cell>
        </row>
        <row r="26">
          <cell r="A26">
            <v>1989</v>
          </cell>
          <cell r="B26">
            <v>124</v>
          </cell>
          <cell r="C26">
            <v>1</v>
          </cell>
          <cell r="D26">
            <v>2.1852419354838712</v>
          </cell>
        </row>
        <row r="27">
          <cell r="A27">
            <v>1990</v>
          </cell>
          <cell r="B27">
            <v>130.69999999999999</v>
          </cell>
          <cell r="C27">
            <v>1</v>
          </cell>
          <cell r="D27">
            <v>2.0732211170619745</v>
          </cell>
        </row>
        <row r="28">
          <cell r="A28">
            <v>1991</v>
          </cell>
          <cell r="B28">
            <v>136.19999999999999</v>
          </cell>
          <cell r="C28">
            <v>1</v>
          </cell>
          <cell r="D28">
            <v>1.9895007342143909</v>
          </cell>
        </row>
        <row r="29">
          <cell r="A29">
            <v>1992</v>
          </cell>
          <cell r="B29">
            <v>140.30000000000001</v>
          </cell>
          <cell r="C29">
            <v>1</v>
          </cell>
          <cell r="D29">
            <v>1.93136136849608</v>
          </cell>
        </row>
        <row r="30">
          <cell r="A30">
            <v>1993</v>
          </cell>
          <cell r="B30">
            <v>144.5</v>
          </cell>
          <cell r="C30">
            <v>1</v>
          </cell>
          <cell r="D30">
            <v>1.8752249134948098</v>
          </cell>
        </row>
        <row r="31">
          <cell r="A31">
            <v>1994</v>
          </cell>
          <cell r="B31">
            <v>148.19999999999999</v>
          </cell>
          <cell r="C31">
            <v>1</v>
          </cell>
          <cell r="D31">
            <v>1.8284075573549261</v>
          </cell>
        </row>
        <row r="32">
          <cell r="A32">
            <v>1995</v>
          </cell>
          <cell r="B32">
            <v>152.4</v>
          </cell>
          <cell r="C32">
            <v>1</v>
          </cell>
          <cell r="D32">
            <v>1.7780183727034122</v>
          </cell>
        </row>
        <row r="33">
          <cell r="A33">
            <v>1996</v>
          </cell>
          <cell r="B33">
            <v>156.9</v>
          </cell>
          <cell r="C33">
            <v>1</v>
          </cell>
          <cell r="D33">
            <v>1.7270235818992989</v>
          </cell>
        </row>
        <row r="34">
          <cell r="A34">
            <v>1997</v>
          </cell>
          <cell r="B34">
            <v>160.5</v>
          </cell>
          <cell r="C34">
            <v>1</v>
          </cell>
          <cell r="D34">
            <v>1.6882866043613709</v>
          </cell>
        </row>
        <row r="35">
          <cell r="A35">
            <v>1998</v>
          </cell>
          <cell r="B35">
            <v>163</v>
          </cell>
          <cell r="C35">
            <v>1</v>
          </cell>
          <cell r="D35">
            <v>1.6623926380368099</v>
          </cell>
        </row>
        <row r="36">
          <cell r="A36">
            <v>1999</v>
          </cell>
          <cell r="B36">
            <v>166.6</v>
          </cell>
          <cell r="C36">
            <v>1</v>
          </cell>
          <cell r="D36">
            <v>1.6264705882352943</v>
          </cell>
        </row>
        <row r="37">
          <cell r="A37">
            <v>2000</v>
          </cell>
          <cell r="B37">
            <v>172.2</v>
          </cell>
          <cell r="C37">
            <v>1</v>
          </cell>
          <cell r="D37">
            <v>1.5735772357723581</v>
          </cell>
        </row>
        <row r="38">
          <cell r="A38">
            <v>2001</v>
          </cell>
          <cell r="B38">
            <v>177.1</v>
          </cell>
          <cell r="C38">
            <v>1</v>
          </cell>
          <cell r="D38">
            <v>1.5300395256916999</v>
          </cell>
        </row>
        <row r="39">
          <cell r="A39">
            <v>2002</v>
          </cell>
          <cell r="B39">
            <v>179.9</v>
          </cell>
          <cell r="C39">
            <v>1</v>
          </cell>
          <cell r="D39">
            <v>1.5062256809338523</v>
          </cell>
        </row>
        <row r="40">
          <cell r="A40">
            <v>2003</v>
          </cell>
          <cell r="B40">
            <v>184</v>
          </cell>
          <cell r="C40">
            <v>1</v>
          </cell>
          <cell r="D40">
            <v>1.472663043478261</v>
          </cell>
        </row>
        <row r="41">
          <cell r="A41">
            <v>2004</v>
          </cell>
          <cell r="B41">
            <v>188.9</v>
          </cell>
          <cell r="C41">
            <v>1</v>
          </cell>
          <cell r="D41">
            <v>1.4344626786659609</v>
          </cell>
        </row>
        <row r="42">
          <cell r="A42">
            <v>2005</v>
          </cell>
          <cell r="B42">
            <v>195.3</v>
          </cell>
          <cell r="C42">
            <v>1</v>
          </cell>
          <cell r="D42">
            <v>1.3874551971326166</v>
          </cell>
        </row>
        <row r="43">
          <cell r="A43">
            <v>2006</v>
          </cell>
          <cell r="B43">
            <v>201.6</v>
          </cell>
          <cell r="C43">
            <v>1</v>
          </cell>
          <cell r="D43">
            <v>1.3440972222222225</v>
          </cell>
        </row>
        <row r="44">
          <cell r="A44">
            <v>2007</v>
          </cell>
          <cell r="B44">
            <v>207.34200000000001</v>
          </cell>
          <cell r="C44">
            <v>1</v>
          </cell>
          <cell r="D44">
            <v>1.3068746322500988</v>
          </cell>
        </row>
        <row r="45">
          <cell r="A45">
            <v>2008</v>
          </cell>
          <cell r="B45">
            <v>215.303</v>
          </cell>
          <cell r="C45">
            <v>1</v>
          </cell>
          <cell r="D45">
            <v>1.2585519012740187</v>
          </cell>
        </row>
        <row r="46">
          <cell r="A46">
            <v>2009</v>
          </cell>
          <cell r="B46">
            <v>214.53700000000001</v>
          </cell>
          <cell r="C46">
            <v>1</v>
          </cell>
          <cell r="D46">
            <v>1.2630455352689747</v>
          </cell>
        </row>
        <row r="47">
          <cell r="A47">
            <v>2010</v>
          </cell>
          <cell r="B47">
            <v>218.05600000000001</v>
          </cell>
          <cell r="C47">
            <v>1</v>
          </cell>
          <cell r="D47">
            <v>1.2426624353377114</v>
          </cell>
        </row>
        <row r="48">
          <cell r="A48">
            <v>2011</v>
          </cell>
          <cell r="B48">
            <v>224.93899999999999</v>
          </cell>
          <cell r="C48">
            <v>1</v>
          </cell>
          <cell r="D48">
            <v>1.2046377017769263</v>
          </cell>
        </row>
        <row r="49">
          <cell r="A49">
            <v>2012</v>
          </cell>
          <cell r="B49">
            <v>229.59399999999999</v>
          </cell>
          <cell r="C49">
            <v>1</v>
          </cell>
          <cell r="D49">
            <v>1.1802137686524912</v>
          </cell>
        </row>
        <row r="50">
          <cell r="A50">
            <v>2013</v>
          </cell>
          <cell r="B50">
            <v>232.95699999999999</v>
          </cell>
          <cell r="C50">
            <v>1</v>
          </cell>
          <cell r="D50">
            <v>1.16317603677932</v>
          </cell>
        </row>
        <row r="51">
          <cell r="A51">
            <v>2014</v>
          </cell>
          <cell r="B51">
            <v>236.73599999999999</v>
          </cell>
          <cell r="C51">
            <v>1</v>
          </cell>
          <cell r="D51">
            <v>1.1446083400919169</v>
          </cell>
        </row>
        <row r="52">
          <cell r="A52">
            <v>2015</v>
          </cell>
          <cell r="B52">
            <v>237.017</v>
          </cell>
          <cell r="C52">
            <v>1</v>
          </cell>
          <cell r="D52">
            <v>1.143251327963817</v>
          </cell>
        </row>
        <row r="53">
          <cell r="A53">
            <v>2016</v>
          </cell>
          <cell r="B53">
            <v>240.00700000000001</v>
          </cell>
          <cell r="C53">
            <v>1</v>
          </cell>
          <cell r="D53">
            <v>1.1290087372451638</v>
          </cell>
        </row>
        <row r="54">
          <cell r="A54">
            <v>2017</v>
          </cell>
          <cell r="B54">
            <v>245.12</v>
          </cell>
          <cell r="C54">
            <v>1</v>
          </cell>
          <cell r="D54">
            <v>1.1054585509138382</v>
          </cell>
        </row>
        <row r="55">
          <cell r="A55">
            <v>2018</v>
          </cell>
          <cell r="B55">
            <v>251.107</v>
          </cell>
          <cell r="C55">
            <v>1</v>
          </cell>
          <cell r="D55">
            <v>1.0791017375063221</v>
          </cell>
        </row>
        <row r="56">
          <cell r="A56">
            <v>2019</v>
          </cell>
          <cell r="B56">
            <v>255.65700000000001</v>
          </cell>
          <cell r="C56">
            <v>1</v>
          </cell>
          <cell r="D56">
            <v>1.0598966584134211</v>
          </cell>
        </row>
        <row r="57">
          <cell r="A57">
            <v>2020</v>
          </cell>
          <cell r="B57">
            <v>258.81099999999998</v>
          </cell>
          <cell r="C57">
            <v>1</v>
          </cell>
          <cell r="D57">
            <v>1.0469802288156225</v>
          </cell>
        </row>
        <row r="58">
          <cell r="A58">
            <v>2021</v>
          </cell>
          <cell r="B58">
            <v>270.97000000000003</v>
          </cell>
          <cell r="C58">
            <v>1</v>
          </cell>
          <cell r="D58">
            <v>1</v>
          </cell>
        </row>
        <row r="59">
          <cell r="A59">
            <v>2022</v>
          </cell>
          <cell r="D59">
            <v>1</v>
          </cell>
        </row>
        <row r="60">
          <cell r="A60">
            <v>2023</v>
          </cell>
          <cell r="D60">
            <v>1</v>
          </cell>
        </row>
        <row r="61">
          <cell r="A61">
            <v>2024</v>
          </cell>
          <cell r="D61">
            <v>1</v>
          </cell>
        </row>
        <row r="62">
          <cell r="A62">
            <v>2025</v>
          </cell>
          <cell r="D62">
            <v>1</v>
          </cell>
        </row>
        <row r="63">
          <cell r="A63">
            <v>2026</v>
          </cell>
          <cell r="D63">
            <v>1</v>
          </cell>
        </row>
        <row r="64">
          <cell r="A64">
            <v>2027</v>
          </cell>
          <cell r="D64">
            <v>1</v>
          </cell>
        </row>
        <row r="65">
          <cell r="A65">
            <v>2028</v>
          </cell>
          <cell r="D65">
            <v>1</v>
          </cell>
        </row>
        <row r="66">
          <cell r="A66">
            <v>2029</v>
          </cell>
          <cell r="D66">
            <v>1</v>
          </cell>
        </row>
        <row r="67">
          <cell r="A67">
            <v>2030</v>
          </cell>
          <cell r="D67">
            <v>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delhimetrorail.com/funding.aspx" TargetMode="External"/><Relationship Id="rId671" Type="http://schemas.openxmlformats.org/officeDocument/2006/relationships/hyperlink" Target="https://zfxxgk.ndrc.gov.cn/web/iteminfo.jsp?id=18249" TargetMode="External"/><Relationship Id="rId769" Type="http://schemas.openxmlformats.org/officeDocument/2006/relationships/hyperlink" Target="http://fzggw.cq.gov.cn/zwgk/zfxxgkml/sphzbaxx/202010/t20201010_7947213_wap.html" TargetMode="External"/><Relationship Id="rId21" Type="http://schemas.openxmlformats.org/officeDocument/2006/relationships/hyperlink" Target="https://seenews.com/news/sofia-subway-launches-13-km-section-with-one-station-533330" TargetMode="External"/><Relationship Id="rId324" Type="http://schemas.openxmlformats.org/officeDocument/2006/relationships/hyperlink" Target="https://www.ndrc.gov.cn/xxgk/zcfb/ghwb/201908/W020190905497973740066.pdf" TargetMode="External"/><Relationship Id="rId531" Type="http://schemas.openxmlformats.org/officeDocument/2006/relationships/hyperlink" Target="http://www.dcement.com/Article/201310/117609.html" TargetMode="External"/><Relationship Id="rId629" Type="http://schemas.openxmlformats.org/officeDocument/2006/relationships/hyperlink" Target="http://rail-transit.com/project/show.php?itemid=649" TargetMode="External"/><Relationship Id="rId170" Type="http://schemas.openxmlformats.org/officeDocument/2006/relationships/hyperlink" Target="http://www.oullins.fr/territoire-d-avenir/prolongement-du-metro-b-382.html" TargetMode="External"/><Relationship Id="rId836" Type="http://schemas.openxmlformats.org/officeDocument/2006/relationships/hyperlink" Target="http://gx.sina.com.cn/news/gx/2014-01-01/00277609.html?from=gx_cnxh" TargetMode="External"/><Relationship Id="rId268" Type="http://schemas.openxmlformats.org/officeDocument/2006/relationships/hyperlink" Target="https://zh.wikipedia.org/wiki/%E4%B8%8A%E6%B5%B7%E8%BD%A8%E9%81%93%E4%BA%A4%E9%80%9A7%E5%8F%B7%E7%BA%BF" TargetMode="External"/><Relationship Id="rId475" Type="http://schemas.openxmlformats.org/officeDocument/2006/relationships/hyperlink" Target="https://zh.wikipedia.org/wiki/%E4%B8%8A%E6%B5%B7%E8%BD%A8%E9%81%93%E4%BA%A4%E9%80%9A6%E5%8F%B7%E7%BA%BF" TargetMode="External"/><Relationship Id="rId682" Type="http://schemas.openxmlformats.org/officeDocument/2006/relationships/hyperlink" Target="http://engdaily.com/news/articleView.html?idxno=14873" TargetMode="External"/><Relationship Id="rId32" Type="http://schemas.openxmlformats.org/officeDocument/2006/relationships/hyperlink" Target="http://krti.gov.spb.ru/press/news/52016/?category=17" TargetMode="External"/><Relationship Id="rId128" Type="http://schemas.openxmlformats.org/officeDocument/2006/relationships/hyperlink" Target="https://www.metro-report.com/news/metro/single-view/view/madrid-metro-line-2-extended-to-las-rosas.html?sword_list%5B%5D=madrid&amp;no_cache=1" TargetMode="External"/><Relationship Id="rId335" Type="http://schemas.openxmlformats.org/officeDocument/2006/relationships/hyperlink" Target="http://news.enorth.com.cn/system/2021/04/23/051305652.shtml" TargetMode="External"/><Relationship Id="rId542" Type="http://schemas.openxmlformats.org/officeDocument/2006/relationships/hyperlink" Target="https://www.insaatderyasi.com/gayrettepe-3-havalimani-metro-ihalesine-1-milyar-euro-1718h.htm" TargetMode="External"/><Relationship Id="rId181" Type="http://schemas.openxmlformats.org/officeDocument/2006/relationships/hyperlink" Target="https://e.vnexpress.net/news/news/saigon-metro-lines-cost-escalation-cleared-construction-not-to-stop-4002027.html" TargetMode="External"/><Relationship Id="rId402" Type="http://schemas.openxmlformats.org/officeDocument/2006/relationships/hyperlink" Target="http://img.thupdi.com/news/2015/08/1440573393290975.pdf" TargetMode="External"/><Relationship Id="rId847" Type="http://schemas.openxmlformats.org/officeDocument/2006/relationships/hyperlink" Target="https://zfxxgk.ndrc.gov.cn/web/iteminfo.jsp?id=16961" TargetMode="External"/><Relationship Id="rId279" Type="http://schemas.openxmlformats.org/officeDocument/2006/relationships/hyperlink" Target="https://www.ndrc.gov.cn/xxgk/zcfb/tz/202002/P020200210345113822478.pdf" TargetMode="External"/><Relationship Id="rId486" Type="http://schemas.openxmlformats.org/officeDocument/2006/relationships/hyperlink" Target="https://max.book118.com/html/2017/1209/143431974.shtm" TargetMode="External"/><Relationship Id="rId693" Type="http://schemas.openxmlformats.org/officeDocument/2006/relationships/hyperlink" Target="http://www.redaily.co.kr/news/articleView.html?idxno=571" TargetMode="External"/><Relationship Id="rId707" Type="http://schemas.openxmlformats.org/officeDocument/2006/relationships/hyperlink" Target="http://www.rail-transit.com/project/show.php?itemid=711" TargetMode="External"/><Relationship Id="rId43" Type="http://schemas.openxmlformats.org/officeDocument/2006/relationships/hyperlink" Target="http://nyatunnelbanan.sll.se/sites/tunnelbanan/files/Faktablad_Upphandling_%20engelsk.pdf" TargetMode="External"/><Relationship Id="rId139" Type="http://schemas.openxmlformats.org/officeDocument/2006/relationships/hyperlink" Target="https://www.transit.dot.gov/sites/fta.dot.gov/files/2023-03/NY-New-York-Second-Avenue-Subway-Phase-2-NSE-Profile-FY24.pdf" TargetMode="External"/><Relationship Id="rId346" Type="http://schemas.openxmlformats.org/officeDocument/2006/relationships/hyperlink" Target="http://www.gov.cn/xinwen/2019-01/06/5355294/files/c3d503decf1d4b6b924324b210ee0f1a.pdf" TargetMode="External"/><Relationship Id="rId553" Type="http://schemas.openxmlformats.org/officeDocument/2006/relationships/hyperlink" Target="https://www.hankyu-hanshin.co.jp/upload/irRelatedInfoEn/15.pdf" TargetMode="External"/><Relationship Id="rId760" Type="http://schemas.openxmlformats.org/officeDocument/2006/relationships/hyperlink" Target="http://www.rail-transit.com/project/show.php?itemid=456" TargetMode="External"/><Relationship Id="rId192" Type="http://schemas.openxmlformats.org/officeDocument/2006/relationships/hyperlink" Target="https://www.railwaygazette.com/cross-tokyo-link-inaugurated/40649.article" TargetMode="External"/><Relationship Id="rId206" Type="http://schemas.openxmlformats.org/officeDocument/2006/relationships/hyperlink" Target="https://indianexpress.com/article/cities/ahmedabad/ahmedabad-metro-phase-1-delay-makes-cost-jump-by-rs-2000-cr-6486037/" TargetMode="External"/><Relationship Id="rId413" Type="http://schemas.openxmlformats.org/officeDocument/2006/relationships/hyperlink" Target="http://www.rail-transit.com/project/show.php?itemid=440" TargetMode="External"/><Relationship Id="rId858" Type="http://schemas.openxmlformats.org/officeDocument/2006/relationships/hyperlink" Target="http://www.rail-transit.com/xinwen/show.php?itemid=23315" TargetMode="External"/><Relationship Id="rId497" Type="http://schemas.openxmlformats.org/officeDocument/2006/relationships/hyperlink" Target="http://www.rail-transit.com/project/show.php?itemid=241" TargetMode="External"/><Relationship Id="rId620" Type="http://schemas.openxmlformats.org/officeDocument/2006/relationships/hyperlink" Target="https://www.seetao.com/details/158417.html" TargetMode="External"/><Relationship Id="rId718" Type="http://schemas.openxmlformats.org/officeDocument/2006/relationships/hyperlink" Target="http://news.cctv.com/society/20090323/106184.shtml" TargetMode="External"/><Relationship Id="rId357" Type="http://schemas.openxmlformats.org/officeDocument/2006/relationships/hyperlink" Target="https://www.ndrc.gov.cn/fggz/zcssfz/zcgh/201904/W020190910670741123314.pdf" TargetMode="External"/><Relationship Id="rId54" Type="http://schemas.openxmlformats.org/officeDocument/2006/relationships/hyperlink" Target="https://www.gpmetropole-infos.fr/le-cout-du-grand-paris-express-revu-a-la-hausse/" TargetMode="External"/><Relationship Id="rId217" Type="http://schemas.openxmlformats.org/officeDocument/2006/relationships/hyperlink" Target="https://focustaiwan.tw/society/202003240018" TargetMode="External"/><Relationship Id="rId564" Type="http://schemas.openxmlformats.org/officeDocument/2006/relationships/hyperlink" Target="https://www.transport-publiczny.pl/mobile/rusza-drazenie-tuneli-w-lodzi-tunele-wykonaja-katarzyna-i-faustyna-67079.html" TargetMode="External"/><Relationship Id="rId771" Type="http://schemas.openxmlformats.org/officeDocument/2006/relationships/hyperlink" Target="http://fgw.fuzhou.gov.cn/zz/fgwzwgk/tzgg/201804/t20180428_2189534.htm" TargetMode="External"/><Relationship Id="rId869" Type="http://schemas.openxmlformats.org/officeDocument/2006/relationships/hyperlink" Target="https://www.sohu.com/a/110615261_160914" TargetMode="External"/><Relationship Id="rId424" Type="http://schemas.openxmlformats.org/officeDocument/2006/relationships/hyperlink" Target="http://www.rail-transit.com/project/show.php?itemid=113" TargetMode="External"/><Relationship Id="rId631" Type="http://schemas.openxmlformats.org/officeDocument/2006/relationships/hyperlink" Target="https://www.ndrc.gov.cn/xxgk/zcfb/pifu/202101/t20210126_1316566.html?code=&amp;state=123" TargetMode="External"/><Relationship Id="rId729" Type="http://schemas.openxmlformats.org/officeDocument/2006/relationships/hyperlink" Target="http://www.rail-transit.com/project/show.php?itemid=231" TargetMode="External"/><Relationship Id="rId270" Type="http://schemas.openxmlformats.org/officeDocument/2006/relationships/hyperlink" Target="https://zh.wikipedia.org/wiki/%E4%B8%8A%E6%B5%B7%E8%BD%A8%E9%81%93%E4%BA%A4%E9%80%9A9%E5%8F%B7%E7%BA%BF" TargetMode="External"/><Relationship Id="rId65" Type="http://schemas.openxmlformats.org/officeDocument/2006/relationships/hyperlink" Target="https://metrocspa.it/cms/wp-content/uploads/2016/12/2-Q.E.G.-12-set-2013.pdf" TargetMode="External"/><Relationship Id="rId130" Type="http://schemas.openxmlformats.org/officeDocument/2006/relationships/hyperlink" Target="http://documents.worldbank.org/curated/en/872611529897472449/pdf/Ecuador-PP-06052018.pdf" TargetMode="External"/><Relationship Id="rId368" Type="http://schemas.openxmlformats.org/officeDocument/2006/relationships/hyperlink" Target="http://www.nngdjt.com/html/4061/8670.html" TargetMode="External"/><Relationship Id="rId575" Type="http://schemas.openxmlformats.org/officeDocument/2006/relationships/hyperlink" Target="http://silos.infrastrutturestrategiche.it/admin/scheda.aspx?id=1723" TargetMode="External"/><Relationship Id="rId782" Type="http://schemas.openxmlformats.org/officeDocument/2006/relationships/hyperlink" Target="http://drc.gd.gov.cn/zdxm5665/content/post_851371.html" TargetMode="External"/><Relationship Id="rId228" Type="http://schemas.openxmlformats.org/officeDocument/2006/relationships/hyperlink" Target="http://www.ejrcf.or.jp/jrtr/jrtr30/pdf/s42_aok.pdf" TargetMode="External"/><Relationship Id="rId435" Type="http://schemas.openxmlformats.org/officeDocument/2006/relationships/hyperlink" Target="https://www.ndrc.gov.cn/fggz/zcssfz/zcgh/201907/W020190910670748591840.pdf" TargetMode="External"/><Relationship Id="rId642" Type="http://schemas.openxmlformats.org/officeDocument/2006/relationships/hyperlink" Target="http://m.iqilu.com/pcarticle/4545295" TargetMode="External"/><Relationship Id="rId281" Type="http://schemas.openxmlformats.org/officeDocument/2006/relationships/hyperlink" Target="https://www.ndrc.gov.cn/xxgk/zcfb/tz/202002/P020200210345113822478.pdf" TargetMode="External"/><Relationship Id="rId502" Type="http://schemas.openxmlformats.org/officeDocument/2006/relationships/hyperlink" Target="https://baijiahao.baidu.com/s?id=1638089292564878111&amp;wfr=spider&amp;for=pc" TargetMode="External"/><Relationship Id="rId76" Type="http://schemas.openxmlformats.org/officeDocument/2006/relationships/hyperlink" Target="https://www.straitstimes.com/singapore/transport/thomson-east-coast-line-6-more-stations-from-springleaf-to-caldecott-opening" TargetMode="External"/><Relationship Id="rId141" Type="http://schemas.openxmlformats.org/officeDocument/2006/relationships/hyperlink" Target="https://www.masstransitmag.com/rail/infrastructure/press-release/21094267/gateway-program-the-hudson-tunnel-projects-trims-14-billion-with-new-financial-plan" TargetMode="External"/><Relationship Id="rId379" Type="http://schemas.openxmlformats.org/officeDocument/2006/relationships/hyperlink" Target="http://www.gov.cn/xinwen/2017-03/23/5180079/files/d764253433a944c0a620def88bf6f446.pdf" TargetMode="External"/><Relationship Id="rId586" Type="http://schemas.openxmlformats.org/officeDocument/2006/relationships/hyperlink" Target="https://www.regione.campania.it/assets/documents/delibera-20-2017.pdf" TargetMode="External"/><Relationship Id="rId793" Type="http://schemas.openxmlformats.org/officeDocument/2006/relationships/hyperlink" Target="http://www.rail-transit.com/project/show.php?itemid=249" TargetMode="External"/><Relationship Id="rId807" Type="http://schemas.openxmlformats.org/officeDocument/2006/relationships/hyperlink" Target="https://www.cssglw.com/news/635201059257656250.html" TargetMode="External"/><Relationship Id="rId7" Type="http://schemas.openxmlformats.org/officeDocument/2006/relationships/hyperlink" Target="https://www.at5.nl/artikelen/184604/zaterdag-noordzuidlijn-eindelijk-open-de-opvallendste-feiten" TargetMode="External"/><Relationship Id="rId239" Type="http://schemas.openxmlformats.org/officeDocument/2006/relationships/hyperlink" Target="https://www.sabah.com.tr/Gundem/2013/06/14/istanbula-yeni-metro" TargetMode="External"/><Relationship Id="rId446" Type="http://schemas.openxmlformats.org/officeDocument/2006/relationships/hyperlink" Target="https://www.ndrc.gov.cn/xxgk/zcfb/ghwb/201612/W020190905497886107757.pdf" TargetMode="External"/><Relationship Id="rId653" Type="http://schemas.openxmlformats.org/officeDocument/2006/relationships/hyperlink" Target="http://promeechina.com/newsinfo.html?id=27" TargetMode="External"/><Relationship Id="rId292" Type="http://schemas.openxmlformats.org/officeDocument/2006/relationships/hyperlink" Target="http://www.rail-transit.com/project/show.php?itemid=557" TargetMode="External"/><Relationship Id="rId306" Type="http://schemas.openxmlformats.org/officeDocument/2006/relationships/hyperlink" Target="https://www.ndrc.gov.cn/fggz/zcssfz/zcgh/201812/W020190910670719961874.pdf" TargetMode="External"/><Relationship Id="rId860" Type="http://schemas.openxmlformats.org/officeDocument/2006/relationships/hyperlink" Target="http://www.rail-transit.com/project/show.php?itemid=110" TargetMode="External"/><Relationship Id="rId87" Type="http://schemas.openxmlformats.org/officeDocument/2006/relationships/hyperlink" Target="https://mmrda.maharashtra.gov.in/metro-line-9" TargetMode="External"/><Relationship Id="rId513" Type="http://schemas.openxmlformats.org/officeDocument/2006/relationships/hyperlink" Target="https://www.urbantransportnews.com/bahrain-to-finalise-109-km-light-metro-rail-bids-in-march-2020/" TargetMode="External"/><Relationship Id="rId597" Type="http://schemas.openxmlformats.org/officeDocument/2006/relationships/hyperlink" Target="http://www.rail-transit.com/project/show.php?itemid=232" TargetMode="External"/><Relationship Id="rId720" Type="http://schemas.openxmlformats.org/officeDocument/2006/relationships/hyperlink" Target="http://www.rail-transit.com/project/show.php?itemid=141" TargetMode="External"/><Relationship Id="rId818" Type="http://schemas.openxmlformats.org/officeDocument/2006/relationships/hyperlink" Target="http://www.rail-transit.com/project/show.php?itemid=347" TargetMode="External"/><Relationship Id="rId152" Type="http://schemas.openxmlformats.org/officeDocument/2006/relationships/hyperlink" Target="https://www.nahverkehrhamburg.de/u4-verlaengerung-in-horner-geest-soll-465-millionen-euro-kosten-9328/" TargetMode="External"/><Relationship Id="rId457" Type="http://schemas.openxmlformats.org/officeDocument/2006/relationships/hyperlink" Target="https://www.ndrc.gov.cn/fggz/zcssfz/zcgh/201505/W020190910670534928118.pdf" TargetMode="External"/><Relationship Id="rId664" Type="http://schemas.openxmlformats.org/officeDocument/2006/relationships/hyperlink" Target="http://www.rail-transit.com/project/show.php?itemid=450" TargetMode="External"/><Relationship Id="rId871" Type="http://schemas.openxmlformats.org/officeDocument/2006/relationships/hyperlink" Target="https://www.sohu.com/a/110615261_160914" TargetMode="External"/><Relationship Id="rId14" Type="http://schemas.openxmlformats.org/officeDocument/2006/relationships/hyperlink" Target="https://www.sfchronicle.com/bayarea/article/Central-Subway-tab-likely-to-grow-by-55M-as-14447857.php" TargetMode="External"/><Relationship Id="rId317" Type="http://schemas.openxmlformats.org/officeDocument/2006/relationships/hyperlink" Target="https://zh.wikisource.org/zh-hans/%E5%8C%97%E4%BA%AC%E5%B8%82%E5%9F%8E%E5%B8%82%E8%BD%A8%E9%81%93%E4%BA%A4%E9%80%9A%E7%AC%AC%E4%BA%8C%E6%9C%9F%E5%BB%BA%E8%AE%BE%E8%A7%84%E5%88%92%EF%BC%882015%EF%BD%9E2021%E5%B9%B4%EF%BC%89" TargetMode="External"/><Relationship Id="rId524" Type="http://schemas.openxmlformats.org/officeDocument/2006/relationships/hyperlink" Target="http://fgw.sz.gov.cn/zwgk/qt/tzgg/201902/P020190226346098115982.pdf" TargetMode="External"/><Relationship Id="rId731" Type="http://schemas.openxmlformats.org/officeDocument/2006/relationships/hyperlink" Target="http://www.chinanews.com/gn/news/2009/02-11/1558424.shtml" TargetMode="External"/><Relationship Id="rId98" Type="http://schemas.openxmlformats.org/officeDocument/2006/relationships/hyperlink" Target="http://news1.kr/articles/?3552208" TargetMode="External"/><Relationship Id="rId163" Type="http://schemas.openxmlformats.org/officeDocument/2006/relationships/hyperlink" Target="https://www.diariosur.es/20130217/local/malaga/obras-metro-malaga-costaran-201302170041.html" TargetMode="External"/><Relationship Id="rId370" Type="http://schemas.openxmlformats.org/officeDocument/2006/relationships/hyperlink" Target="https://www.ndrc.gov.cn/fggz/zcssfz/zcgh/201601/t20160112_1145713.html" TargetMode="External"/><Relationship Id="rId829" Type="http://schemas.openxmlformats.org/officeDocument/2006/relationships/hyperlink" Target="https://www.163.com/dy/article/EDJQN1JG0511K4OT.html" TargetMode="External"/><Relationship Id="rId230" Type="http://schemas.openxmlformats.org/officeDocument/2006/relationships/hyperlink" Target="https://www.nuernberg.de/presse/mitteilungen/presse_68381.html" TargetMode="External"/><Relationship Id="rId468" Type="http://schemas.openxmlformats.org/officeDocument/2006/relationships/hyperlink" Target="http://img.thupdi.com/news/2015/08/1440573393290975.pdf" TargetMode="External"/><Relationship Id="rId675" Type="http://schemas.openxmlformats.org/officeDocument/2006/relationships/hyperlink" Target="https://web.archive.org/web/20191106163139/http:/www.bjgdjs.com/html/2019-09/797.html" TargetMode="External"/><Relationship Id="rId882" Type="http://schemas.openxmlformats.org/officeDocument/2006/relationships/hyperlink" Target="https://globalnews.ca/news/8016045/justin-trudeau-federal-funding-skytrain-surrey-langley/" TargetMode="External"/><Relationship Id="rId25" Type="http://schemas.openxmlformats.org/officeDocument/2006/relationships/hyperlink" Target="https://www.railjournal.com/passenger/metros/warsaw-metro-line-m2-reaches-targowek/" TargetMode="External"/><Relationship Id="rId328" Type="http://schemas.openxmlformats.org/officeDocument/2006/relationships/hyperlink" Target="https://zh.wikisource.org/zh-hans/%E5%8C%97%E4%BA%AC%E5%B8%82%E5%9F%8E%E5%B8%82%E8%BD%A8%E9%81%93%E4%BA%A4%E9%80%9A%E7%AC%AC%E4%BA%8C%E6%9C%9F%E5%BB%BA%E8%AE%BE%E8%A7%84%E5%88%92%EF%BC%882015%EF%BD%9E2021%E5%B9%B4%EF%BC%89" TargetMode="External"/><Relationship Id="rId535" Type="http://schemas.openxmlformats.org/officeDocument/2006/relationships/hyperlink" Target="https://www.ndrc.gov.cn/xxgk/zcfb/tz/201607/W020190905517098302181.pdf" TargetMode="External"/><Relationship Id="rId742" Type="http://schemas.openxmlformats.org/officeDocument/2006/relationships/hyperlink" Target="http://www.rail-transit.com/project/show.php?itemid=76" TargetMode="External"/><Relationship Id="rId174" Type="http://schemas.openxmlformats.org/officeDocument/2006/relationships/hyperlink" Target="https://www.mrta.co.th/en/projectelectrictrain/bangkok-and-vicinities/blueline/?AspxAutoDetectCookieSupport=1" TargetMode="External"/><Relationship Id="rId381" Type="http://schemas.openxmlformats.org/officeDocument/2006/relationships/hyperlink" Target="http://www.rail-transit.com/project/show.php?itemid=170" TargetMode="External"/><Relationship Id="rId602" Type="http://schemas.openxmlformats.org/officeDocument/2006/relationships/hyperlink" Target="http://www.incheonnews.com/news/articleView.html?idxno=86652" TargetMode="External"/><Relationship Id="rId241" Type="http://schemas.openxmlformats.org/officeDocument/2006/relationships/hyperlink" Target="https://railturkey.org/2016/10/15/kadikoy-kartal-tavsantepe-metro-m4/2/" TargetMode="External"/><Relationship Id="rId479" Type="http://schemas.openxmlformats.org/officeDocument/2006/relationships/hyperlink" Target="http://politics.people.com.cn/n/2013/0223/c70731-20575832.html" TargetMode="External"/><Relationship Id="rId686" Type="http://schemas.openxmlformats.org/officeDocument/2006/relationships/hyperlink" Target="http://m.ufnews.co.kr/main/sub_news_detail.html?wr_id=4725" TargetMode="External"/><Relationship Id="rId893" Type="http://schemas.openxmlformats.org/officeDocument/2006/relationships/hyperlink" Target="https://www.romania-insider.com/cluj-napoca-subway-contract-signed-may-2023" TargetMode="External"/><Relationship Id="rId36" Type="http://schemas.openxmlformats.org/officeDocument/2006/relationships/hyperlink" Target="https://www.toulousemetro3.fr/le-projet/3eme-ligne.html" TargetMode="External"/><Relationship Id="rId339" Type="http://schemas.openxmlformats.org/officeDocument/2006/relationships/hyperlink" Target="http://www.rail-transit.com/project/show.php?itemid=265" TargetMode="External"/><Relationship Id="rId546" Type="http://schemas.openxmlformats.org/officeDocument/2006/relationships/hyperlink" Target="https://www.info.gov.hk/archive/napco/cost.html" TargetMode="External"/><Relationship Id="rId753" Type="http://schemas.openxmlformats.org/officeDocument/2006/relationships/hyperlink" Target="http://m.xinhuanet.com/cq/2019-01/27/c_1124047880.htm" TargetMode="External"/><Relationship Id="rId101" Type="http://schemas.openxmlformats.org/officeDocument/2006/relationships/hyperlink" Target="http://news.bbc.co.uk/2/hi/uk_news/529006.stm" TargetMode="External"/><Relationship Id="rId185" Type="http://schemas.openxmlformats.org/officeDocument/2006/relationships/hyperlink" Target="http://www.mlit.go.jp/common/001272230.pdf" TargetMode="External"/><Relationship Id="rId406" Type="http://schemas.openxmlformats.org/officeDocument/2006/relationships/hyperlink" Target="http://zfxxgk.ndrc.gov.cn/web/iteminfo.jsp?id=362" TargetMode="External"/><Relationship Id="rId392" Type="http://schemas.openxmlformats.org/officeDocument/2006/relationships/hyperlink" Target="https://www.ndrc.gov.cn/fggz/zcssfz/zcgh/201812/W020190910670713741772.pdf" TargetMode="External"/><Relationship Id="rId613" Type="http://schemas.openxmlformats.org/officeDocument/2006/relationships/hyperlink" Target="https://indianexpress.com/article/cities/surat/tenders-worth-rs-3002-cr-awarded-work-for-phase-1-of-surat-metro-begins-7511571/" TargetMode="External"/><Relationship Id="rId697" Type="http://schemas.openxmlformats.org/officeDocument/2006/relationships/hyperlink" Target="http://www.rail-transit.com/project/show.php?itemid=216" TargetMode="External"/><Relationship Id="rId820" Type="http://schemas.openxmlformats.org/officeDocument/2006/relationships/hyperlink" Target="http://www.rail-transit.com/project/show.php?itemid=435" TargetMode="External"/><Relationship Id="rId252" Type="http://schemas.openxmlformats.org/officeDocument/2006/relationships/hyperlink" Target="https://new.qq.com/omn/20210301/20210301A0E4JW00.html" TargetMode="External"/><Relationship Id="rId47" Type="http://schemas.openxmlformats.org/officeDocument/2006/relationships/hyperlink" Target="http://www.tunnel-online.info/en/artikel/artikel_en_1204638.html" TargetMode="External"/><Relationship Id="rId112" Type="http://schemas.openxmlformats.org/officeDocument/2006/relationships/hyperlink" Target="https://newsinfo.inquirer.net/1211139/mrt-4-project-targeted-for-completion-in-2025" TargetMode="External"/><Relationship Id="rId557" Type="http://schemas.openxmlformats.org/officeDocument/2006/relationships/hyperlink" Target="https://www.uab.gov.tr/uploads/cities/istanbul/34-istanbul.pdf" TargetMode="External"/><Relationship Id="rId764" Type="http://schemas.openxmlformats.org/officeDocument/2006/relationships/hyperlink" Target="http://news.sohu.com/20070609/n250475902.shtml" TargetMode="External"/><Relationship Id="rId196" Type="http://schemas.openxmlformats.org/officeDocument/2006/relationships/hyperlink" Target="https://www.railjournal.com/passenger/metros/revival-of-sao-paulo-metro-line-6-orange-project-a-step-closer/" TargetMode="External"/><Relationship Id="rId417" Type="http://schemas.openxmlformats.org/officeDocument/2006/relationships/hyperlink" Target="https://www.ndrc.gov.cn/xxgk/zcfb/ghwb/201809/W020190905497960329280.pdf" TargetMode="External"/><Relationship Id="rId624" Type="http://schemas.openxmlformats.org/officeDocument/2006/relationships/hyperlink" Target="http://www.rail-transit.com/project/show.php?itemid=117" TargetMode="External"/><Relationship Id="rId831" Type="http://schemas.openxmlformats.org/officeDocument/2006/relationships/hyperlink" Target="http://www.gov.cn/jrzg/2005-12/28/content_140207.htm" TargetMode="External"/><Relationship Id="rId263" Type="http://schemas.openxmlformats.org/officeDocument/2006/relationships/hyperlink" Target="https://zh.wikipedia.org/wiki/%E4%B8%8A%E6%B5%B7%E8%BD%A8%E9%81%93%E4%BA%A4%E9%80%9A3%E5%8F%B7%E7%BA%BF" TargetMode="External"/><Relationship Id="rId470" Type="http://schemas.openxmlformats.org/officeDocument/2006/relationships/hyperlink" Target="https://zh.wikipedia.org/wiki/%E4%B8%8A%E6%B5%B7%E8%BD%A8%E9%81%93%E4%BA%A4%E9%80%9A11%E5%8F%B7%E7%BA%BF" TargetMode="External"/><Relationship Id="rId58" Type="http://schemas.openxmlformats.org/officeDocument/2006/relationships/hyperlink" Target="https://books.google.de/books?id=B3-SBgAAQBAJ&amp;pg=PA44&amp;lpg=PA44&amp;dq=shinbundang+line+construction+cost+11690&amp;source=bl&amp;ots=_CTZGAt6MP&amp;sig=ACfU3U0qGvuRqbqwA60o8fLQNSdXTt8BlQ&amp;hl=en&amp;sa=X&amp;ved=2ahUKEwi847D6oPPqAhXLqqQKHf_ZB1MQ6AEwEHoECAsQAQ" TargetMode="External"/><Relationship Id="rId123" Type="http://schemas.openxmlformats.org/officeDocument/2006/relationships/hyperlink" Target="https://tunnelbuilder.com/metrosur/edition2pdf/page2.pdf" TargetMode="External"/><Relationship Id="rId330" Type="http://schemas.openxmlformats.org/officeDocument/2006/relationships/hyperlink" Target="https://www.ndrc.gov.cn/xxgk/zcfb/ghwb/201612/W020190905497886107757.pdf" TargetMode="External"/><Relationship Id="rId568" Type="http://schemas.openxmlformats.org/officeDocument/2006/relationships/hyperlink" Target="https://deutsch.radio.cz/prager-metro-bau-der-neuen-linie-d-nimmt-konturen-8683676" TargetMode="External"/><Relationship Id="rId775" Type="http://schemas.openxmlformats.org/officeDocument/2006/relationships/hyperlink" Target="http://district.ce.cn/newarea/roll/201503/17/t20150317_4847921.shtml" TargetMode="External"/><Relationship Id="rId428" Type="http://schemas.openxmlformats.org/officeDocument/2006/relationships/hyperlink" Target="http://zfxxgk.ndrc.gov.cn/web/iteminfo.jsp?id=12400" TargetMode="External"/><Relationship Id="rId635" Type="http://schemas.openxmlformats.org/officeDocument/2006/relationships/hyperlink" Target="https://new.qq.com/omn/20210613/20210613A08PZJ00.html" TargetMode="External"/><Relationship Id="rId842" Type="http://schemas.openxmlformats.org/officeDocument/2006/relationships/hyperlink" Target="http://www.rail-transit.com/project/show.php?itemid=545" TargetMode="External"/><Relationship Id="rId274" Type="http://schemas.openxmlformats.org/officeDocument/2006/relationships/hyperlink" Target="https://web.archive.org/web/20201108201629/http:/news.sina.com.cn/o/2017-12-27/doc-ifyqchnr6135266.shtml" TargetMode="External"/><Relationship Id="rId481" Type="http://schemas.openxmlformats.org/officeDocument/2006/relationships/hyperlink" Target="http://politics.people.com.cn/n/2013/0223/c70731-20575832.html" TargetMode="External"/><Relationship Id="rId702" Type="http://schemas.openxmlformats.org/officeDocument/2006/relationships/hyperlink" Target="https://www.ndrc.gov.cn/fggz/zcssfz/zcgh/201601/W020190910670584360634.pdf" TargetMode="External"/><Relationship Id="rId69" Type="http://schemas.openxmlformats.org/officeDocument/2006/relationships/hyperlink" Target="https://www.thelocal.dk/20190930/in-pictures-copenhagens-new-city-ring-metro-line" TargetMode="External"/><Relationship Id="rId134" Type="http://schemas.openxmlformats.org/officeDocument/2006/relationships/hyperlink" Target="https://montrealgazette.com/news/local-news/the-sleepy-success-story-of-the-laval-metro-extension" TargetMode="External"/><Relationship Id="rId579" Type="http://schemas.openxmlformats.org/officeDocument/2006/relationships/hyperlink" Target="https://smart.comune.genova.it/articoli/presentato-ai-cittadini-il-progetto-della-nuova-metro-brin-canepari" TargetMode="External"/><Relationship Id="rId786" Type="http://schemas.openxmlformats.org/officeDocument/2006/relationships/hyperlink" Target="https://news.dayoo.com/guangzhou/202011/02/139995_53631830.htm" TargetMode="External"/><Relationship Id="rId341" Type="http://schemas.openxmlformats.org/officeDocument/2006/relationships/hyperlink" Target="http://www.rail-transit.com/project/show.php?itemid=272" TargetMode="External"/><Relationship Id="rId439" Type="http://schemas.openxmlformats.org/officeDocument/2006/relationships/hyperlink" Target="https://sh.ihouse.ifeng.com/news/2020_06_10-52808712_0.shtml/?from=news_highlights_news" TargetMode="External"/><Relationship Id="rId646" Type="http://schemas.openxmlformats.org/officeDocument/2006/relationships/hyperlink" Target="http://www.rail-transit.com/project/show.php?itemid=282" TargetMode="External"/><Relationship Id="rId201" Type="http://schemas.openxmlformats.org/officeDocument/2006/relationships/hyperlink" Target="https://economictimes.indiatimes.com/industry/transportation/railways/cost-and-time-overrun-marks-bengaluru-metro-phase-i/articleshow/57550535.cms" TargetMode="External"/><Relationship Id="rId285" Type="http://schemas.openxmlformats.org/officeDocument/2006/relationships/hyperlink" Target="https://huacheng.gz-cmc.com/pages/2020/09/02/12217064331742859f82edec5e61f9ff.html" TargetMode="External"/><Relationship Id="rId506" Type="http://schemas.openxmlformats.org/officeDocument/2006/relationships/hyperlink" Target="http://www.riyadhmetro.sa/" TargetMode="External"/><Relationship Id="rId853" Type="http://schemas.openxmlformats.org/officeDocument/2006/relationships/hyperlink" Target="http://www.gov.cn/xinwen/2019-01/06/5355294/files/c3d503decf1d4b6b924324b210ee0f1a.pdf" TargetMode="External"/><Relationship Id="rId492" Type="http://schemas.openxmlformats.org/officeDocument/2006/relationships/hyperlink" Target="https://zh.wikipedia.org/wiki/%E5%8C%97%E4%BA%AC%E5%9C%B0%E9%93%8110%E5%8F%B7%E7%BA%BF" TargetMode="External"/><Relationship Id="rId713" Type="http://schemas.openxmlformats.org/officeDocument/2006/relationships/hyperlink" Target="http://www.rail-transit.com/project/show.php?itemid=295" TargetMode="External"/><Relationship Id="rId797" Type="http://schemas.openxmlformats.org/officeDocument/2006/relationships/hyperlink" Target="http://www.rail-transit.com/project/show.php?itemid=116" TargetMode="External"/><Relationship Id="rId145" Type="http://schemas.openxmlformats.org/officeDocument/2006/relationships/hyperlink" Target="https://www.railpassion.fr/materiel-actualites-rp/011-14751-la-ligne-8-du-metro-arrive-a-creteil-pointe-du-lac/" TargetMode="External"/><Relationship Id="rId352" Type="http://schemas.openxmlformats.org/officeDocument/2006/relationships/hyperlink" Target="http://www.rail-transit.com/project/show.php?itemid=171" TargetMode="External"/><Relationship Id="rId212" Type="http://schemas.openxmlformats.org/officeDocument/2006/relationships/hyperlink" Target="https://www.ceva.ch/2017/05/11/financement-et-organisation/?b=https://www.ceva.ch/category/projet" TargetMode="External"/><Relationship Id="rId657" Type="http://schemas.openxmlformats.org/officeDocument/2006/relationships/hyperlink" Target="https://zfxxgk.ndrc.gov.cn/web/iteminfo.jsp?id=18249" TargetMode="External"/><Relationship Id="rId864" Type="http://schemas.openxmlformats.org/officeDocument/2006/relationships/hyperlink" Target="http://www.rail-transit.com/project/show.php?itemid=244" TargetMode="External"/><Relationship Id="rId296" Type="http://schemas.openxmlformats.org/officeDocument/2006/relationships/hyperlink" Target="http://www.rail-transit.com/project/show.php?itemid=563" TargetMode="External"/><Relationship Id="rId517" Type="http://schemas.openxmlformats.org/officeDocument/2006/relationships/hyperlink" Target="https://tunnelbuilder.com/News/New-metro-line-6-in-Cairo-deal-signed-.aspx" TargetMode="External"/><Relationship Id="rId724" Type="http://schemas.openxmlformats.org/officeDocument/2006/relationships/hyperlink" Target="http://politics.people.com.cn/n/2014/1105/c70731-25980932.html" TargetMode="External"/><Relationship Id="rId60" Type="http://schemas.openxmlformats.org/officeDocument/2006/relationships/hyperlink" Target="https://www.eleconomista.com.mx/estados/Linea-3-arriba-78-de-su-costo-20200121-0023.html" TargetMode="External"/><Relationship Id="rId156" Type="http://schemas.openxmlformats.org/officeDocument/2006/relationships/hyperlink" Target="https://govern.cat/govern/docs/2012/10/03/12/36/6b33e55c-7ef4-4200-8517-97c7501d026e.pdf" TargetMode="External"/><Relationship Id="rId363" Type="http://schemas.openxmlformats.org/officeDocument/2006/relationships/hyperlink" Target="http://www.rail-transit.com/project/show.php?itemid=356" TargetMode="External"/><Relationship Id="rId570" Type="http://schemas.openxmlformats.org/officeDocument/2006/relationships/hyperlink" Target="https://www.sueddeutsche.de/muenchen/muenchen-u-bahn-u5-pasing-kosten-1.5475070" TargetMode="External"/><Relationship Id="rId223" Type="http://schemas.openxmlformats.org/officeDocument/2006/relationships/hyperlink" Target="https://www.railjournal.com/in_depth/taiwan-transit-in-transition" TargetMode="External"/><Relationship Id="rId430" Type="http://schemas.openxmlformats.org/officeDocument/2006/relationships/hyperlink" Target="https://4g.dahe.cn/news/20191106554486" TargetMode="External"/><Relationship Id="rId668" Type="http://schemas.openxmlformats.org/officeDocument/2006/relationships/hyperlink" Target="http://www.rail-transit.com/project/show.php?itemid=668" TargetMode="External"/><Relationship Id="rId875" Type="http://schemas.openxmlformats.org/officeDocument/2006/relationships/hyperlink" Target="https://www.ndrc.gov.cn/fggz/zcssfz/zdgc/201209/t20120905_1145854.html" TargetMode="External"/><Relationship Id="rId18" Type="http://schemas.openxmlformats.org/officeDocument/2006/relationships/hyperlink" Target="https://www.novinite.com/articles/167648/Subway+Trains+to+Sofia+Airport+Start+Running+at+1+pm+on+April+2" TargetMode="External"/><Relationship Id="rId528" Type="http://schemas.openxmlformats.org/officeDocument/2006/relationships/hyperlink" Target="http://fgw.sz.gov.cn/zwgk/qt/tzgg/201902/P020190226346098115982.pdf" TargetMode="External"/><Relationship Id="rId735" Type="http://schemas.openxmlformats.org/officeDocument/2006/relationships/hyperlink" Target="http://www.rail-transit.com/project/show.php?itemid=540" TargetMode="External"/><Relationship Id="rId167" Type="http://schemas.openxmlformats.org/officeDocument/2006/relationships/hyperlink" Target="https://www.jttri.or.jp/docs/seminar190719-25.pdf" TargetMode="External"/><Relationship Id="rId374" Type="http://schemas.openxmlformats.org/officeDocument/2006/relationships/hyperlink" Target="https://www.ndrc.gov.cn/fggz/zcssfz/zcgh/201907/W020190910670748591840.pdf" TargetMode="External"/><Relationship Id="rId581" Type="http://schemas.openxmlformats.org/officeDocument/2006/relationships/hyperlink" Target="http://www.rivistacorteconti.it/export/sites/rivistaweb/RepositoryPdf/2017/fascicolo_16_2017/30_CDC_gestione_4.pdf" TargetMode="External"/><Relationship Id="rId71" Type="http://schemas.openxmlformats.org/officeDocument/2006/relationships/hyperlink" Target="https://www.nrk.no/osloogviken/fornebubanen-er-vedtatt-i-oslo-bystyre-1.16010843" TargetMode="External"/><Relationship Id="rId234" Type="http://schemas.openxmlformats.org/officeDocument/2006/relationships/hyperlink" Target="https://www.fnp.de/frankfurt/frankfurt-u-bahn-u5-verlaengerung-spaeter-teurer-wegen-eva-zr-13449222.html" TargetMode="External"/><Relationship Id="rId679" Type="http://schemas.openxmlformats.org/officeDocument/2006/relationships/hyperlink" Target="http://www.rail-transit.com/project/show.php?itemid=524" TargetMode="External"/><Relationship Id="rId802" Type="http://schemas.openxmlformats.org/officeDocument/2006/relationships/hyperlink" Target="https://fzggw.zj.gov.cn/art/2017/7/6/art_1599553_30290528.html" TargetMode="External"/><Relationship Id="rId886" Type="http://schemas.openxmlformats.org/officeDocument/2006/relationships/hyperlink" Target="https://www.nuernberg.de/presse/mitteilungen/presse_77790.html" TargetMode="External"/><Relationship Id="rId2" Type="http://schemas.openxmlformats.org/officeDocument/2006/relationships/hyperlink" Target="https://www.translink.ca/Plans-and-Projects/Rapid-Transit-Projects/Broadway-Subway-Project.aspx" TargetMode="External"/><Relationship Id="rId29" Type="http://schemas.openxmlformats.org/officeDocument/2006/relationships/hyperlink" Target="https://www.rbc.ru/politics/23/11/2017/5a16bd6a9a7947a6f487fe13" TargetMode="External"/><Relationship Id="rId441" Type="http://schemas.openxmlformats.org/officeDocument/2006/relationships/hyperlink" Target="http://www.rail-transit.com/project/show.php?itemid=448" TargetMode="External"/><Relationship Id="rId539" Type="http://schemas.openxmlformats.org/officeDocument/2006/relationships/hyperlink" Target="https://ekap.kik.gov.tr/EKAP/Ortak/IhaleArama/index.html" TargetMode="External"/><Relationship Id="rId746" Type="http://schemas.openxmlformats.org/officeDocument/2006/relationships/hyperlink" Target="https://www.ndrc.gov.cn/fggz/zcssfz/zdgc/201505/t20150518_1146000.html" TargetMode="External"/><Relationship Id="rId178" Type="http://schemas.openxmlformats.org/officeDocument/2006/relationships/hyperlink" Target="https://www.mrta.co.th/en/projectelectrictrain/bangkok-and-vicinities/orangeline/" TargetMode="External"/><Relationship Id="rId301" Type="http://schemas.openxmlformats.org/officeDocument/2006/relationships/hyperlink" Target="http://zfxxgk.ndrc.gov.cn/web/iteminfo.jsp?id=16921" TargetMode="External"/><Relationship Id="rId82" Type="http://schemas.openxmlformats.org/officeDocument/2006/relationships/hyperlink" Target="https://mmrda.maharashtra.gov.in/metro-line-4" TargetMode="External"/><Relationship Id="rId385" Type="http://schemas.openxmlformats.org/officeDocument/2006/relationships/hyperlink" Target="http://www.rail-transit.com/project/show.php?itemid=211" TargetMode="External"/><Relationship Id="rId592" Type="http://schemas.openxmlformats.org/officeDocument/2006/relationships/hyperlink" Target="http://www.rail-transit.com/project/show.php?itemid=650" TargetMode="External"/><Relationship Id="rId606" Type="http://schemas.openxmlformats.org/officeDocument/2006/relationships/hyperlink" Target="https://timesofindia.indiatimes.com/city/pune/98-of-land-acquired-for-pmrda-metro-line-project-start-date-soon/articleshow/85723503.cms" TargetMode="External"/><Relationship Id="rId813" Type="http://schemas.openxmlformats.org/officeDocument/2006/relationships/hyperlink" Target="http://www.rail-transit.com/project/show.php?itemid=167" TargetMode="External"/><Relationship Id="rId245" Type="http://schemas.openxmlformats.org/officeDocument/2006/relationships/hyperlink" Target="https://www.hurriyet.com.tr/ege/metroluyuz-39155285" TargetMode="External"/><Relationship Id="rId452" Type="http://schemas.openxmlformats.org/officeDocument/2006/relationships/hyperlink" Target="https://www.ndrc.gov.cn/xxgk/zcfb/ghwb/201703/t20170323_962232.html" TargetMode="External"/><Relationship Id="rId105" Type="http://schemas.openxmlformats.org/officeDocument/2006/relationships/hyperlink" Target="http://patrocinados.estadao.com.br/ccr/salvadors-subway-becomes-a-model-of-success/" TargetMode="External"/><Relationship Id="rId312" Type="http://schemas.openxmlformats.org/officeDocument/2006/relationships/hyperlink" Target="http://www.rail-transit.com/project/show.php?itemid=151" TargetMode="External"/><Relationship Id="rId757" Type="http://schemas.openxmlformats.org/officeDocument/2006/relationships/hyperlink" Target="http://www.rail-transit.com/project/show.php?itemid=457" TargetMode="External"/><Relationship Id="rId93" Type="http://schemas.openxmlformats.org/officeDocument/2006/relationships/hyperlink" Target="https://omekgroup.com.gr/projects/thessaloniki-metro/" TargetMode="External"/><Relationship Id="rId189" Type="http://schemas.openxmlformats.org/officeDocument/2006/relationships/hyperlink" Target="https://en.connectionjapan.com/2019/02/16/jr-east-construira-linha-para-ligar-toquio-ao-aeroporto-de-haneda/" TargetMode="External"/><Relationship Id="rId396" Type="http://schemas.openxmlformats.org/officeDocument/2006/relationships/hyperlink" Target="https://www.ndrc.gov.cn/fggz/zcssfz/zcgh/201812/W020190910670713741772.pdf" TargetMode="External"/><Relationship Id="rId617" Type="http://schemas.openxmlformats.org/officeDocument/2006/relationships/hyperlink" Target="http://m.thepaper.cn/kuaibao_detail.jsp?contid=4947698&amp;from=kuaibao" TargetMode="External"/><Relationship Id="rId824" Type="http://schemas.openxmlformats.org/officeDocument/2006/relationships/hyperlink" Target="http://www.rail-transit.com/project/show.php?itemid=727" TargetMode="External"/><Relationship Id="rId256" Type="http://schemas.openxmlformats.org/officeDocument/2006/relationships/hyperlink" Target="https://zh.wikipedia.org/wiki/%E4%B8%8A%E6%B5%B7%E8%BD%A8%E9%81%93%E4%BA%A4%E9%80%9A1%E5%8F%B7%E7%BA%BF" TargetMode="External"/><Relationship Id="rId463" Type="http://schemas.openxmlformats.org/officeDocument/2006/relationships/hyperlink" Target="https://www.ndrc.gov.cn/fggz/zcssfz/zcgh/201812/W020190910670713741772.pdf" TargetMode="External"/><Relationship Id="rId670" Type="http://schemas.openxmlformats.org/officeDocument/2006/relationships/hyperlink" Target="http://www.rail-transit.com/project/show.php?itemid=669" TargetMode="External"/><Relationship Id="rId116" Type="http://schemas.openxmlformats.org/officeDocument/2006/relationships/hyperlink" Target="https://kochimetro.org/everything-you-need-to-know-about-the-kochi-metro/" TargetMode="External"/><Relationship Id="rId323" Type="http://schemas.openxmlformats.org/officeDocument/2006/relationships/hyperlink" Target="http://www.rail-transit.com/project/show.php?itemid=392" TargetMode="External"/><Relationship Id="rId530" Type="http://schemas.openxmlformats.org/officeDocument/2006/relationships/hyperlink" Target="http://www.rail-transit.com/project/show.php?itemid=354" TargetMode="External"/><Relationship Id="rId768" Type="http://schemas.openxmlformats.org/officeDocument/2006/relationships/hyperlink" Target="http://www.rail-transit.com/project/show.php?itemid=517" TargetMode="External"/><Relationship Id="rId20" Type="http://schemas.openxmlformats.org/officeDocument/2006/relationships/hyperlink" Target="https://www.railway-technology.com/uncategorised/newsbulgaria-opens-sofia-metro-line-2/" TargetMode="External"/><Relationship Id="rId628" Type="http://schemas.openxmlformats.org/officeDocument/2006/relationships/hyperlink" Target="http://www.rail-transit.com/project/show.php?itemid=240" TargetMode="External"/><Relationship Id="rId835" Type="http://schemas.openxmlformats.org/officeDocument/2006/relationships/hyperlink" Target="https://kknews.cc/society/va42lel.html" TargetMode="External"/><Relationship Id="rId267" Type="http://schemas.openxmlformats.org/officeDocument/2006/relationships/hyperlink" Target="https://zh.wikipedia.org/wiki/%E4%B8%8A%E6%B5%B7%E8%BD%A8%E9%81%93%E4%BA%A4%E9%80%9A7%E5%8F%B7%E7%BA%BF" TargetMode="External"/><Relationship Id="rId474" Type="http://schemas.openxmlformats.org/officeDocument/2006/relationships/hyperlink" Target="http://finance.ifeng.com/city/bj/20101117/2902241.shtml" TargetMode="External"/><Relationship Id="rId127" Type="http://schemas.openxmlformats.org/officeDocument/2006/relationships/hyperlink" Target="https://www.esmadrid.com/sites/default/files/plan_integral_cercanias_madrid_2018_2025.pdf" TargetMode="External"/><Relationship Id="rId681" Type="http://schemas.openxmlformats.org/officeDocument/2006/relationships/hyperlink" Target="http://www.rail-transit.com/project/show.php?itemid=339" TargetMode="External"/><Relationship Id="rId779" Type="http://schemas.openxmlformats.org/officeDocument/2006/relationships/hyperlink" Target="http://drc.gd.gov.cn/zdxm5665/content/post_851139.html" TargetMode="External"/><Relationship Id="rId31" Type="http://schemas.openxmlformats.org/officeDocument/2006/relationships/hyperlink" Target="https://www.metro-report.com/analysis/single-news/view/the-winners-and-losers-of-russian-metros.html" TargetMode="External"/><Relationship Id="rId334" Type="http://schemas.openxmlformats.org/officeDocument/2006/relationships/hyperlink" Target="http://www.rail-transit.com/project/show.php?itemid=105" TargetMode="External"/><Relationship Id="rId541" Type="http://schemas.openxmlformats.org/officeDocument/2006/relationships/hyperlink" Target="https://ekap.kik.gov.tr/EKAP/Ortak/IhaleArama/index.html" TargetMode="External"/><Relationship Id="rId639" Type="http://schemas.openxmlformats.org/officeDocument/2006/relationships/hyperlink" Target="http://www.rail-transit.com/project/show.php?itemid=202" TargetMode="External"/><Relationship Id="rId180" Type="http://schemas.openxmlformats.org/officeDocument/2006/relationships/hyperlink" Target="https://e.vnexpress.net/news/news/hcmc-submits-plans-for-new-2-9-billion-metro-line-4095209.html" TargetMode="External"/><Relationship Id="rId278" Type="http://schemas.openxmlformats.org/officeDocument/2006/relationships/hyperlink" Target="https://zh.wikipedia.org/wiki/%E4%B8%8A%E6%B5%B7%E8%BD%A8%E9%81%93%E4%BA%A4%E9%80%9A11%E5%8F%B7%E7%BA%BF" TargetMode="External"/><Relationship Id="rId401" Type="http://schemas.openxmlformats.org/officeDocument/2006/relationships/hyperlink" Target="https://www.ndrc.gov.cn/fzggw/jgsj/zcs/sjdt/201212/t20121224_1145294.html" TargetMode="External"/><Relationship Id="rId846" Type="http://schemas.openxmlformats.org/officeDocument/2006/relationships/hyperlink" Target="https://www.ndrc.gov.cn/fggz/zcssfz/zcgh/201509/W020190910670552487617.pdf" TargetMode="External"/><Relationship Id="rId485" Type="http://schemas.openxmlformats.org/officeDocument/2006/relationships/hyperlink" Target="https://www.ndrc.gov.cn/xxgk/zcfb/ghwb/201703/W020190905497919692262.pdf" TargetMode="External"/><Relationship Id="rId692" Type="http://schemas.openxmlformats.org/officeDocument/2006/relationships/hyperlink" Target="http://www.incheonin.com/news/articleView.html?idxno=86255" TargetMode="External"/><Relationship Id="rId706" Type="http://schemas.openxmlformats.org/officeDocument/2006/relationships/hyperlink" Target="http://www.rail-transit.com/project/show.php?itemid=711" TargetMode="External"/><Relationship Id="rId42" Type="http://schemas.openxmlformats.org/officeDocument/2006/relationships/hyperlink" Target="https://vayla.fi/web/en/projects/all-projects/ring-rail-line" TargetMode="External"/><Relationship Id="rId138" Type="http://schemas.openxmlformats.org/officeDocument/2006/relationships/hyperlink" Target="http://web.mta.info/capitaldashboard/CPDMega.html" TargetMode="External"/><Relationship Id="rId345" Type="http://schemas.openxmlformats.org/officeDocument/2006/relationships/hyperlink" Target="http://www.rail-transit.com/project/show.php?itemid=331" TargetMode="External"/><Relationship Id="rId552" Type="http://schemas.openxmlformats.org/officeDocument/2006/relationships/hyperlink" Target="https://www.infrato.it/wp-content/uploads/2022/01/2022_1_Presentazione-Linea-2.pdf" TargetMode="External"/><Relationship Id="rId191" Type="http://schemas.openxmlformats.org/officeDocument/2006/relationships/hyperlink" Target="https://www.railwaygazette.com/tokyo-monorail-plans-to-extend/39875.article" TargetMode="External"/><Relationship Id="rId205" Type="http://schemas.openxmlformats.org/officeDocument/2006/relationships/hyperlink" Target="https://timesofindia.indiatimes.com/city/nagpur/mahametro-saves-rs1850cr-in-nagpur-metro-phase-ii/articleshow/67371648.cms" TargetMode="External"/><Relationship Id="rId412" Type="http://schemas.openxmlformats.org/officeDocument/2006/relationships/hyperlink" Target="http://www.tzxm.gov.cn/flfg/law/201912/t20191220_12825.html" TargetMode="External"/><Relationship Id="rId857" Type="http://schemas.openxmlformats.org/officeDocument/2006/relationships/hyperlink" Target="http://www.rail-transit.com/project/show.php?itemid=109" TargetMode="External"/><Relationship Id="rId289" Type="http://schemas.openxmlformats.org/officeDocument/2006/relationships/hyperlink" Target="https://www.ndrc.gov.cn/xxgk/zcfb/ghwb/201707/W020190905497930956563.pdf" TargetMode="External"/><Relationship Id="rId496" Type="http://schemas.openxmlformats.org/officeDocument/2006/relationships/hyperlink" Target="http://www.wenzhou.gov.cn/art/2019/3/21/art_1219304_31430838.html" TargetMode="External"/><Relationship Id="rId717" Type="http://schemas.openxmlformats.org/officeDocument/2006/relationships/hyperlink" Target="http://news.sina.com.cn/o/2010-12-29/033421723553.shtml" TargetMode="External"/><Relationship Id="rId53" Type="http://schemas.openxmlformats.org/officeDocument/2006/relationships/hyperlink" Target="https://www.metro4milano.it/wordpress/wp-content/uploads/2020/04/Quadro-Economico-_-Atto-Integrativo-n.1-alla-Convenzione-di-concessione_-allegato-13.pdf" TargetMode="External"/><Relationship Id="rId149" Type="http://schemas.openxmlformats.org/officeDocument/2006/relationships/hyperlink" Target="https://en.globes.co.il/en/article-first-third-of-red-line-completed-1001205843" TargetMode="External"/><Relationship Id="rId356" Type="http://schemas.openxmlformats.org/officeDocument/2006/relationships/hyperlink" Target="http://www.gov.cn/xinwen/2016-10/13/5118393/files/fc4eeffb973d4e0297ef1fb6bcaa4e73.pdf" TargetMode="External"/><Relationship Id="rId563" Type="http://schemas.openxmlformats.org/officeDocument/2006/relationships/hyperlink" Target="https://ekap.kik.gov.tr/EKAP/Ortak/IhaleArama/index.html" TargetMode="External"/><Relationship Id="rId770" Type="http://schemas.openxmlformats.org/officeDocument/2006/relationships/hyperlink" Target="https://xm.leju.com/news/2020-07-10/14296687241366554352613.shtml" TargetMode="External"/><Relationship Id="rId216" Type="http://schemas.openxmlformats.org/officeDocument/2006/relationships/hyperlink" Target="https://www.dorts.ntpc.gov.tw/home.jsp?id=90&amp;act=be4f48068b2b0031&amp;dataserno=09b73a18932ab2e245b25cd63399a208" TargetMode="External"/><Relationship Id="rId423" Type="http://schemas.openxmlformats.org/officeDocument/2006/relationships/hyperlink" Target="https://www.ndrc.gov.cn/fggz/zcssfz/zcgh/201907/W020190910670748591840.pdf" TargetMode="External"/><Relationship Id="rId868" Type="http://schemas.openxmlformats.org/officeDocument/2006/relationships/hyperlink" Target="http://www.shaanxi.gov.cn/xw/sxyw/201309/t20130915_1497525.html" TargetMode="External"/><Relationship Id="rId630" Type="http://schemas.openxmlformats.org/officeDocument/2006/relationships/hyperlink" Target="https://www.ndrc.gov.cn/xxgk/zcfb/pifu/202101/t20210126_1316566.html?code=&amp;state=123" TargetMode="External"/><Relationship Id="rId728" Type="http://schemas.openxmlformats.org/officeDocument/2006/relationships/hyperlink" Target="https://zfxxgk.ndrc.gov.cn/web/iteminfo.jsp?id=320" TargetMode="External"/><Relationship Id="rId64" Type="http://schemas.openxmlformats.org/officeDocument/2006/relationships/hyperlink" Target="https://metrocspa.it/cms/wp-content/uploads/2016/12/2-Q.E.G.-12-set-2013.pdf" TargetMode="External"/><Relationship Id="rId367" Type="http://schemas.openxmlformats.org/officeDocument/2006/relationships/hyperlink" Target="https://www.ndrc.gov.cn/fggz/zcssfz/zcgh/201505/W020190910670534928118.pdf" TargetMode="External"/><Relationship Id="rId574" Type="http://schemas.openxmlformats.org/officeDocument/2006/relationships/hyperlink" Target="http://silos.infrastrutturestrategiche.it/admin/scheda.aspx?id=1723" TargetMode="External"/><Relationship Id="rId227" Type="http://schemas.openxmlformats.org/officeDocument/2006/relationships/hyperlink" Target="https://www.forrestfieldairportlink.wa.gov.au/Portals/14/Project%20Overview%20Fact%20Sheet%20-%20Dec18%20WEB.pdf" TargetMode="External"/><Relationship Id="rId781" Type="http://schemas.openxmlformats.org/officeDocument/2006/relationships/hyperlink" Target="http://drc.gd.gov.cn/zdxm5665/content/post_851371.html" TargetMode="External"/><Relationship Id="rId879" Type="http://schemas.openxmlformats.org/officeDocument/2006/relationships/hyperlink" Target="http://www.rail-transit.com/project/show.php?itemid=658" TargetMode="External"/><Relationship Id="rId434" Type="http://schemas.openxmlformats.org/officeDocument/2006/relationships/hyperlink" Target="http://finance.sina.com.cn/roll/20120905/131013052588.shtml" TargetMode="External"/><Relationship Id="rId641" Type="http://schemas.openxmlformats.org/officeDocument/2006/relationships/hyperlink" Target="http://www.rail-transit.com/project/show.php?itemid=239" TargetMode="External"/><Relationship Id="rId739" Type="http://schemas.openxmlformats.org/officeDocument/2006/relationships/hyperlink" Target="https://www.ndrc.gov.cn/fggz/zcssfz/zdgc/201505/t20150518_1146000.html" TargetMode="External"/><Relationship Id="rId280" Type="http://schemas.openxmlformats.org/officeDocument/2006/relationships/hyperlink" Target="http://www.rail-transit.com/project/show.php?itemid=510" TargetMode="External"/><Relationship Id="rId501" Type="http://schemas.openxmlformats.org/officeDocument/2006/relationships/hyperlink" Target="https://baijiahao.baidu.com/s?id=1638089292564878111&amp;wfr=spider&amp;for=pc" TargetMode="External"/><Relationship Id="rId75" Type="http://schemas.openxmlformats.org/officeDocument/2006/relationships/hyperlink" Target="https://www.todayonline.com/singapore/comparing-singapores-newest-and-oldest-mrt-lines" TargetMode="External"/><Relationship Id="rId140" Type="http://schemas.openxmlformats.org/officeDocument/2006/relationships/hyperlink" Target="https://www.nytimes.com/2018/04/25/nyregion/mta-east-side-access-11-billion.html" TargetMode="External"/><Relationship Id="rId378" Type="http://schemas.openxmlformats.org/officeDocument/2006/relationships/hyperlink" Target="http://www.rail-transit.com/project/show.php?itemid=134" TargetMode="External"/><Relationship Id="rId585" Type="http://schemas.openxmlformats.org/officeDocument/2006/relationships/hyperlink" Target="http://silos.infrastrutturestrategiche.it/admin/scheda.aspx?id=1332" TargetMode="External"/><Relationship Id="rId792" Type="http://schemas.openxmlformats.org/officeDocument/2006/relationships/hyperlink" Target="http://www.rail-transit.com/project/show.php?itemid=294" TargetMode="External"/><Relationship Id="rId806" Type="http://schemas.openxmlformats.org/officeDocument/2006/relationships/hyperlink" Target="http://www.rail-transit.com/project/show.php?itemid=313" TargetMode="External"/><Relationship Id="rId6" Type="http://schemas.openxmlformats.org/officeDocument/2006/relationships/hyperlink" Target="https://www.thestar.com/news/gta/2020/06/24/metrolinx-considering-a-route-for-the-yonge-subway-extension-to-richmond-hill-that-would-take-it-above-ground.html" TargetMode="External"/><Relationship Id="rId238" Type="http://schemas.openxmlformats.org/officeDocument/2006/relationships/hyperlink" Target="https://rayhaber.com/2009/02/proje-bilgisi-halic-metro-gecis-koprusu-insaati/" TargetMode="External"/><Relationship Id="rId445" Type="http://schemas.openxmlformats.org/officeDocument/2006/relationships/hyperlink" Target="https://www.ndrc.gov.cn/xxgk/zcfb/tz/201812/W020190905514226164270.pdf" TargetMode="External"/><Relationship Id="rId652" Type="http://schemas.openxmlformats.org/officeDocument/2006/relationships/hyperlink" Target="http://www.rail-transit.com/project/show.php?itemid=320" TargetMode="External"/><Relationship Id="rId291" Type="http://schemas.openxmlformats.org/officeDocument/2006/relationships/hyperlink" Target="https://www.ndrc.gov.cn/xxgk/zcfb/ghwb/201707/W020190905497930956563.pdf" TargetMode="External"/><Relationship Id="rId305" Type="http://schemas.openxmlformats.org/officeDocument/2006/relationships/hyperlink" Target="http://www.gov.cn/xinwen/2019-01/06/5355294/files/c3d503decf1d4b6b924324b210ee0f1a.pdf" TargetMode="External"/><Relationship Id="rId512" Type="http://schemas.openxmlformats.org/officeDocument/2006/relationships/hyperlink" Target="https://www.railway-technology.com/projects/doha-metro/" TargetMode="External"/><Relationship Id="rId86" Type="http://schemas.openxmlformats.org/officeDocument/2006/relationships/hyperlink" Target="https://www.hindustantimes.com/mumbai-news/metro-lines-2a-7-to-be-delayed-by-3-months-mmrda-chief/story-UodpzX0AgmfV4e1OBrDxCK.html" TargetMode="External"/><Relationship Id="rId151" Type="http://schemas.openxmlformats.org/officeDocument/2006/relationships/hyperlink" Target="https://ourauckland.aucklandcouncil.govt.nz/articles/news/2019/04/revised-cost-for-city-rail-link/" TargetMode="External"/><Relationship Id="rId389" Type="http://schemas.openxmlformats.org/officeDocument/2006/relationships/hyperlink" Target="http://www.rail-transit.com/project/show.php?itemid=136" TargetMode="External"/><Relationship Id="rId596" Type="http://schemas.openxmlformats.org/officeDocument/2006/relationships/hyperlink" Target="http://www.rail-transit.com/project/show.php?itemid=212" TargetMode="External"/><Relationship Id="rId817" Type="http://schemas.openxmlformats.org/officeDocument/2006/relationships/hyperlink" Target="https://kmcha.com/similar/%E5%AF%A7%E5%A4%A9%E5%9F%8E%E9%9A%9B%E8%BB%8C%E9%81%93" TargetMode="External"/><Relationship Id="rId249" Type="http://schemas.openxmlformats.org/officeDocument/2006/relationships/hyperlink" Target="https://www.bjsubway.com/news/ghjs/2013-12-30/1316.html" TargetMode="External"/><Relationship Id="rId456" Type="http://schemas.openxmlformats.org/officeDocument/2006/relationships/hyperlink" Target="http://www.gov.cn/xinwen/2019-01/06/5355294/files/c3d503decf1d4b6b924324b210ee0f1a.pdf" TargetMode="External"/><Relationship Id="rId663" Type="http://schemas.openxmlformats.org/officeDocument/2006/relationships/hyperlink" Target="http://www.rail-transit.com/project/show.php?itemid=229" TargetMode="External"/><Relationship Id="rId870" Type="http://schemas.openxmlformats.org/officeDocument/2006/relationships/hyperlink" Target="http://news.hsw.cn/system/2016/1102/522665.shtml" TargetMode="External"/><Relationship Id="rId13" Type="http://schemas.openxmlformats.org/officeDocument/2006/relationships/hyperlink" Target="https://www.metro.net/projects/connector/" TargetMode="External"/><Relationship Id="rId109" Type="http://schemas.openxmlformats.org/officeDocument/2006/relationships/hyperlink" Target="https://rappler.com/business/construction-metro-manila-subway-begins-february-2019" TargetMode="External"/><Relationship Id="rId316" Type="http://schemas.openxmlformats.org/officeDocument/2006/relationships/hyperlink" Target="https://wenku.baidu.com/view/801ab19a8ad63186bceb19e8b8f67c1cfbd6ee6e.html" TargetMode="External"/><Relationship Id="rId523" Type="http://schemas.openxmlformats.org/officeDocument/2006/relationships/hyperlink" Target="http://fgw.sz.gov.cn/zwgk/qt/tzgg/201902/P020190226346098115982.pdf" TargetMode="External"/><Relationship Id="rId97" Type="http://schemas.openxmlformats.org/officeDocument/2006/relationships/hyperlink" Target="https://www.hankyung.com/society/article/2013061797248" TargetMode="External"/><Relationship Id="rId730" Type="http://schemas.openxmlformats.org/officeDocument/2006/relationships/hyperlink" Target="https://zfxxgk.ndrc.gov.cn/web/iteminfo.jsp?id=320" TargetMode="External"/><Relationship Id="rId828" Type="http://schemas.openxmlformats.org/officeDocument/2006/relationships/hyperlink" Target="http://www.zgjssw.gov.cn/shixianchuanzhen/nanjing/202102/t20210209_6976410.shtml" TargetMode="External"/><Relationship Id="rId162" Type="http://schemas.openxmlformats.org/officeDocument/2006/relationships/hyperlink" Target="https://www.diariodesevilla.es/sevilla/construccion-linea-1-Metro-Sevilla_0_1341766366.html" TargetMode="External"/><Relationship Id="rId467" Type="http://schemas.openxmlformats.org/officeDocument/2006/relationships/hyperlink" Target="https://www.kankanyn.com/jianwen/34919.html" TargetMode="External"/><Relationship Id="rId674" Type="http://schemas.openxmlformats.org/officeDocument/2006/relationships/hyperlink" Target="http://www.rail-transit.com/project/show.php?itemid=428" TargetMode="External"/><Relationship Id="rId881" Type="http://schemas.openxmlformats.org/officeDocument/2006/relationships/hyperlink" Target="https://www.ndrc.gov.cn/fggz/zcssfz/zcgh/201409/W020190910670519267920.pdf" TargetMode="External"/><Relationship Id="rId24" Type="http://schemas.openxmlformats.org/officeDocument/2006/relationships/hyperlink" Target="https://www.railwaygazette.com/news/single-view/view/warszawa-opens-second-metro-line.html" TargetMode="External"/><Relationship Id="rId327" Type="http://schemas.openxmlformats.org/officeDocument/2006/relationships/hyperlink" Target="http://www.rail-transit.com/project/show.php?itemid=252" TargetMode="External"/><Relationship Id="rId534" Type="http://schemas.openxmlformats.org/officeDocument/2006/relationships/hyperlink" Target="http://rail-transit.com/project/show.php?itemid=77" TargetMode="External"/><Relationship Id="rId741" Type="http://schemas.openxmlformats.org/officeDocument/2006/relationships/hyperlink" Target="https://www.ndrc.gov.cn/fggz/zcssfz/zdgc/201505/t20150518_1146000.html" TargetMode="External"/><Relationship Id="rId839" Type="http://schemas.openxmlformats.org/officeDocument/2006/relationships/hyperlink" Target="http://www.symtc.com/content.php?5894" TargetMode="External"/><Relationship Id="rId173" Type="http://schemas.openxmlformats.org/officeDocument/2006/relationships/hyperlink" Target="https://www.mrta.co.th/en/projectelectrictrain/bangkok-and-vicinities/greenline/" TargetMode="External"/><Relationship Id="rId380" Type="http://schemas.openxmlformats.org/officeDocument/2006/relationships/hyperlink" Target="http://www.rail-transit.com/project/show.php?itemid=321" TargetMode="External"/><Relationship Id="rId601" Type="http://schemas.openxmlformats.org/officeDocument/2006/relationships/hyperlink" Target="https://www.kgnews.co.kr/mobile/article.html?no=674722" TargetMode="External"/><Relationship Id="rId240" Type="http://schemas.openxmlformats.org/officeDocument/2006/relationships/hyperlink" Target="https://railturkey.org/2016/10/15/kadikoy-kartal-tavsantepe-metro-m4/2/" TargetMode="External"/><Relationship Id="rId478" Type="http://schemas.openxmlformats.org/officeDocument/2006/relationships/hyperlink" Target="https://wenku.baidu.com/view/801ab19a8ad63186bceb19e8b8f67c1cfbd6ee6e.html" TargetMode="External"/><Relationship Id="rId685" Type="http://schemas.openxmlformats.org/officeDocument/2006/relationships/hyperlink" Target="https://www.donga.com/news/Society/article/all/20201227/104655671/1" TargetMode="External"/><Relationship Id="rId892" Type="http://schemas.openxmlformats.org/officeDocument/2006/relationships/hyperlink" Target="https://whyy.org/articles/2712/" TargetMode="External"/><Relationship Id="rId35" Type="http://schemas.openxmlformats.org/officeDocument/2006/relationships/hyperlink" Target="https://www.europarl.europa.eu/doceo/document/P-8-2017-000299_EN.html" TargetMode="External"/><Relationship Id="rId100" Type="http://schemas.openxmlformats.org/officeDocument/2006/relationships/hyperlink" Target="https://www.prolongement-metro12.fr/faq-metro-m12/" TargetMode="External"/><Relationship Id="rId338" Type="http://schemas.openxmlformats.org/officeDocument/2006/relationships/hyperlink" Target="https://www.ndrc.gov.cn/xxgk/zcfb/ghwb/201703/W020190905497919692262.pdf" TargetMode="External"/><Relationship Id="rId545" Type="http://schemas.openxmlformats.org/officeDocument/2006/relationships/hyperlink" Target="https://www.railwaypro.com/wp/tashkent-metro-extension-is-underway/" TargetMode="External"/><Relationship Id="rId752" Type="http://schemas.openxmlformats.org/officeDocument/2006/relationships/hyperlink" Target="http://www.rail-transit.com/project/show.php?itemid=399" TargetMode="External"/><Relationship Id="rId184" Type="http://schemas.openxmlformats.org/officeDocument/2006/relationships/hyperlink" Target="https://www.westjr.co.jp/global/en/ir/library/fact-sheets/2018/pdf/fact2018.pdf" TargetMode="External"/><Relationship Id="rId391" Type="http://schemas.openxmlformats.org/officeDocument/2006/relationships/hyperlink" Target="http://www.rail-transit.com/project/show.php?itemid=495" TargetMode="External"/><Relationship Id="rId405" Type="http://schemas.openxmlformats.org/officeDocument/2006/relationships/hyperlink" Target="https://www.ndrc.gov.cn/xxgk/zcfb/tz/201412/W020190905507203840468.pdf" TargetMode="External"/><Relationship Id="rId612" Type="http://schemas.openxmlformats.org/officeDocument/2006/relationships/hyperlink" Target="http://www.rail-transit.com/project/show.php?itemid=573" TargetMode="External"/><Relationship Id="rId251" Type="http://schemas.openxmlformats.org/officeDocument/2006/relationships/hyperlink" Target="https://baike.baidu.com/item/%E5%8C%97%E4%BA%AC%E5%9C%B0%E9%93%811%E5%8F%B7%E7%BA%BF/7646800?fromtitle=%E5%8C%97%E4%BA%AC%E5%9C%B0%E9%93%81%E4%B8%80%E5%8F%B7%E7%BA%BF&amp;fromid=5427835&amp;fr=aladdin" TargetMode="External"/><Relationship Id="rId489" Type="http://schemas.openxmlformats.org/officeDocument/2006/relationships/hyperlink" Target="https://www.ndrc.gov.cn/xxgk/zcfb/tz/201812/W020190905514226164270.pdf" TargetMode="External"/><Relationship Id="rId696" Type="http://schemas.openxmlformats.org/officeDocument/2006/relationships/hyperlink" Target="http://www.rail-transit.com/project/show.php?itemid=194" TargetMode="External"/><Relationship Id="rId46" Type="http://schemas.openxmlformats.org/officeDocument/2006/relationships/hyperlink" Target="https://web.archive.org/web/20150402164159/http:/www.trafikverket.se/en/startpage/Projects/Railway-construction-projects1/The-Stockholm-City-Line/" TargetMode="External"/><Relationship Id="rId349" Type="http://schemas.openxmlformats.org/officeDocument/2006/relationships/hyperlink" Target="https://www.ndrc.gov.cn/xxgk/zcfb/ghwb/201908/W020190905497973740066.pdf" TargetMode="External"/><Relationship Id="rId556" Type="http://schemas.openxmlformats.org/officeDocument/2006/relationships/hyperlink" Target="https://dcist.com/story/22/07/19/silver-line-cost-additional-250-million/" TargetMode="External"/><Relationship Id="rId763" Type="http://schemas.openxmlformats.org/officeDocument/2006/relationships/hyperlink" Target="http://news.sohu.com/20070609/n250475902.shtml" TargetMode="External"/><Relationship Id="rId111" Type="http://schemas.openxmlformats.org/officeDocument/2006/relationships/hyperlink" Target="https://news.abs-cbn.com/business/multimedia/infographic/07/27/18/the-makati-subway" TargetMode="External"/><Relationship Id="rId195" Type="http://schemas.openxmlformats.org/officeDocument/2006/relationships/hyperlink" Target="https://www.fukuoka-now.com/en/news/nanakuma-subway-line-extension-delayed/" TargetMode="External"/><Relationship Id="rId209" Type="http://schemas.openxmlformats.org/officeDocument/2006/relationships/hyperlink" Target="https://www.business-standard.com/article/current-affairs/phase-ii-chennai-metro-project-to-cost-rs-36-000-cr-114022800932_1.html" TargetMode="External"/><Relationship Id="rId416" Type="http://schemas.openxmlformats.org/officeDocument/2006/relationships/hyperlink" Target="https://www.ndrc.gov.cn/xxgk/zcfb/ghwb/201809/W020190905497960329280.pdf" TargetMode="External"/><Relationship Id="rId623" Type="http://schemas.openxmlformats.org/officeDocument/2006/relationships/hyperlink" Target="http://www.rail-transit.com/project/show.php?itemid=78" TargetMode="External"/><Relationship Id="rId830" Type="http://schemas.openxmlformats.org/officeDocument/2006/relationships/hyperlink" Target="https://www.sohu.com/a/237588900_683466" TargetMode="External"/><Relationship Id="rId57" Type="http://schemas.openxmlformats.org/officeDocument/2006/relationships/hyperlink" Target="http://saigondautu.com.vn/chu-diem-su-kien/5-du-an-doi-von-khung-61311.html" TargetMode="External"/><Relationship Id="rId262" Type="http://schemas.openxmlformats.org/officeDocument/2006/relationships/hyperlink" Target="https://zh.wikipedia.org/wiki/%E4%B8%8A%E6%B5%B7%E8%BD%A8%E9%81%93%E4%BA%A4%E9%80%9A3%E5%8F%B7%E7%BA%BF" TargetMode="External"/><Relationship Id="rId567" Type="http://schemas.openxmlformats.org/officeDocument/2006/relationships/hyperlink" Target="https://zpravy.aktualne.cz/czk-15bn-prague-metro-extension-ends-in-a-field/r~i:article:630675/" TargetMode="External"/><Relationship Id="rId122" Type="http://schemas.openxmlformats.org/officeDocument/2006/relationships/hyperlink" Target="https://financialtribune.com/articles/auto/78612/tehran-municipality-struggling-with-subway-development-costs" TargetMode="External"/><Relationship Id="rId774" Type="http://schemas.openxmlformats.org/officeDocument/2006/relationships/hyperlink" Target="https://www.ndrc.gov.cn/fggz/zcssfz/zdgc/201209/t20120905_1145857.html" TargetMode="External"/><Relationship Id="rId427" Type="http://schemas.openxmlformats.org/officeDocument/2006/relationships/hyperlink" Target="https://www.ndrc.gov.cn/xxgk/zcfb/ghwb/201703/W020190905497919692262.pdf" TargetMode="External"/><Relationship Id="rId634" Type="http://schemas.openxmlformats.org/officeDocument/2006/relationships/hyperlink" Target="https://www.sohu.com/a/417789253_410388" TargetMode="External"/><Relationship Id="rId841" Type="http://schemas.openxmlformats.org/officeDocument/2006/relationships/hyperlink" Target="http://www.symtc.com/content.php?5894" TargetMode="External"/><Relationship Id="rId26" Type="http://schemas.openxmlformats.org/officeDocument/2006/relationships/hyperlink" Target="https://www.railwaygazette.com/metros/warszawa-metro-line-m2-goes-west/56191.article" TargetMode="External"/><Relationship Id="rId231" Type="http://schemas.openxmlformats.org/officeDocument/2006/relationships/hyperlink" Target="https://www.nord-sued-stadtbahn.de/projekt/gruende/hintergruende/index.html" TargetMode="External"/><Relationship Id="rId273" Type="http://schemas.openxmlformats.org/officeDocument/2006/relationships/hyperlink" Target="https://www.pudong.gov.cn/zwgkupfiles/temp/2021-11-10/2c4b9a67-37b0-4046-a0ca-7cdc4d3b0d27/46%E5%8F%B7.pdf" TargetMode="External"/><Relationship Id="rId329" Type="http://schemas.openxmlformats.org/officeDocument/2006/relationships/hyperlink" Target="https://baike.baidu.com/reference/17605858/8a2eRI10Oo3jPyB3RZawIu33fUj3OmCx5fKTFCUCJXoq4BKXZ94NcZoLUG7NPyweTNKYwYHoa5qBIK1P24XE4PGoXEqagKR9-p1ks_BmNh00igM" TargetMode="External"/><Relationship Id="rId480" Type="http://schemas.openxmlformats.org/officeDocument/2006/relationships/hyperlink" Target="http://zfxxgk.ndrc.gov.cn/web/iteminfo.jsp?id=12400" TargetMode="External"/><Relationship Id="rId536" Type="http://schemas.openxmlformats.org/officeDocument/2006/relationships/hyperlink" Target="https://www.chengdurail.com/detail/7247.html" TargetMode="External"/><Relationship Id="rId701" Type="http://schemas.openxmlformats.org/officeDocument/2006/relationships/hyperlink" Target="http://www.rail-transit.com/project/show.php?itemid=226" TargetMode="External"/><Relationship Id="rId68" Type="http://schemas.openxmlformats.org/officeDocument/2006/relationships/hyperlink" Target="https://www.metro3.be/fr/faq" TargetMode="External"/><Relationship Id="rId133" Type="http://schemas.openxmlformats.org/officeDocument/2006/relationships/hyperlink" Target="https://www.theglobeandmail.com/news/toronto/sheppard-subway-extension-a-quarter-the-stops-for-three-times-the-cost/article622366/" TargetMode="External"/><Relationship Id="rId175" Type="http://schemas.openxmlformats.org/officeDocument/2006/relationships/hyperlink" Target="https://www.mrta.co.th/en/projectelectrictrain/bangkok-and-vicinities/brownline/" TargetMode="External"/><Relationship Id="rId340" Type="http://schemas.openxmlformats.org/officeDocument/2006/relationships/hyperlink" Target="http://www.rail-transit.com/project/show.php?itemid=133" TargetMode="External"/><Relationship Id="rId578" Type="http://schemas.openxmlformats.org/officeDocument/2006/relationships/hyperlink" Target="https://www.gazzettaufficiale.it/atto/serie_generale/caricaDettaglioAtto/originario?atto.dataPubblicazioneGazzetta=2009-11-19&amp;atto.codiceRedazionale=09A13744&amp;elenco30giorni=false" TargetMode="External"/><Relationship Id="rId743" Type="http://schemas.openxmlformats.org/officeDocument/2006/relationships/hyperlink" Target="https://www.163.com/dy/article/DPVGIOAD0514MG5I.html" TargetMode="External"/><Relationship Id="rId785" Type="http://schemas.openxmlformats.org/officeDocument/2006/relationships/hyperlink" Target="https://new.qq.com/omn/20210623/20210623A096ZY00.html" TargetMode="External"/><Relationship Id="rId200" Type="http://schemas.openxmlformats.org/officeDocument/2006/relationships/hyperlink" Target="https://www.metrorailnews.in/bengaluru-metros-yelachenahalli-anjanapura-line-supposed-to-be-ready-by-november-2020/" TargetMode="External"/><Relationship Id="rId382" Type="http://schemas.openxmlformats.org/officeDocument/2006/relationships/hyperlink" Target="http://www.gov.cn/xinwen/2017-03/23/content_5180079.htm" TargetMode="External"/><Relationship Id="rId438" Type="http://schemas.openxmlformats.org/officeDocument/2006/relationships/hyperlink" Target="http://www.mtr.bj.cn/article/5d510c0aebb1a36f5ef5981f.html" TargetMode="External"/><Relationship Id="rId603" Type="http://schemas.openxmlformats.org/officeDocument/2006/relationships/hyperlink" Target="http://www.rail-transit.com/project/show.php?itemid=379" TargetMode="External"/><Relationship Id="rId645" Type="http://schemas.openxmlformats.org/officeDocument/2006/relationships/hyperlink" Target="http://www.rail-transit.com/project/show.php?itemid=164" TargetMode="External"/><Relationship Id="rId687" Type="http://schemas.openxmlformats.org/officeDocument/2006/relationships/hyperlink" Target="https://biz.chosun.com/policy/policy_sub/2021/10/05/EY5IMDNIDZAGHLQO7KIGLMGBQQ/" TargetMode="External"/><Relationship Id="rId810" Type="http://schemas.openxmlformats.org/officeDocument/2006/relationships/hyperlink" Target="http://www.rail-transit.com/project/show.php?itemid=307" TargetMode="External"/><Relationship Id="rId852" Type="http://schemas.openxmlformats.org/officeDocument/2006/relationships/hyperlink" Target="http://www.rail-transit.com/project/show.php?itemid=574" TargetMode="External"/><Relationship Id="rId242" Type="http://schemas.openxmlformats.org/officeDocument/2006/relationships/hyperlink" Target="http://www.uskudarumraniyecekmekoymetrosu.com/ana-sayfa/projenin-tarihcesi.aspx" TargetMode="External"/><Relationship Id="rId284" Type="http://schemas.openxmlformats.org/officeDocument/2006/relationships/hyperlink" Target="https://www.ndrc.gov.cn/xxgk/zcfb/ghwb/201707/W020190905497930956563.pdf" TargetMode="External"/><Relationship Id="rId491" Type="http://schemas.openxmlformats.org/officeDocument/2006/relationships/hyperlink" Target="https://www.bjsubway.com/news/ghjs/2013-12-30/1316.html" TargetMode="External"/><Relationship Id="rId505" Type="http://schemas.openxmlformats.org/officeDocument/2006/relationships/hyperlink" Target="https://baijiahao.baidu.com/s?id=1638089292564878111&amp;wfr=spider&amp;for=pc" TargetMode="External"/><Relationship Id="rId712" Type="http://schemas.openxmlformats.org/officeDocument/2006/relationships/hyperlink" Target="https://new.qq.com/omn/20190117/20190117A1GO47.html" TargetMode="External"/><Relationship Id="rId894" Type="http://schemas.openxmlformats.org/officeDocument/2006/relationships/vmlDrawing" Target="../drawings/vmlDrawing1.vml"/><Relationship Id="rId37" Type="http://schemas.openxmlformats.org/officeDocument/2006/relationships/hyperlink" Target="http://www.otipiemonte.it/Pagine/Completo.asp?ID=86" TargetMode="External"/><Relationship Id="rId79" Type="http://schemas.openxmlformats.org/officeDocument/2006/relationships/hyperlink" Target="https://housing.com/news/mumbai-metro-line-3-everything-you-need-to-know/" TargetMode="External"/><Relationship Id="rId102" Type="http://schemas.openxmlformats.org/officeDocument/2006/relationships/hyperlink" Target="https://www.railwaygazette.com/projects-and-planning/santiago-tenders-line-7-construction/56621.article" TargetMode="External"/><Relationship Id="rId144" Type="http://schemas.openxmlformats.org/officeDocument/2006/relationships/hyperlink" Target="https://france3-regions.francetvinfo.fr/paris-ile-de-france/2013/03/22/ligne-4-montrouge-se-met-sur-les-rails-220977.html" TargetMode="External"/><Relationship Id="rId547" Type="http://schemas.openxmlformats.org/officeDocument/2006/relationships/hyperlink" Target="https://mmis.hkpl.gov.hk/c/portal/cover?c=QF757YsWv59%2F9WIUSQ5l76Vd0tr1CR%2F%2F" TargetMode="External"/><Relationship Id="rId589" Type="http://schemas.openxmlformats.org/officeDocument/2006/relationships/hyperlink" Target="http://www.rail-transit.com/project/show.php?itemid=261" TargetMode="External"/><Relationship Id="rId754" Type="http://schemas.openxmlformats.org/officeDocument/2006/relationships/hyperlink" Target="http://www.rail-transit.com/project/show.php?itemid=519" TargetMode="External"/><Relationship Id="rId796" Type="http://schemas.openxmlformats.org/officeDocument/2006/relationships/hyperlink" Target="http://zzhz.zjol.com.cn/05zzhz/system/2008/09/29/009985997.shtml" TargetMode="External"/><Relationship Id="rId90" Type="http://schemas.openxmlformats.org/officeDocument/2006/relationships/hyperlink" Target="https://mmrda.maharashtra.gov.in/documents/10180/9283015/Metro+Line+12/20c81fcb-0b2c-40c2-9e06-a7b4e7d46bdb" TargetMode="External"/><Relationship Id="rId186" Type="http://schemas.openxmlformats.org/officeDocument/2006/relationships/hyperlink" Target="https://www.japantimes.co.jp/news/2008/06/12/national/fukutoshin-subway-line-debuts/" TargetMode="External"/><Relationship Id="rId351" Type="http://schemas.openxmlformats.org/officeDocument/2006/relationships/hyperlink" Target="https://zh.wikipedia.org/wiki/%E4%B8%8A%E6%B5%B7%E8%BD%A8%E9%81%93%E4%BA%A4%E9%80%9A8%E5%8F%B7%E7%BA%BF" TargetMode="External"/><Relationship Id="rId393" Type="http://schemas.openxmlformats.org/officeDocument/2006/relationships/hyperlink" Target="http://www.rail-transit.com/project/show.php?itemid=205" TargetMode="External"/><Relationship Id="rId407" Type="http://schemas.openxmlformats.org/officeDocument/2006/relationships/hyperlink" Target="https://www.ndrc.gov.cn/xxgk/zcfb/ghwb/201908/W020190905497973740066.pdf" TargetMode="External"/><Relationship Id="rId449" Type="http://schemas.openxmlformats.org/officeDocument/2006/relationships/hyperlink" Target="https://www.ndrc.gov.cn/fzggw/jgsj/zcs/sjdt/201212/t20121224_1145294.html" TargetMode="External"/><Relationship Id="rId614" Type="http://schemas.openxmlformats.org/officeDocument/2006/relationships/hyperlink" Target="https://www.163.com/dy/article/GT2J4GU20545AOQT.html" TargetMode="External"/><Relationship Id="rId656" Type="http://schemas.openxmlformats.org/officeDocument/2006/relationships/hyperlink" Target="http://www.rail-transit.com/project/show.php?itemid=140" TargetMode="External"/><Relationship Id="rId821" Type="http://schemas.openxmlformats.org/officeDocument/2006/relationships/hyperlink" Target="http://www.xhby.net/nj/yw/202107/t20210707_7149440.shtml" TargetMode="External"/><Relationship Id="rId863" Type="http://schemas.openxmlformats.org/officeDocument/2006/relationships/hyperlink" Target="http://xa.bendibao.com/traffic/2014913/45825.shtm" TargetMode="External"/><Relationship Id="rId211" Type="http://schemas.openxmlformats.org/officeDocument/2006/relationships/hyperlink" Target="https://www.businesstoday.in/sectors/infra/relief-for-commuters-in-chennai-metro-network-to-expand-phase-ii-work-begins/story/350907.html" TargetMode="External"/><Relationship Id="rId253" Type="http://schemas.openxmlformats.org/officeDocument/2006/relationships/hyperlink" Target="http://www.wikiwand.com/zh-sg/%E5%8C%97%E4%BA%AC%E5%9C%B0%E9%93%8113%E5%8F%B7%E7%BA%BF" TargetMode="External"/><Relationship Id="rId295" Type="http://schemas.openxmlformats.org/officeDocument/2006/relationships/hyperlink" Target="https://wenku.baidu.com/view/ea439d10dcccda38376baf1ffc4ffe473368fd80.html" TargetMode="External"/><Relationship Id="rId309" Type="http://schemas.openxmlformats.org/officeDocument/2006/relationships/hyperlink" Target="http://www.rail-transit.com/project/show.php?itemid=75" TargetMode="External"/><Relationship Id="rId460" Type="http://schemas.openxmlformats.org/officeDocument/2006/relationships/hyperlink" Target="http://www.gov.cn/xinwen/2019-01/06/5355294/files/c3d503decf1d4b6b924324b210ee0f1a.pdf" TargetMode="External"/><Relationship Id="rId516" Type="http://schemas.openxmlformats.org/officeDocument/2006/relationships/hyperlink" Target="http://english.ahram.org.eg/NewsContent/3/12/35035/Business/Economy/Cairos-rd-underground-line-opens-Tuesday-linking-A.aspx" TargetMode="External"/><Relationship Id="rId698" Type="http://schemas.openxmlformats.org/officeDocument/2006/relationships/hyperlink" Target="https://sy.leju.com/news/2021-10-25/16496858323734529623540.shtml" TargetMode="External"/><Relationship Id="rId48" Type="http://schemas.openxmlformats.org/officeDocument/2006/relationships/hyperlink" Target="http://www.cityam.com/257486/full-steam-ahead-tunnelling-12bn-northern-line-extension" TargetMode="External"/><Relationship Id="rId113" Type="http://schemas.openxmlformats.org/officeDocument/2006/relationships/hyperlink" Target="https://wien.orf.at/news/stories/2607445/" TargetMode="External"/><Relationship Id="rId320" Type="http://schemas.openxmlformats.org/officeDocument/2006/relationships/hyperlink" Target="http://www.rail-transit.com/project/show.php?itemid=316" TargetMode="External"/><Relationship Id="rId558" Type="http://schemas.openxmlformats.org/officeDocument/2006/relationships/hyperlink" Target="https://rayhaber.com/2017/03/basaksehir-kayasehir-metrosu-insaati-ihale-sonucu/," TargetMode="External"/><Relationship Id="rId723" Type="http://schemas.openxmlformats.org/officeDocument/2006/relationships/hyperlink" Target="http://www.rail-transit.com/project/show.php?itemid=525" TargetMode="External"/><Relationship Id="rId765" Type="http://schemas.openxmlformats.org/officeDocument/2006/relationships/hyperlink" Target="http://www.gov.cn/jrzg/2011-09/29/content_1959823.htm" TargetMode="External"/><Relationship Id="rId155" Type="http://schemas.openxmlformats.org/officeDocument/2006/relationships/hyperlink" Target="https://pemb.cat/public/docs/794_r6_cat_b2_17_perllongament_linia_3_de_metro_corr.pdf" TargetMode="External"/><Relationship Id="rId197" Type="http://schemas.openxmlformats.org/officeDocument/2006/relationships/hyperlink" Target="https://www.luzernerzeitung.ch/zentralschweiz/luzern/seetalplatz-und-zentralbahn-60-millionen-guenstiger-als-budgetiert-ld.1150224" TargetMode="External"/><Relationship Id="rId362" Type="http://schemas.openxmlformats.org/officeDocument/2006/relationships/hyperlink" Target="http://www.rail-transit.com/project/show.php?itemid=200" TargetMode="External"/><Relationship Id="rId418" Type="http://schemas.openxmlformats.org/officeDocument/2006/relationships/hyperlink" Target="https://www.ndrc.gov.cn/xxgk/zcfb/ghwb/201612/W020190905497886107757.pdf" TargetMode="External"/><Relationship Id="rId625" Type="http://schemas.openxmlformats.org/officeDocument/2006/relationships/hyperlink" Target="http://fs.fccs.com/news/6022708.html" TargetMode="External"/><Relationship Id="rId832" Type="http://schemas.openxmlformats.org/officeDocument/2006/relationships/hyperlink" Target="https://www.chinanews.com.cn/n/2003-01-14/26/263383.html" TargetMode="External"/><Relationship Id="rId222" Type="http://schemas.openxmlformats.org/officeDocument/2006/relationships/hyperlink" Target="https://www.cna.com.tw/news/firstnews/201908150041.aspx" TargetMode="External"/><Relationship Id="rId264" Type="http://schemas.openxmlformats.org/officeDocument/2006/relationships/hyperlink" Target="https://zh.wikipedia.org/wiki/%E4%B8%8A%E6%B5%B7%E8%BD%A8%E9%81%93%E4%BA%A4%E9%80%9A4%E5%8F%B7%E7%BA%BF" TargetMode="External"/><Relationship Id="rId471" Type="http://schemas.openxmlformats.org/officeDocument/2006/relationships/hyperlink" Target="http://www.rail-transit.com/project/show.php?itemid=184" TargetMode="External"/><Relationship Id="rId667" Type="http://schemas.openxmlformats.org/officeDocument/2006/relationships/hyperlink" Target="https://ditie.mapbar.com/qingdao/news/37965.html" TargetMode="External"/><Relationship Id="rId874" Type="http://schemas.openxmlformats.org/officeDocument/2006/relationships/hyperlink" Target="http://www.rail-transit.com/project/show.php?itemid=622" TargetMode="External"/><Relationship Id="rId17" Type="http://schemas.openxmlformats.org/officeDocument/2006/relationships/hyperlink" Target="https://www.mercurynews.com/2021/10/25/federal-government-awards-2-3-billion-for-barts-san-jose-extension/" TargetMode="External"/><Relationship Id="rId59" Type="http://schemas.openxmlformats.org/officeDocument/2006/relationships/hyperlink" Target="https://shinbundang.co.kr/eng/index.jsp?pageID=/eng/intro/intro2_6.jsp&amp;open_main=4&amp;open_sub1=1&amp;open_sub2=6" TargetMode="External"/><Relationship Id="rId124" Type="http://schemas.openxmlformats.org/officeDocument/2006/relationships/hyperlink" Target="https://tunnelbuilder.com/metrosur/edition2pdf/page2.pdf" TargetMode="External"/><Relationship Id="rId527" Type="http://schemas.openxmlformats.org/officeDocument/2006/relationships/hyperlink" Target="http://fgw.sz.gov.cn/zwgk/qt/tzgg/201902/P020190226346098115982.pdf" TargetMode="External"/><Relationship Id="rId569" Type="http://schemas.openxmlformats.org/officeDocument/2006/relationships/hyperlink" Target="https://www.u-bahn-muenchen.de/report/baustellenreport/moosach/" TargetMode="External"/><Relationship Id="rId734" Type="http://schemas.openxmlformats.org/officeDocument/2006/relationships/hyperlink" Target="http://www.rail-transit.com/project/show.php?itemid=501" TargetMode="External"/><Relationship Id="rId776" Type="http://schemas.openxmlformats.org/officeDocument/2006/relationships/hyperlink" Target="http://mee.gov.cn/ywgz/hjyxpj/jsxmhjyxpj/xmslqk/201605/W020160522150689146882.pdf" TargetMode="External"/><Relationship Id="rId70" Type="http://schemas.openxmlformats.org/officeDocument/2006/relationships/hyperlink" Target="https://www.railwaygazette.com/l%C3%B8renbanen-opens-in-oslo/42312.article" TargetMode="External"/><Relationship Id="rId166" Type="http://schemas.openxmlformats.org/officeDocument/2006/relationships/hyperlink" Target="https://bdnews24.com/economy/2019/10/15/govt-approves-two-more-metro-rail-projects-worth-tk-938bn" TargetMode="External"/><Relationship Id="rId331" Type="http://schemas.openxmlformats.org/officeDocument/2006/relationships/hyperlink" Target="http://www.rail-transit.com/project/show.php?itemid=343" TargetMode="External"/><Relationship Id="rId373" Type="http://schemas.openxmlformats.org/officeDocument/2006/relationships/hyperlink" Target="http://zfxxgk.ndrc.gov.cn/web/iteminfo.jsp?id=316" TargetMode="External"/><Relationship Id="rId429" Type="http://schemas.openxmlformats.org/officeDocument/2006/relationships/hyperlink" Target="https://www.ndrc.gov.cn/xxgk/zcfb/ghwb/201612/W020190905497886107757.pdf" TargetMode="External"/><Relationship Id="rId580" Type="http://schemas.openxmlformats.org/officeDocument/2006/relationships/hyperlink" Target="https://www.comune.milano.it/aree-tematiche/mobilita/strade-e-sottosuolo/prolungamento-m1-quartiere-baggio-olmi-valsesia" TargetMode="External"/><Relationship Id="rId636" Type="http://schemas.openxmlformats.org/officeDocument/2006/relationships/hyperlink" Target="https://xm.leju.com/news/2020-07-10/14296687241366554352613.shtml" TargetMode="External"/><Relationship Id="rId801" Type="http://schemas.openxmlformats.org/officeDocument/2006/relationships/hyperlink" Target="http://www.rail-transit.com/project/show.php?itemid=270" TargetMode="External"/><Relationship Id="rId1" Type="http://schemas.openxmlformats.org/officeDocument/2006/relationships/hyperlink" Target="https://www.metro.istanbul/Hatlarimiz/ProjeHalindekiHatlar?projeInsaat=0&amp;q=36" TargetMode="External"/><Relationship Id="rId233" Type="http://schemas.openxmlformats.org/officeDocument/2006/relationships/hyperlink" Target="https://www.berliner-zeitung.de/endspurt-auf-der-baustelle-die-strecke-von-vinetastrasse-nach-bahnhof-pankow-wird-puenktlich-fertig-und-billiger-u-bahn-linie-2-ab-sonnabend-sind-die-pankower-am-zug-li.33430" TargetMode="External"/><Relationship Id="rId440" Type="http://schemas.openxmlformats.org/officeDocument/2006/relationships/hyperlink" Target="https://www.ndrc.gov.cn/fggz/zcssfz/zcgh/201812/W020190910670719961874.pdf" TargetMode="External"/><Relationship Id="rId678" Type="http://schemas.openxmlformats.org/officeDocument/2006/relationships/hyperlink" Target="http://www.rail-transit.com/project/show.php?itemid=587" TargetMode="External"/><Relationship Id="rId843" Type="http://schemas.openxmlformats.org/officeDocument/2006/relationships/hyperlink" Target="http://www.rail-transit.com/project/show.php?itemid=541" TargetMode="External"/><Relationship Id="rId885" Type="http://schemas.openxmlformats.org/officeDocument/2006/relationships/hyperlink" Target="https://acento.com.do/el-financiero/en-pasados-gobiernos-construir-un-kilometro-del-metro-sd-costaba-us58-millones-ahora-solo-us45-millones-9034221.html" TargetMode="External"/><Relationship Id="rId28" Type="http://schemas.openxmlformats.org/officeDocument/2006/relationships/hyperlink" Target="http://www.metrorex.ro/Resurse/RaportActivitate/Metrorex%20eng%202018.pdf" TargetMode="External"/><Relationship Id="rId275" Type="http://schemas.openxmlformats.org/officeDocument/2006/relationships/hyperlink" Target="https://zh.wikipedia.org/wiki/%E4%B8%8A%E6%B5%B7%E8%BD%A8%E9%81%93%E4%BA%A4%E9%80%9A10%E5%8F%B7%E7%BA%BF" TargetMode="External"/><Relationship Id="rId300" Type="http://schemas.openxmlformats.org/officeDocument/2006/relationships/hyperlink" Target="http://zfxxgk.ndrc.gov.cn/web/iteminfo.jsp?id=16921" TargetMode="External"/><Relationship Id="rId482" Type="http://schemas.openxmlformats.org/officeDocument/2006/relationships/hyperlink" Target="https://www.kankanyn.com/jianwen/34919.html" TargetMode="External"/><Relationship Id="rId538" Type="http://schemas.openxmlformats.org/officeDocument/2006/relationships/hyperlink" Target="https://ekap.kik.gov.tr/EKAP/Ortak/IhaleArama/index.html" TargetMode="External"/><Relationship Id="rId703" Type="http://schemas.openxmlformats.org/officeDocument/2006/relationships/hyperlink" Target="http://www.gov.cn/jrzg/2012-09/28/content_2235330.htm" TargetMode="External"/><Relationship Id="rId745" Type="http://schemas.openxmlformats.org/officeDocument/2006/relationships/hyperlink" Target="https://www.ndrc.gov.cn/fggz/zcssfz/zdgc/201505/t20150518_1146000.html" TargetMode="External"/><Relationship Id="rId81" Type="http://schemas.openxmlformats.org/officeDocument/2006/relationships/hyperlink" Target="https://mmrda.maharashtra.gov.in/metro-line-2b" TargetMode="External"/><Relationship Id="rId135" Type="http://schemas.openxmlformats.org/officeDocument/2006/relationships/hyperlink" Target="https://www.diekombiloesung.de/haeufige-fragen.html" TargetMode="External"/><Relationship Id="rId177" Type="http://schemas.openxmlformats.org/officeDocument/2006/relationships/hyperlink" Target="https://www.mrta.co.th/en/projectelectrictrain/bangkok-and-vicinities/yellowline/" TargetMode="External"/><Relationship Id="rId342" Type="http://schemas.openxmlformats.org/officeDocument/2006/relationships/hyperlink" Target="https://www.ndrc.gov.cn/xxgk/zcfb/ghwb/201703/W020190905497919692262.pdf" TargetMode="External"/><Relationship Id="rId384" Type="http://schemas.openxmlformats.org/officeDocument/2006/relationships/hyperlink" Target="https://www.ndrc.gov.cn/xxgk/zcfb/ghwb/201908/W020190905497973740066.pdf" TargetMode="External"/><Relationship Id="rId591" Type="http://schemas.openxmlformats.org/officeDocument/2006/relationships/hyperlink" Target="http://www.rail-transit.com/project/show.php?itemid=147" TargetMode="External"/><Relationship Id="rId605" Type="http://schemas.openxmlformats.org/officeDocument/2006/relationships/hyperlink" Target="https://timesofindia.indiatimes.com/city/patna/patna-metro-rail-project-awaits-funds-from-japan-agency/articleshow/88284432.cms" TargetMode="External"/><Relationship Id="rId787" Type="http://schemas.openxmlformats.org/officeDocument/2006/relationships/hyperlink" Target="http://www.rail-transit.com/project/show.php?itemid=619" TargetMode="External"/><Relationship Id="rId812" Type="http://schemas.openxmlformats.org/officeDocument/2006/relationships/hyperlink" Target="https://www.kankanyn.com/jianwen/34919.html" TargetMode="External"/><Relationship Id="rId202" Type="http://schemas.openxmlformats.org/officeDocument/2006/relationships/hyperlink" Target="http://archive.indianexpress.com/news/gurgaon-rapid-metro-begins-trial-runs/1011112/0" TargetMode="External"/><Relationship Id="rId244" Type="http://schemas.openxmlformats.org/officeDocument/2006/relationships/hyperlink" Target="https://rayhaber.com/2015/05/kabatas-mecidiyekoy-mahmutbey-metro-hatti-projesi-elektromekanik-sistemler-temin-montaj-ve-isletmeye-alma-isleri-ihalesini-kazanan-alsim-alarko-ile-sozlesme-imzalandi/" TargetMode="External"/><Relationship Id="rId647" Type="http://schemas.openxmlformats.org/officeDocument/2006/relationships/hyperlink" Target="http://www.rail-transit.com/project/show.php?itemid=554" TargetMode="External"/><Relationship Id="rId689" Type="http://schemas.openxmlformats.org/officeDocument/2006/relationships/hyperlink" Target="https://www.yna.co.kr/view/AKR20190822028500003" TargetMode="External"/><Relationship Id="rId854" Type="http://schemas.openxmlformats.org/officeDocument/2006/relationships/hyperlink" Target="http://www.gov.cn/xinwen/2019-01/06/5355294/files/c3d503decf1d4b6b924324b210ee0f1a.pdf" TargetMode="External"/><Relationship Id="rId39" Type="http://schemas.openxmlformats.org/officeDocument/2006/relationships/hyperlink" Target="http://www.otipiemonte.it/Pagine/Completo.asp?ID=86" TargetMode="External"/><Relationship Id="rId286" Type="http://schemas.openxmlformats.org/officeDocument/2006/relationships/hyperlink" Target="http://www.rail-transit.com/project/show.php?itemid=537" TargetMode="External"/><Relationship Id="rId451" Type="http://schemas.openxmlformats.org/officeDocument/2006/relationships/hyperlink" Target="http://www.gzcy.org/uploadfile/2013/0930/20130930103001739.pdf" TargetMode="External"/><Relationship Id="rId493" Type="http://schemas.openxmlformats.org/officeDocument/2006/relationships/hyperlink" Target="http://zjjcmspublic.oss-cn-hangzhou-zwynet-d01-a.internet.cloud.zj.gov.cn/jcms_files/jcms1/web1825/site/attach/0/150120083915404.pdf" TargetMode="External"/><Relationship Id="rId507" Type="http://schemas.openxmlformats.org/officeDocument/2006/relationships/hyperlink" Target="https://www.fastmetroriyadh.com/about/our-lines/" TargetMode="External"/><Relationship Id="rId549" Type="http://schemas.openxmlformats.org/officeDocument/2006/relationships/hyperlink" Target="https://mmis.hkpl.gov.hk/c/portal/cover?c=QF757YsWv59%2F9WIUSQ5l7xsxoWQ4dkCT" TargetMode="External"/><Relationship Id="rId714" Type="http://schemas.openxmlformats.org/officeDocument/2006/relationships/hyperlink" Target="https://jiaotongbk.com/n6/201691.html" TargetMode="External"/><Relationship Id="rId756" Type="http://schemas.openxmlformats.org/officeDocument/2006/relationships/hyperlink" Target="https://www.sohu.com/a/516618507_120388781" TargetMode="External"/><Relationship Id="rId50" Type="http://schemas.openxmlformats.org/officeDocument/2006/relationships/hyperlink" Target="http://www.taipeitimes.com/News/taiwan/archives/2018/05/03/2003692436" TargetMode="External"/><Relationship Id="rId104" Type="http://schemas.openxmlformats.org/officeDocument/2006/relationships/hyperlink" Target="https://www.bnamericas.com/en/news/brazil-metro-cost-overruns-top-us9bn1" TargetMode="External"/><Relationship Id="rId146" Type="http://schemas.openxmlformats.org/officeDocument/2006/relationships/hyperlink" Target="https://web.archive.org/web/20120221232537/http:/www.iledefrance.fr/lactualite/transports/metro-rer/ligne-13-deux-nouvelles-stations-a-asnieres-gennevilliers/" TargetMode="External"/><Relationship Id="rId188" Type="http://schemas.openxmlformats.org/officeDocument/2006/relationships/hyperlink" Target="https://web.archive.org/web/20060517042836/http:/www.kotsu.metro.tokyo.jp/news/pdf/sub_t_20060324a_01.pdf" TargetMode="External"/><Relationship Id="rId311" Type="http://schemas.openxmlformats.org/officeDocument/2006/relationships/hyperlink" Target="http://www.rail-transit.com/project/show.php?itemid=350" TargetMode="External"/><Relationship Id="rId353" Type="http://schemas.openxmlformats.org/officeDocument/2006/relationships/hyperlink" Target="http://www.tzxm.gov.cn/flfg/law/201912/t20191220_12825.html" TargetMode="External"/><Relationship Id="rId395" Type="http://schemas.openxmlformats.org/officeDocument/2006/relationships/hyperlink" Target="https://www.ndrc.gov.cn/xxgk/zcfb/ghwb/201611/W020190905497856961234.pdf" TargetMode="External"/><Relationship Id="rId409" Type="http://schemas.openxmlformats.org/officeDocument/2006/relationships/hyperlink" Target="http://img.thupdi.com/news/2015/08/1440573393290975.pdf" TargetMode="External"/><Relationship Id="rId560" Type="http://schemas.openxmlformats.org/officeDocument/2006/relationships/hyperlink" Target="https://www.ibb.istanbul/Uploads/2019/10/1.-DOc.DR.PELiN-ALPKoKiN--RAYLI-SiSTEMLERiN-MEVCUT-DURUMU.pdf" TargetMode="External"/><Relationship Id="rId798" Type="http://schemas.openxmlformats.org/officeDocument/2006/relationships/hyperlink" Target="http://www.rail-transit.com/project/show.php?itemid=351" TargetMode="External"/><Relationship Id="rId92" Type="http://schemas.openxmlformats.org/officeDocument/2006/relationships/hyperlink" Target="https://www.ametro.gr/wp-content/uploads/2018/08/AM_Xrimatooikonomikes_katastaseis_2017.pdf" TargetMode="External"/><Relationship Id="rId213" Type="http://schemas.openxmlformats.org/officeDocument/2006/relationships/hyperlink" Target="https://www.unian.info/kiev/10350087-kyiv-metro-signs-contract-for-subway-line-construction-to-kyiv-s-vynohradar-district.html" TargetMode="External"/><Relationship Id="rId420" Type="http://schemas.openxmlformats.org/officeDocument/2006/relationships/hyperlink" Target="https://www.ndrc.gov.cn/fzggw/jgsj/zcs/sjdt/201212/t20121224_1145294.html" TargetMode="External"/><Relationship Id="rId616" Type="http://schemas.openxmlformats.org/officeDocument/2006/relationships/hyperlink" Target="http://www.rail-transit.com/project/show.php?itemid=100" TargetMode="External"/><Relationship Id="rId658" Type="http://schemas.openxmlformats.org/officeDocument/2006/relationships/hyperlink" Target="http://www.rail-transit.com/project/show.php?itemid=187" TargetMode="External"/><Relationship Id="rId823" Type="http://schemas.openxmlformats.org/officeDocument/2006/relationships/hyperlink" Target="http://www.xhby.net/nj/yw/202107/t20210707_7149440.shtml" TargetMode="External"/><Relationship Id="rId865" Type="http://schemas.openxmlformats.org/officeDocument/2006/relationships/hyperlink" Target="http://www.rail-transit.com/project/show.php?itemid=276" TargetMode="External"/><Relationship Id="rId255" Type="http://schemas.openxmlformats.org/officeDocument/2006/relationships/hyperlink" Target="https://zh.wikipedia.org/wiki/%E5%8C%97%E4%BA%AC%E5%9C%B0%E9%93%818%E5%8F%B7%E7%BA%BF" TargetMode="External"/><Relationship Id="rId297" Type="http://schemas.openxmlformats.org/officeDocument/2006/relationships/hyperlink" Target="http://www.rail-transit.com/project/show.php?itemid=564" TargetMode="External"/><Relationship Id="rId462" Type="http://schemas.openxmlformats.org/officeDocument/2006/relationships/hyperlink" Target="http://www.rail-transit.com/project/show.php?itemid=504" TargetMode="External"/><Relationship Id="rId518" Type="http://schemas.openxmlformats.org/officeDocument/2006/relationships/hyperlink" Target="https://www.railjournal.com/passenger/metros/kuwait-announces-details-of-metro-project/" TargetMode="External"/><Relationship Id="rId725" Type="http://schemas.openxmlformats.org/officeDocument/2006/relationships/hyperlink" Target="http://zqb.cyol.com/html/2012-12/31/nw.D110000zgqnb_20121231_3-06.htm" TargetMode="External"/><Relationship Id="rId115" Type="http://schemas.openxmlformats.org/officeDocument/2006/relationships/hyperlink" Target="https://wien.orf.at/news/stories/2940360/" TargetMode="External"/><Relationship Id="rId157" Type="http://schemas.openxmlformats.org/officeDocument/2006/relationships/hyperlink" Target="https://govern.cat/govern/docs/2012/10/03/12/36/6b33e55c-7ef4-4200-8517-97c7501d026e.pdf" TargetMode="External"/><Relationship Id="rId322" Type="http://schemas.openxmlformats.org/officeDocument/2006/relationships/hyperlink" Target="http://www.gov.cn/xinwen/2019-01/06/5355294/files/c3d503decf1d4b6b924324b210ee0f1a.pdf" TargetMode="External"/><Relationship Id="rId364" Type="http://schemas.openxmlformats.org/officeDocument/2006/relationships/hyperlink" Target="https://www.ndrc.gov.cn/fggz/zcssfz/zcgh/201904/W020190910670741123314.pdf" TargetMode="External"/><Relationship Id="rId767" Type="http://schemas.openxmlformats.org/officeDocument/2006/relationships/hyperlink" Target="https://m.sohu.com/n/384104755/" TargetMode="External"/><Relationship Id="rId61" Type="http://schemas.openxmlformats.org/officeDocument/2006/relationships/hyperlink" Target="http://dip21.bundestag.de/dip21/btd/17/029/1702939.pdf" TargetMode="External"/><Relationship Id="rId199" Type="http://schemas.openxmlformats.org/officeDocument/2006/relationships/hyperlink" Target="https://www.jlgc.org.uk/en/news_letter/funding-local-infrastructure-and-the-tsukuba-express/" TargetMode="External"/><Relationship Id="rId571" Type="http://schemas.openxmlformats.org/officeDocument/2006/relationships/hyperlink" Target="http://silos.infrastrutturestrategiche.it/admin/scheda.aspx?id=1723" TargetMode="External"/><Relationship Id="rId627" Type="http://schemas.openxmlformats.org/officeDocument/2006/relationships/hyperlink" Target="https://3g.163.com/dy/article/EBK3L3990525EER4.html" TargetMode="External"/><Relationship Id="rId669" Type="http://schemas.openxmlformats.org/officeDocument/2006/relationships/hyperlink" Target="https://zfxxgk.ndrc.gov.cn/web/iteminfo.jsp?id=18249" TargetMode="External"/><Relationship Id="rId834" Type="http://schemas.openxmlformats.org/officeDocument/2006/relationships/hyperlink" Target="https://news.suning.com/wtoutiao/witem2_5470123473.html" TargetMode="External"/><Relationship Id="rId876" Type="http://schemas.openxmlformats.org/officeDocument/2006/relationships/hyperlink" Target="https://www.ndrc.gov.cn/fggz/zcssfz/zdgc/201209/t20120905_1145854.html" TargetMode="External"/><Relationship Id="rId19" Type="http://schemas.openxmlformats.org/officeDocument/2006/relationships/hyperlink" Target="https://www.novinite.com/articles/168384/Subway+Extension+to+Business+Park+Sofia+Opens" TargetMode="External"/><Relationship Id="rId224" Type="http://schemas.openxmlformats.org/officeDocument/2006/relationships/hyperlink" Target="https://www.rb.gov.tw/en/showpage.php?lmenuid=24&amp;smenuid=154" TargetMode="External"/><Relationship Id="rId266" Type="http://schemas.openxmlformats.org/officeDocument/2006/relationships/hyperlink" Target="https://zh.wikipedia.org/wiki/%E4%B8%8A%E6%B5%B7%E8%BD%A8%E9%81%93%E4%BA%A4%E9%80%9A5%E5%8F%B7%E7%BA%BF" TargetMode="External"/><Relationship Id="rId431" Type="http://schemas.openxmlformats.org/officeDocument/2006/relationships/hyperlink" Target="http://www.rail-transit.com/project/show.php?itemid=470" TargetMode="External"/><Relationship Id="rId473" Type="http://schemas.openxmlformats.org/officeDocument/2006/relationships/hyperlink" Target="http://zfxxgk.ndrc.gov.cn/web/iteminfo.jsp?id=316" TargetMode="External"/><Relationship Id="rId529" Type="http://schemas.openxmlformats.org/officeDocument/2006/relationships/hyperlink" Target="http://fgw.sz.gov.cn/zwgk/qt/tzgg/201902/P020190226346098115982.pdf" TargetMode="External"/><Relationship Id="rId680" Type="http://schemas.openxmlformats.org/officeDocument/2006/relationships/hyperlink" Target="http://www.rail-transit.com/project/show.php?itemid=56" TargetMode="External"/><Relationship Id="rId736" Type="http://schemas.openxmlformats.org/officeDocument/2006/relationships/hyperlink" Target="https://www.163.com/dy/article/HFCE3KEU05149A02.html" TargetMode="External"/><Relationship Id="rId30" Type="http://schemas.openxmlformats.org/officeDocument/2006/relationships/hyperlink" Target="https://www.metro-report.com/analysis/single-news/view/the-winners-and-losers-of-russian-metros.html" TargetMode="External"/><Relationship Id="rId126" Type="http://schemas.openxmlformats.org/officeDocument/2006/relationships/hyperlink" Target="https://www.themayor.eu/en/massive-lisbon-metro-expansion-scheduled-for-2020" TargetMode="External"/><Relationship Id="rId168" Type="http://schemas.openxmlformats.org/officeDocument/2006/relationships/hyperlink" Target="https://web.archive.org/web/20080312071952/http:/www.sytral.fr/176.0.html" TargetMode="External"/><Relationship Id="rId333" Type="http://schemas.openxmlformats.org/officeDocument/2006/relationships/hyperlink" Target="https://zh.wikisource.org/zh-hans/%E5%8C%97%E4%BA%AC%E5%B8%82%E5%9F%8E%E5%B8%82%E8%BD%A8%E9%81%93%E4%BA%A4%E9%80%9A%E7%AC%AC%E4%BA%8C%E6%9C%9F%E5%BB%BA%E8%AE%BE%E8%A7%84%E5%88%92%EF%BC%882015%EF%BD%9E2021%E5%B9%B4%EF%BC%89" TargetMode="External"/><Relationship Id="rId540" Type="http://schemas.openxmlformats.org/officeDocument/2006/relationships/hyperlink" Target="https://ekap.kik.gov.tr/EKAP/Ortak/IhaleArama/index.html" TargetMode="External"/><Relationship Id="rId778" Type="http://schemas.openxmlformats.org/officeDocument/2006/relationships/hyperlink" Target="https://www.sohu.com/a/351491006_124706" TargetMode="External"/><Relationship Id="rId72" Type="http://schemas.openxmlformats.org/officeDocument/2006/relationships/hyperlink" Target="https://www.abc.net.au/news/2020-02-21/nsw-government-confirms-three-billion-metro-budget-blowout/11986968" TargetMode="External"/><Relationship Id="rId375" Type="http://schemas.openxmlformats.org/officeDocument/2006/relationships/hyperlink" Target="http://www.rail-transit.com/project/show.php?itemid=137" TargetMode="External"/><Relationship Id="rId582" Type="http://schemas.openxmlformats.org/officeDocument/2006/relationships/hyperlink" Target="http://www.rivistacorteconti.it/export/sites/rivistaweb/RepositoryPdf/2017/fascicolo_16_2017/30_CDC_gestione_4.pdf" TargetMode="External"/><Relationship Id="rId638" Type="http://schemas.openxmlformats.org/officeDocument/2006/relationships/hyperlink" Target="http://www.fzmtr.com/cms/pages/680468206126290000/attachments/%E9%99%84%E4%BB%B63%EF%BC%9A%E7%A6%8F%E5%B7%9E%E5%B8%82%E8%BD%A8%E9%81%93%E4%BA%A4%E9%80%9A1%E5%8F%B7%E7%BA%BF%E5%B7%A5%E7%A8%8B%EF%BC%88%E4%B8%80%E6%9C%9F%EF%BC%89%E5%8C%97%E6%AE%B5%E5%8F%8A%E5%85%A8%E7%BA%BF%E7%AB%A3%E5%B7%A5%E7%8E%AF%E5%A2%83%E4%BF%9D%E6%8A%A4%E9%AA%8C%E6%94%B6%E4%BC%9A%E9%AA%8C%E6%94%B6%E6%84%8F%E8%A7%81.pdf" TargetMode="External"/><Relationship Id="rId803" Type="http://schemas.openxmlformats.org/officeDocument/2006/relationships/hyperlink" Target="http://zj.cnr.cn/hzbb/20141013/t20141013_516587545.shtml" TargetMode="External"/><Relationship Id="rId845" Type="http://schemas.openxmlformats.org/officeDocument/2006/relationships/hyperlink" Target="http://www.rail-transit.com/project/show.php?itemid=299" TargetMode="External"/><Relationship Id="rId3" Type="http://schemas.openxmlformats.org/officeDocument/2006/relationships/hyperlink" Target="https://www.thestar.com/news/gta/transportation/2017/12/15/trudeau-wynne-tory-on-hand-to-cut-ribbon-on-32-billion-subway-extension.html" TargetMode="External"/><Relationship Id="rId235" Type="http://schemas.openxmlformats.org/officeDocument/2006/relationships/hyperlink" Target="https://projects.worldbank.org/en/projects-operations/project-detail/P145610" TargetMode="External"/><Relationship Id="rId277" Type="http://schemas.openxmlformats.org/officeDocument/2006/relationships/hyperlink" Target="https://zh.wikipedia.org/wiki/%E4%B8%8A%E6%B5%B7%E8%BD%A8%E9%81%93%E4%BA%A4%E9%80%9A11%E5%8F%B7%E7%BA%BF" TargetMode="External"/><Relationship Id="rId400" Type="http://schemas.openxmlformats.org/officeDocument/2006/relationships/hyperlink" Target="http://news.sciencenet.cn/sbhtmlnews/2008/8/209799.html" TargetMode="External"/><Relationship Id="rId442" Type="http://schemas.openxmlformats.org/officeDocument/2006/relationships/hyperlink" Target="http://www.gov.cn/xinwen/2019-01/06/5355294/files/c3d503decf1d4b6b924324b210ee0f1a.pdf" TargetMode="External"/><Relationship Id="rId484" Type="http://schemas.openxmlformats.org/officeDocument/2006/relationships/hyperlink" Target="http://www.tzxm.gov.cn/flfg/law/201912/t20191220_12825.html" TargetMode="External"/><Relationship Id="rId705" Type="http://schemas.openxmlformats.org/officeDocument/2006/relationships/hyperlink" Target="http://www.rail-transit.com/project/show.php?itemid=260" TargetMode="External"/><Relationship Id="rId887" Type="http://schemas.openxmlformats.org/officeDocument/2006/relationships/hyperlink" Target="https://www.sgcarmart.com/news/article.php?AID=21019" TargetMode="External"/><Relationship Id="rId137" Type="http://schemas.openxmlformats.org/officeDocument/2006/relationships/hyperlink" Target="http://web.mta.info/nyct/service/new7LineExtension_to11Avenue.htm" TargetMode="External"/><Relationship Id="rId302" Type="http://schemas.openxmlformats.org/officeDocument/2006/relationships/hyperlink" Target="https://www.kankanyn.com/jianwen/34919.html" TargetMode="External"/><Relationship Id="rId344" Type="http://schemas.openxmlformats.org/officeDocument/2006/relationships/hyperlink" Target="http://www.gov.cn/xinwen/2016-10/13/5118393/files/fc4eeffb973d4e0297ef1fb6bcaa4e73.pdf" TargetMode="External"/><Relationship Id="rId691" Type="http://schemas.openxmlformats.org/officeDocument/2006/relationships/hyperlink" Target="https://www.researchgate.net/publication/270429893_Delivery_of_subway_line_9_in_Seoul_South_Korea_-_lessons_in_public-private_partnering" TargetMode="External"/><Relationship Id="rId747" Type="http://schemas.openxmlformats.org/officeDocument/2006/relationships/hyperlink" Target="https://www.ndrc.gov.cn/fggz/zcssfz/zdgc/201505/t20150518_1146000.html" TargetMode="External"/><Relationship Id="rId789" Type="http://schemas.openxmlformats.org/officeDocument/2006/relationships/hyperlink" Target="http://gd.people.com.cn/n2/2020/0805/c123932-34206133.html" TargetMode="External"/><Relationship Id="rId41" Type="http://schemas.openxmlformats.org/officeDocument/2006/relationships/hyperlink" Target="https://www.lansimetro.fi/en/contact-information/faq/" TargetMode="External"/><Relationship Id="rId83" Type="http://schemas.openxmlformats.org/officeDocument/2006/relationships/hyperlink" Target="https://mmrda.maharashtra.gov.in/documents/10180/9283015/Metro+Line+4A/da25997a-6844-4c74-b4bd-9538285c9471" TargetMode="External"/><Relationship Id="rId179" Type="http://schemas.openxmlformats.org/officeDocument/2006/relationships/hyperlink" Target="https://www.nationthailand.com/business/30382028" TargetMode="External"/><Relationship Id="rId386" Type="http://schemas.openxmlformats.org/officeDocument/2006/relationships/hyperlink" Target="http://www.nngdjt.com/html/4061/6290.html" TargetMode="External"/><Relationship Id="rId551" Type="http://schemas.openxmlformats.org/officeDocument/2006/relationships/hyperlink" Target="http://silos.infrastrutturestrategiche.it/admin/scheda.aspx?id=1317" TargetMode="External"/><Relationship Id="rId593" Type="http://schemas.openxmlformats.org/officeDocument/2006/relationships/hyperlink" Target="http://www.rail-transit.com/project/show.php?itemid=278" TargetMode="External"/><Relationship Id="rId607" Type="http://schemas.openxmlformats.org/officeDocument/2006/relationships/hyperlink" Target="https://indianexpress.com/article/cities/pune/pune-maha-metro-pmc-7154473/" TargetMode="External"/><Relationship Id="rId649" Type="http://schemas.openxmlformats.org/officeDocument/2006/relationships/hyperlink" Target="http://www.cnnb.com.cn/dwhzlm/system/2013/11/15/007905106.shtml" TargetMode="External"/><Relationship Id="rId814" Type="http://schemas.openxmlformats.org/officeDocument/2006/relationships/hyperlink" Target="http://www.rail-transit.com/project/show.php?itemid=605" TargetMode="External"/><Relationship Id="rId856" Type="http://schemas.openxmlformats.org/officeDocument/2006/relationships/hyperlink" Target="http://www.rail-transit.com/project/show.php?itemid=106" TargetMode="External"/><Relationship Id="rId190" Type="http://schemas.openxmlformats.org/officeDocument/2006/relationships/hyperlink" Target="https://www.ejrcf.or.jp/jrtr/jrtr26/pdf/t58_neh.pdf" TargetMode="External"/><Relationship Id="rId204" Type="http://schemas.openxmlformats.org/officeDocument/2006/relationships/hyperlink" Target="http://www.metrorailnagpur.com/projectprofile.aspx" TargetMode="External"/><Relationship Id="rId246" Type="http://schemas.openxmlformats.org/officeDocument/2006/relationships/hyperlink" Target="https://www.uab.gov.tr/uploads/pages/kutuphane/d38e678334e19c8.pdf" TargetMode="External"/><Relationship Id="rId288" Type="http://schemas.openxmlformats.org/officeDocument/2006/relationships/hyperlink" Target="https://www.ndrc.gov.cn/xxgk/zcfb/ghwb/201707/W020190905497930956563.pdf" TargetMode="External"/><Relationship Id="rId411" Type="http://schemas.openxmlformats.org/officeDocument/2006/relationships/hyperlink" Target="http://www.tzxm.gov.cn/flfg/law/201912/t20191220_12825.html" TargetMode="External"/><Relationship Id="rId453" Type="http://schemas.openxmlformats.org/officeDocument/2006/relationships/hyperlink" Target="https://www.kankanyn.com/jianwen/34919.html" TargetMode="External"/><Relationship Id="rId509" Type="http://schemas.openxmlformats.org/officeDocument/2006/relationships/hyperlink" Target="https://www.fastmetroriyadh.com/about/our-lines/" TargetMode="External"/><Relationship Id="rId660" Type="http://schemas.openxmlformats.org/officeDocument/2006/relationships/hyperlink" Target="https://zfxxgk.ndrc.gov.cn/web/iteminfo.jsp?id=18249" TargetMode="External"/><Relationship Id="rId106" Type="http://schemas.openxmlformats.org/officeDocument/2006/relationships/hyperlink" Target="http://elsiglo.com.pa/panama/justifican-costo-linea-1-metro/23828270" TargetMode="External"/><Relationship Id="rId313" Type="http://schemas.openxmlformats.org/officeDocument/2006/relationships/hyperlink" Target="https://www.ndrc.gov.cn/xxgk/zcfb/ghwb/201707/W020190905497930956563.pdf" TargetMode="External"/><Relationship Id="rId495" Type="http://schemas.openxmlformats.org/officeDocument/2006/relationships/hyperlink" Target="https://www.163.com/dy/article/GT2J4GU20545AOQT.html" TargetMode="External"/><Relationship Id="rId716" Type="http://schemas.openxmlformats.org/officeDocument/2006/relationships/hyperlink" Target="http://www.rail-transit.com/project/show.php?itemid=243" TargetMode="External"/><Relationship Id="rId758" Type="http://schemas.openxmlformats.org/officeDocument/2006/relationships/hyperlink" Target="http://fzggw.cq.gov.cn/zwgk/zfxxgkml/sphzbaxx/202011/t20201103_8406228_wap.html" TargetMode="External"/><Relationship Id="rId10" Type="http://schemas.openxmlformats.org/officeDocument/2006/relationships/hyperlink" Target="https://la.streetsblog.org/2020/03/24/metro-signs-1-3-billion-full-funding-grant-agreement-for-westside-subway-phase-3/" TargetMode="External"/><Relationship Id="rId52" Type="http://schemas.openxmlformats.org/officeDocument/2006/relationships/hyperlink" Target="https://web.archive.org/web/20140508030702/http:/cantieri.mit.gov.it/Lists/Scheda%20Tecnica/DispForm.aspx?ID=69&amp;Source=http%3A%2F%2Fcantieri%2Emit%2Egov%2Eit%2FPagine%2FLombardia%2Easpx&amp;ContentTypeId=0x01005F85B0B356E4DE4EBCF0C8A435933BF500F5F261BE3F32F3" TargetMode="External"/><Relationship Id="rId94" Type="http://schemas.openxmlformats.org/officeDocument/2006/relationships/hyperlink" Target="https://www.ametro.gr/wp-content/uploads/2018/08/AM_Xrimatooikonomikes_katastaseis_2017.pdf" TargetMode="External"/><Relationship Id="rId148" Type="http://schemas.openxmlformats.org/officeDocument/2006/relationships/hyperlink" Target="https://www.ratp.fr/en/groupe-ratp/metrotrains/m11-extension-rosny-bois-perrier-and-then-noisy-champs" TargetMode="External"/><Relationship Id="rId355" Type="http://schemas.openxmlformats.org/officeDocument/2006/relationships/hyperlink" Target="http://www.rail-transit.com/project/show.php?itemid=138" TargetMode="External"/><Relationship Id="rId397" Type="http://schemas.openxmlformats.org/officeDocument/2006/relationships/hyperlink" Target="https://www.ndrc.gov.cn/fggz/zcssfz/zcgh/201601/t20160112_1145713.html" TargetMode="External"/><Relationship Id="rId520" Type="http://schemas.openxmlformats.org/officeDocument/2006/relationships/hyperlink" Target="http://www.rail-transit.com/project/show.php?itemid=201" TargetMode="External"/><Relationship Id="rId562" Type="http://schemas.openxmlformats.org/officeDocument/2006/relationships/hyperlink" Target="https://ekap.kik.gov.tr/EKAP/Ortak/IhaleArama/index.html" TargetMode="External"/><Relationship Id="rId618" Type="http://schemas.openxmlformats.org/officeDocument/2006/relationships/hyperlink" Target="https://kns.cnki.net/kcms/detail/detail.aspx?filename=XDGD201501028&amp;dbname=cjfdtotal&amp;dbcode=CJFD&amp;v=MTkxNjl6c09UM2lRclJjekZyQ1VSN2lmWStSc0Z5N25Vci9CUFNuTWFyRzRIOVRNcm85SGJJUjZEZzgvemhZVTc=" TargetMode="External"/><Relationship Id="rId825" Type="http://schemas.openxmlformats.org/officeDocument/2006/relationships/hyperlink" Target="http://www.rail-transit.com/project/show.php?itemid=568" TargetMode="External"/><Relationship Id="rId215" Type="http://schemas.openxmlformats.org/officeDocument/2006/relationships/hyperlink" Target="https://www.railwaygazette.com/vehicles/crrc-wins-kharkiv-metro-train-contract/56702.article" TargetMode="External"/><Relationship Id="rId257" Type="http://schemas.openxmlformats.org/officeDocument/2006/relationships/hyperlink" Target="https://zh.wikipedia.org/wiki/%E4%B8%8A%E6%B5%B7%E8%BD%A8%E9%81%93%E4%BA%A4%E9%80%9A2%E5%8F%B7%E7%BA%BF" TargetMode="External"/><Relationship Id="rId422" Type="http://schemas.openxmlformats.org/officeDocument/2006/relationships/hyperlink" Target="http://www.rail-transit.com/project/show.php?itemid=148" TargetMode="External"/><Relationship Id="rId464" Type="http://schemas.openxmlformats.org/officeDocument/2006/relationships/hyperlink" Target="http://zfxxgk.ndrc.gov.cn/web/iteminfo.jsp?id=316" TargetMode="External"/><Relationship Id="rId867" Type="http://schemas.openxmlformats.org/officeDocument/2006/relationships/hyperlink" Target="http://www.rail-transit.com/project/show.php?itemid=290" TargetMode="External"/><Relationship Id="rId299" Type="http://schemas.openxmlformats.org/officeDocument/2006/relationships/hyperlink" Target="http://www.rail-transit.com/project/show.php?itemid=325" TargetMode="External"/><Relationship Id="rId727" Type="http://schemas.openxmlformats.org/officeDocument/2006/relationships/hyperlink" Target="https://zfxxgk.ndrc.gov.cn/web/iteminfo.jsp?id=320" TargetMode="External"/><Relationship Id="rId63" Type="http://schemas.openxmlformats.org/officeDocument/2006/relationships/hyperlink" Target="https://metrocspa.it/cms/wp-content/uploads/2016/12/2-Q.E.G.-12-set-2013.pdf" TargetMode="External"/><Relationship Id="rId159" Type="http://schemas.openxmlformats.org/officeDocument/2006/relationships/hyperlink" Target="https://www.ccma.cat/324/La-linia-5-del-Metro-de-Barcelona-samplia-dema-amb-les-estacions-del-Carmel-el-Collla-Teixonera-i-Vall-dHebron/noticia/790448/" TargetMode="External"/><Relationship Id="rId366" Type="http://schemas.openxmlformats.org/officeDocument/2006/relationships/hyperlink" Target="http://img.thupdi.com/news/2015/08/1440573393290975.pdf" TargetMode="External"/><Relationship Id="rId573" Type="http://schemas.openxmlformats.org/officeDocument/2006/relationships/hyperlink" Target="http://silos.infrastrutturestrategiche.it/admin/scheda.aspx?id=1723" TargetMode="External"/><Relationship Id="rId780" Type="http://schemas.openxmlformats.org/officeDocument/2006/relationships/hyperlink" Target="http://news.sina.com.cn/c/2007-09-06/013313825648.shtml" TargetMode="External"/><Relationship Id="rId226" Type="http://schemas.openxmlformats.org/officeDocument/2006/relationships/hyperlink" Target="https://www.rb.gov.tw/en/showpage.php?lmenuid=24&amp;smenuid=75" TargetMode="External"/><Relationship Id="rId433" Type="http://schemas.openxmlformats.org/officeDocument/2006/relationships/hyperlink" Target="https://www.ndrc.gov.cn/fggz/zcssfz/zcgh/201907/W020190910670748591840.pdf" TargetMode="External"/><Relationship Id="rId878" Type="http://schemas.openxmlformats.org/officeDocument/2006/relationships/hyperlink" Target="http://news.sina.com.cn/c/nd/2017-12-27/doc-ifyqchnr6264675.shtml" TargetMode="External"/><Relationship Id="rId640" Type="http://schemas.openxmlformats.org/officeDocument/2006/relationships/hyperlink" Target="http://www.rail-transit.com/project/show.php?itemid=230" TargetMode="External"/><Relationship Id="rId738" Type="http://schemas.openxmlformats.org/officeDocument/2006/relationships/hyperlink" Target="https://www.ndrc.gov.cn/fggz/zcssfz/zdgc/201505/t20150518_1146000.html" TargetMode="External"/><Relationship Id="rId74" Type="http://schemas.openxmlformats.org/officeDocument/2006/relationships/hyperlink" Target="https://www.audit.vic.gov.au/report/melbourne-metro-tunnel-project-phase-2-main-works?section=" TargetMode="External"/><Relationship Id="rId377" Type="http://schemas.openxmlformats.org/officeDocument/2006/relationships/hyperlink" Target="https://www.ndrc.gov.cn/xxgk/zcfb/ghwb/201703/W020190905497919692262.pdf" TargetMode="External"/><Relationship Id="rId500" Type="http://schemas.openxmlformats.org/officeDocument/2006/relationships/hyperlink" Target="https://baijiahao.baidu.com/s?id=1638089292564878111&amp;wfr=spider&amp;for=pc" TargetMode="External"/><Relationship Id="rId584" Type="http://schemas.openxmlformats.org/officeDocument/2006/relationships/hyperlink" Target="https://www.regione.campania.it/assets/documents/delibera-20-2017.pdf" TargetMode="External"/><Relationship Id="rId805" Type="http://schemas.openxmlformats.org/officeDocument/2006/relationships/hyperlink" Target="http://www.rail-transit.com/project/show.php?itemid=301" TargetMode="External"/><Relationship Id="rId5" Type="http://schemas.openxmlformats.org/officeDocument/2006/relationships/hyperlink" Target="https://metrolinx.files.wordpress.com/2019/07/click-here-to-view-the-ontario-line-initial-business-case.pdf" TargetMode="External"/><Relationship Id="rId237" Type="http://schemas.openxmlformats.org/officeDocument/2006/relationships/hyperlink" Target="https://www.thestar.com.my/business/business-news/2020/01/17/mrt-2-at-70-completion-guan-eng-says" TargetMode="External"/><Relationship Id="rId791" Type="http://schemas.openxmlformats.org/officeDocument/2006/relationships/hyperlink" Target="http://gd.people.com.cn/n2/2020/0805/c123932-34206133.html" TargetMode="External"/><Relationship Id="rId889" Type="http://schemas.openxmlformats.org/officeDocument/2006/relationships/hyperlink" Target="https://www.bz-berlin.de/archiv-artikel/die-u7-wird-25-jahre-alt" TargetMode="External"/><Relationship Id="rId444" Type="http://schemas.openxmlformats.org/officeDocument/2006/relationships/hyperlink" Target="https://www.kankanyn.com/jianwen/34919.html" TargetMode="External"/><Relationship Id="rId651" Type="http://schemas.openxmlformats.org/officeDocument/2006/relationships/hyperlink" Target="http://www.rail-transit.com/project/show.php?itemid=503" TargetMode="External"/><Relationship Id="rId749" Type="http://schemas.openxmlformats.org/officeDocument/2006/relationships/hyperlink" Target="https://www.sohu.com/a/392594635_120388781" TargetMode="External"/><Relationship Id="rId290" Type="http://schemas.openxmlformats.org/officeDocument/2006/relationships/hyperlink" Target="https://www.ndrc.gov.cn/xxgk/zcfb/ghwb/201707/W020190905497930956563.pdf" TargetMode="External"/><Relationship Id="rId304" Type="http://schemas.openxmlformats.org/officeDocument/2006/relationships/hyperlink" Target="https://www.ndrc.gov.cn/fggz/zcssfz/zcgh/201812/W020190910670719961874.pdf" TargetMode="External"/><Relationship Id="rId388" Type="http://schemas.openxmlformats.org/officeDocument/2006/relationships/hyperlink" Target="http://www.rail-transit.com/project/show.php?itemid=85" TargetMode="External"/><Relationship Id="rId511" Type="http://schemas.openxmlformats.org/officeDocument/2006/relationships/hyperlink" Target="https://www.bncnetwork.net/Project/Dammam_Metro/lLeKWJzyKRk=" TargetMode="External"/><Relationship Id="rId609" Type="http://schemas.openxmlformats.org/officeDocument/2006/relationships/hyperlink" Target="http://www.ce.cn/cysc/jtys/tielu/202102/02/t20210202_36283657.shtml" TargetMode="External"/><Relationship Id="rId85" Type="http://schemas.openxmlformats.org/officeDocument/2006/relationships/hyperlink" Target="https://mmrda.maharashtra.gov.in/documents/10180/9283015/Metro+Line+6/17c5ed14-e9fb-4920-9521-02eebb25c4a9" TargetMode="External"/><Relationship Id="rId150" Type="http://schemas.openxmlformats.org/officeDocument/2006/relationships/hyperlink" Target="http://www.xinhuanet.com/english/2019-05/21/c_138075072.htm" TargetMode="External"/><Relationship Id="rId595" Type="http://schemas.openxmlformats.org/officeDocument/2006/relationships/hyperlink" Target="https://web.archive.org/web/20160509075613/http:/www.harbin-metro.com/system/20160418/000002978.html" TargetMode="External"/><Relationship Id="rId816" Type="http://schemas.openxmlformats.org/officeDocument/2006/relationships/hyperlink" Target="https://news.sina.com.tw/article/20140812/13098521.html" TargetMode="External"/><Relationship Id="rId248" Type="http://schemas.openxmlformats.org/officeDocument/2006/relationships/hyperlink" Target="https://www.cnnturk.com/turkiye/efsanevi-kecioren-metrosu-aciliyor" TargetMode="External"/><Relationship Id="rId455" Type="http://schemas.openxmlformats.org/officeDocument/2006/relationships/hyperlink" Target="https://www.ndrc.gov.cn/fggz/zcssfz/zcgh/201812/W020190910670713741772.pdf" TargetMode="External"/><Relationship Id="rId662" Type="http://schemas.openxmlformats.org/officeDocument/2006/relationships/hyperlink" Target="https://zfxxgk.ndrc.gov.cn/web/iteminfo.jsp?id=18249" TargetMode="External"/><Relationship Id="rId12" Type="http://schemas.openxmlformats.org/officeDocument/2006/relationships/hyperlink" Target="https://la.streetsblog.org/2018/04/25/metro-celebrates-purple-line-extension-1-tunnel-machines-set-to-start-in-august/" TargetMode="External"/><Relationship Id="rId108" Type="http://schemas.openxmlformats.org/officeDocument/2006/relationships/hyperlink" Target="https://www.railwaypro.com/wp/south-korean-consortium-to-build-panama-metro-line-3/" TargetMode="External"/><Relationship Id="rId315" Type="http://schemas.openxmlformats.org/officeDocument/2006/relationships/hyperlink" Target="https://www.ndrc.gov.cn/xxgk/zcfb/ghwb/201908/W020190905497973740066.pdf" TargetMode="External"/><Relationship Id="rId522" Type="http://schemas.openxmlformats.org/officeDocument/2006/relationships/hyperlink" Target="http://fgw.sz.gov.cn/zwgk/qt/tzgg/201902/P020190226346098115982.pdf" TargetMode="External"/><Relationship Id="rId96" Type="http://schemas.openxmlformats.org/officeDocument/2006/relationships/hyperlink" Target="http://www.kyeonggi.com/news/articleView.html?idxno=564944" TargetMode="External"/><Relationship Id="rId161" Type="http://schemas.openxmlformats.org/officeDocument/2006/relationships/hyperlink" Target="https://www.eitb.eus/es/noticias/economia/detalle/4706859/inauguracion-linea-3-metro-bilbao-operada-euskotren-8-abril/" TargetMode="External"/><Relationship Id="rId399" Type="http://schemas.openxmlformats.org/officeDocument/2006/relationships/hyperlink" Target="http://www.rail-transit.com/project/show.php?itemid=514" TargetMode="External"/><Relationship Id="rId827" Type="http://schemas.openxmlformats.org/officeDocument/2006/relationships/hyperlink" Target="http://www.rail-transit.com/project/show.php?itemid=647" TargetMode="External"/><Relationship Id="rId259" Type="http://schemas.openxmlformats.org/officeDocument/2006/relationships/hyperlink" Target="https://zh.wikipedia.org/wiki/%E4%B8%8A%E6%B5%B7%E8%BD%A8%E9%81%93%E4%BA%A4%E9%80%9A2%E5%8F%B7%E7%BA%BF" TargetMode="External"/><Relationship Id="rId466" Type="http://schemas.openxmlformats.org/officeDocument/2006/relationships/hyperlink" Target="https://www.ndrc.gov.cn/xxgk/zcfb/tz/201812/W020190905514226164270.pdf" TargetMode="External"/><Relationship Id="rId673" Type="http://schemas.openxmlformats.org/officeDocument/2006/relationships/hyperlink" Target="http://www.rail-transit.com/project/show.php?itemid=130" TargetMode="External"/><Relationship Id="rId880" Type="http://schemas.openxmlformats.org/officeDocument/2006/relationships/hyperlink" Target="http://www.rail-transit.com/project/show.php?itemid=622" TargetMode="External"/><Relationship Id="rId23" Type="http://schemas.openxmlformats.org/officeDocument/2006/relationships/hyperlink" Target="https://seenews.com/news/sofia-opens-1125-mln-euro-tender-for-subway-expansion-681553" TargetMode="External"/><Relationship Id="rId119" Type="http://schemas.openxmlformats.org/officeDocument/2006/relationships/hyperlink" Target="https://economictimes.indiatimes.com/news/politics-and-nation/operational-loss-in-delhi-metro-phase-iv-project-to-be-borne-by-delhi-govt-sc/articleshow/71008680.cms" TargetMode="External"/><Relationship Id="rId326" Type="http://schemas.openxmlformats.org/officeDocument/2006/relationships/hyperlink" Target="https://www.ndrc.gov.cn/xxgk/zcfb/ghwb/201707/W020190905497930956563.pdf" TargetMode="External"/><Relationship Id="rId533" Type="http://schemas.openxmlformats.org/officeDocument/2006/relationships/hyperlink" Target="https://zh.wikipedia.org/wiki/%E6%AD%A6%E6%B1%89%E8%BD%A8%E9%81%93%E4%BA%A4%E9%80%9A4%E5%8F%B7%E7%BA%BF" TargetMode="External"/><Relationship Id="rId740" Type="http://schemas.openxmlformats.org/officeDocument/2006/relationships/hyperlink" Target="http://www.rail-transit.com/project/show.php?itemid=291" TargetMode="External"/><Relationship Id="rId838" Type="http://schemas.openxmlformats.org/officeDocument/2006/relationships/hyperlink" Target="http://www.rail-transit.com/project/show.php?itemid=281" TargetMode="External"/><Relationship Id="rId172" Type="http://schemas.openxmlformats.org/officeDocument/2006/relationships/hyperlink" Target="https://www.mrta.co.th/en/projectelectrictrain/bangkok-and-vicinities/greenline/" TargetMode="External"/><Relationship Id="rId477" Type="http://schemas.openxmlformats.org/officeDocument/2006/relationships/hyperlink" Target="https://www.ndrc.gov.cn/xxgk/zcfb/tz/201812/W020190905514226164270.pdf" TargetMode="External"/><Relationship Id="rId600" Type="http://schemas.openxmlformats.org/officeDocument/2006/relationships/hyperlink" Target="http://www.gov.cn/jrzg/2005-12/05/content_118066.htm" TargetMode="External"/><Relationship Id="rId684" Type="http://schemas.openxmlformats.org/officeDocument/2006/relationships/hyperlink" Target="http://engdaily.com/news/articleView.html?idxno=14873" TargetMode="External"/><Relationship Id="rId337" Type="http://schemas.openxmlformats.org/officeDocument/2006/relationships/hyperlink" Target="http://zqb.cyol.com/html/2012-12/31/nw.D110000zgqnb_20121231_3-06.htm" TargetMode="External"/><Relationship Id="rId891" Type="http://schemas.openxmlformats.org/officeDocument/2006/relationships/hyperlink" Target="https://www.chicago-l.org/history/CTA4.html" TargetMode="External"/><Relationship Id="rId34" Type="http://schemas.openxmlformats.org/officeDocument/2006/relationships/hyperlink" Target="https://www.railjournal.com/passenger/metros/prague-opens-metro-line-a-western-extension/" TargetMode="External"/><Relationship Id="rId544" Type="http://schemas.openxmlformats.org/officeDocument/2006/relationships/hyperlink" Target="http://www.uzbekembassy.in/construction-of-sergeli-metro-line-to-cost-170-1-million/" TargetMode="External"/><Relationship Id="rId751" Type="http://schemas.openxmlformats.org/officeDocument/2006/relationships/hyperlink" Target="http://ghzrzyj.cq.gov.cn/zwxx_186/mtgz/202208/t20220803_10975207.html" TargetMode="External"/><Relationship Id="rId849" Type="http://schemas.openxmlformats.org/officeDocument/2006/relationships/hyperlink" Target="https://www.szmc.net/jituagaikuang/tourongziyewu/tourongziqingkuang/" TargetMode="External"/><Relationship Id="rId183" Type="http://schemas.openxmlformats.org/officeDocument/2006/relationships/hyperlink" Target="https://www.westjr.co.jp/global/en/ir/library/fact-sheets/2018/pdf/fact2018.pdf" TargetMode="External"/><Relationship Id="rId390" Type="http://schemas.openxmlformats.org/officeDocument/2006/relationships/hyperlink" Target="http://www.shenyangbus.com/a/sydt/2018/1227/10268.html" TargetMode="External"/><Relationship Id="rId404" Type="http://schemas.openxmlformats.org/officeDocument/2006/relationships/hyperlink" Target="http://www.gov.cn/xinwen/2016-10/13/5118393/files/fc4eeffb973d4e0297ef1fb6bcaa4e73.pdf" TargetMode="External"/><Relationship Id="rId611" Type="http://schemas.openxmlformats.org/officeDocument/2006/relationships/hyperlink" Target="http://www.rail-transit.com/project/show.php?itemid=572" TargetMode="External"/><Relationship Id="rId250" Type="http://schemas.openxmlformats.org/officeDocument/2006/relationships/hyperlink" Target="http://zizhan.mot.gov.cn/zhuantizhuanlan/qita/quanqiuhuanjingjijin/zhishigongxiang/201601/P020160125565596507649.pdf" TargetMode="External"/><Relationship Id="rId488" Type="http://schemas.openxmlformats.org/officeDocument/2006/relationships/hyperlink" Target="http://zfxxgk.ndrc.gov.cn/web/iteminfo.jsp?id=12400" TargetMode="External"/><Relationship Id="rId695" Type="http://schemas.openxmlformats.org/officeDocument/2006/relationships/hyperlink" Target="http://www.rail-transit.com/project/show.php?itemid=179" TargetMode="External"/><Relationship Id="rId709" Type="http://schemas.openxmlformats.org/officeDocument/2006/relationships/hyperlink" Target="https://www.cpppc.org/zhejiang/1001654.jhtml" TargetMode="External"/><Relationship Id="rId45" Type="http://schemas.openxmlformats.org/officeDocument/2006/relationships/hyperlink" Target="http://nyatunnelbanan.sll.se/sites/tunnelbanan/files/Faktablad_Upphandling_%20engelsk.pdf" TargetMode="External"/><Relationship Id="rId110" Type="http://schemas.openxmlformats.org/officeDocument/2006/relationships/hyperlink" Target="https://www.railwaygazette.com/news/single-view/view/manila-metro-line-7-breaks-ground.html" TargetMode="External"/><Relationship Id="rId348" Type="http://schemas.openxmlformats.org/officeDocument/2006/relationships/hyperlink" Target="http://www.gov.cn/xinwen/2017-03/23/5180079/files/d764253433a944c0a620def88bf6f446.pdf" TargetMode="External"/><Relationship Id="rId555" Type="http://schemas.openxmlformats.org/officeDocument/2006/relationships/hyperlink" Target="https://www.miamidade.gov/transit/improvement-airportlink.asp" TargetMode="External"/><Relationship Id="rId762" Type="http://schemas.openxmlformats.org/officeDocument/2006/relationships/hyperlink" Target="http://www.rail-transit.com/project/show.php?itemid=521" TargetMode="External"/><Relationship Id="rId194" Type="http://schemas.openxmlformats.org/officeDocument/2006/relationships/hyperlink" Target="https://www.decn.co.jp/?p=89391" TargetMode="External"/><Relationship Id="rId208" Type="http://schemas.openxmlformats.org/officeDocument/2006/relationships/hyperlink" Target="https://www.thehindu.com/news/cities/Hyderabad/airport-metro-to-have-underground-section-connecting-to-passenger-terminal/article29317205.ece" TargetMode="External"/><Relationship Id="rId415" Type="http://schemas.openxmlformats.org/officeDocument/2006/relationships/hyperlink" Target="https://www.ndrc.gov.cn/xxgk/zcfb/ghwb/201908/W020190905497973740066.pdf" TargetMode="External"/><Relationship Id="rId622" Type="http://schemas.openxmlformats.org/officeDocument/2006/relationships/hyperlink" Target="http://www.rail-transit.com/project/show.php?itemid=283" TargetMode="External"/><Relationship Id="rId261" Type="http://schemas.openxmlformats.org/officeDocument/2006/relationships/hyperlink" Target="https://zh.wikipedia.org/wiki/%E4%B8%8A%E6%B5%B7%E8%BD%A8%E9%81%93%E4%BA%A4%E9%80%9A2%E5%8F%B7%E7%BA%BF" TargetMode="External"/><Relationship Id="rId499" Type="http://schemas.openxmlformats.org/officeDocument/2006/relationships/hyperlink" Target="https://zfxxgk.ndrc.gov.cn/web/iteminfo.jsp?id=18775" TargetMode="External"/><Relationship Id="rId56" Type="http://schemas.openxmlformats.org/officeDocument/2006/relationships/hyperlink" Target="https://vnexpress.net/thoi-su/thanh-tra-chi-ra-nhieu-vi-pham-tai-du-an-metro-1-7-ty-usd-o-ha-noi-3777287.html" TargetMode="External"/><Relationship Id="rId359" Type="http://schemas.openxmlformats.org/officeDocument/2006/relationships/hyperlink" Target="http://www.rail-transit.com/project/show.php?itemid=33" TargetMode="External"/><Relationship Id="rId566" Type="http://schemas.openxmlformats.org/officeDocument/2006/relationships/hyperlink" Target="https://focustaiwan.tw/politics/202202220017" TargetMode="External"/><Relationship Id="rId773" Type="http://schemas.openxmlformats.org/officeDocument/2006/relationships/hyperlink" Target="https://m.21jingji.com/article/20201209/herald/7d218ef3f8835e2e9df093c805e45652.html" TargetMode="External"/><Relationship Id="rId121" Type="http://schemas.openxmlformats.org/officeDocument/2006/relationships/hyperlink" Target="https://financialtribune.com/articles/auto/78612/tehran-municipality-struggling-with-subway-development-costs" TargetMode="External"/><Relationship Id="rId219" Type="http://schemas.openxmlformats.org/officeDocument/2006/relationships/hyperlink" Target="https://www.straitstimes.com/asia/east-asia/taipei-airport-rail-line-ready-to-roll" TargetMode="External"/><Relationship Id="rId426" Type="http://schemas.openxmlformats.org/officeDocument/2006/relationships/hyperlink" Target="http://www.rail-transit.com/project/show.php?itemid=142" TargetMode="External"/><Relationship Id="rId633" Type="http://schemas.openxmlformats.org/officeDocument/2006/relationships/hyperlink" Target="http://www.rail-transit.com/project/show.php?itemid=609" TargetMode="External"/><Relationship Id="rId840" Type="http://schemas.openxmlformats.org/officeDocument/2006/relationships/hyperlink" Target="http://www.symtc.com/content.php?5894" TargetMode="External"/><Relationship Id="rId67" Type="http://schemas.openxmlformats.org/officeDocument/2006/relationships/hyperlink" Target="https://www.projekt-u5.de/de/die-neue-u5/" TargetMode="External"/><Relationship Id="rId272" Type="http://schemas.openxmlformats.org/officeDocument/2006/relationships/hyperlink" Target="https://zh.wikipedia.org/wiki/%E4%B8%8A%E6%B5%B7%E8%BD%A8%E9%81%93%E4%BA%A4%E9%80%9A9%E5%8F%B7%E7%BA%BF" TargetMode="External"/><Relationship Id="rId577" Type="http://schemas.openxmlformats.org/officeDocument/2006/relationships/hyperlink" Target="http://www.rivistacorteconti.it/export/sites/rivistaweb/RepositoryPdf/2017/fascicolo_16_2017/30_CDC_gestione_4.pdf" TargetMode="External"/><Relationship Id="rId700" Type="http://schemas.openxmlformats.org/officeDocument/2006/relationships/hyperlink" Target="https://www.ndrc.gov.cn/fggz/zcssfz/zcgh/201601/W020190910670584360634.pdf" TargetMode="External"/><Relationship Id="rId132" Type="http://schemas.openxmlformats.org/officeDocument/2006/relationships/hyperlink" Target="http://www.omegacentre.bartlett.ucl.ac.uk/wp-content/uploads/2014/12/FRANCE_METEOR_PROFILE.pdf" TargetMode="External"/><Relationship Id="rId784" Type="http://schemas.openxmlformats.org/officeDocument/2006/relationships/hyperlink" Target="https://www.ndrc.gov.cn/fzggw/jgsj/tzs/sjdt/200706/t20070622_1192155.html" TargetMode="External"/><Relationship Id="rId437" Type="http://schemas.openxmlformats.org/officeDocument/2006/relationships/hyperlink" Target="http://www.gov.cn/xinwen/2017-03/23/5180079/files/d764253433a944c0a620def88bf6f446.pdf" TargetMode="External"/><Relationship Id="rId644" Type="http://schemas.openxmlformats.org/officeDocument/2006/relationships/hyperlink" Target="http://www.rail-transit.com/project/show.php?itemid=617" TargetMode="External"/><Relationship Id="rId851" Type="http://schemas.openxmlformats.org/officeDocument/2006/relationships/hyperlink" Target="http://www.tranbbs.com/Advisory/Rail/Advisory_84459.shtml" TargetMode="External"/><Relationship Id="rId283" Type="http://schemas.openxmlformats.org/officeDocument/2006/relationships/hyperlink" Target="https://www.ndrc.gov.cn/xxgk/zcfb/ghwb/201707/W020190905497930956563.pdf" TargetMode="External"/><Relationship Id="rId490" Type="http://schemas.openxmlformats.org/officeDocument/2006/relationships/hyperlink" Target="http://news.sciencenet.cn/sbhtmlnews/2008/8/209799.html" TargetMode="External"/><Relationship Id="rId504" Type="http://schemas.openxmlformats.org/officeDocument/2006/relationships/hyperlink" Target="https://zfxxgk.ndrc.gov.cn/web/iteminfo.jsp?id=18775" TargetMode="External"/><Relationship Id="rId711" Type="http://schemas.openxmlformats.org/officeDocument/2006/relationships/hyperlink" Target="http://www.ciecc.com.cn/art/2013/3/8/art_1599_30934.html" TargetMode="External"/><Relationship Id="rId78" Type="http://schemas.openxmlformats.org/officeDocument/2006/relationships/hyperlink" Target="https://indianexpress.com/article/cities/mumbai/indias-first-monorail-rolls-out-in-city/" TargetMode="External"/><Relationship Id="rId143" Type="http://schemas.openxmlformats.org/officeDocument/2006/relationships/hyperlink" Target="https://www.usinenouvelle.com/article/le-prolongement-a-l-ouest-de-paris-du-rer-e-devient-enfin-realite.N775434" TargetMode="External"/><Relationship Id="rId350" Type="http://schemas.openxmlformats.org/officeDocument/2006/relationships/hyperlink" Target="http://www.rail-transit.com/project/show.php?itemid=42" TargetMode="External"/><Relationship Id="rId588" Type="http://schemas.openxmlformats.org/officeDocument/2006/relationships/hyperlink" Target="https://www.indiatoday.in/india/story/pm-modi-to-virtually-inaugurate-construction-of-rs-8-000-crore-agra-metro-project-on-december-7-1746997-2020-12-05" TargetMode="External"/><Relationship Id="rId795" Type="http://schemas.openxmlformats.org/officeDocument/2006/relationships/hyperlink" Target="http://www.rail-transit.com/project/show.php?itemid=89" TargetMode="External"/><Relationship Id="rId809" Type="http://schemas.openxmlformats.org/officeDocument/2006/relationships/hyperlink" Target="http://www.rail-transit.com/project/show.php?itemid=66" TargetMode="External"/><Relationship Id="rId9" Type="http://schemas.openxmlformats.org/officeDocument/2006/relationships/hyperlink" Target="https://www.soundtransit.org/sites/default/files/documents/2018-q3-link-light-rail_0.pdf" TargetMode="External"/><Relationship Id="rId210" Type="http://schemas.openxmlformats.org/officeDocument/2006/relationships/hyperlink" Target="https://themetrorailguy.com/chennai-metro-phase-1-extension-information-route-maps-tenders-updates/" TargetMode="External"/><Relationship Id="rId448" Type="http://schemas.openxmlformats.org/officeDocument/2006/relationships/hyperlink" Target="https://www.ndrc.gov.cn/fggz/zcssfz/zcgh/201812/W020190910670713741772.pdf" TargetMode="External"/><Relationship Id="rId655" Type="http://schemas.openxmlformats.org/officeDocument/2006/relationships/hyperlink" Target="http://sd.sina.com.cn/news/2018-04-12/detail-ifyzeyqa8611820.shtml" TargetMode="External"/><Relationship Id="rId862" Type="http://schemas.openxmlformats.org/officeDocument/2006/relationships/hyperlink" Target="http://chinawestern.org/xbfz/jcss/3635.html" TargetMode="External"/><Relationship Id="rId294" Type="http://schemas.openxmlformats.org/officeDocument/2006/relationships/hyperlink" Target="https://baike.baidu.com/item/%E5%8D%97%E4%BA%AC%E5%9C%B0%E9%93%811%E5%8F%B7%E7%BA%BF" TargetMode="External"/><Relationship Id="rId308" Type="http://schemas.openxmlformats.org/officeDocument/2006/relationships/hyperlink" Target="https://www.ndrc.gov.cn/fggz/zcssfz/zcgh/201812/W020190910670719961874.pdf" TargetMode="External"/><Relationship Id="rId515" Type="http://schemas.openxmlformats.org/officeDocument/2006/relationships/hyperlink" Target="https://www.railway-technology.com/projects/route-2020-dubai/" TargetMode="External"/><Relationship Id="rId722" Type="http://schemas.openxmlformats.org/officeDocument/2006/relationships/hyperlink" Target="http://www.rail-transit.com/project/show.php?itemid=192" TargetMode="External"/><Relationship Id="rId89" Type="http://schemas.openxmlformats.org/officeDocument/2006/relationships/hyperlink" Target="https://mmrda.maharashtra.gov.in/documents/10180/9283015/Metro+Line+11/8dc85106-19e2-48a5-875e-acdb289c357d" TargetMode="External"/><Relationship Id="rId154" Type="http://schemas.openxmlformats.org/officeDocument/2006/relationships/hyperlink" Target="https://www.nahverkehrhamburg.de/u4-kann-verlaengert-werden-planfeststellungsbeschluss-ist-da-14090/" TargetMode="External"/><Relationship Id="rId361" Type="http://schemas.openxmlformats.org/officeDocument/2006/relationships/hyperlink" Target="https://www.ndrc.gov.cn/xxgk/zcfb/ghwb/201703/W020190905497919692262.pdf" TargetMode="External"/><Relationship Id="rId599" Type="http://schemas.openxmlformats.org/officeDocument/2006/relationships/hyperlink" Target="https://web.archive.org/web/20160509075613/http:/www.harbin-metro.com/system/20160418/000002978.html" TargetMode="External"/><Relationship Id="rId459" Type="http://schemas.openxmlformats.org/officeDocument/2006/relationships/hyperlink" Target="http://www.rail-transit.com/project/show.php?itemid=238" TargetMode="External"/><Relationship Id="rId666" Type="http://schemas.openxmlformats.org/officeDocument/2006/relationships/hyperlink" Target="https://zfxxgk.ndrc.gov.cn/web/iteminfo.jsp?id=18249" TargetMode="External"/><Relationship Id="rId873" Type="http://schemas.openxmlformats.org/officeDocument/2006/relationships/hyperlink" Target="http://www.rail-transit.com/project/show.php?itemid=221" TargetMode="External"/><Relationship Id="rId16" Type="http://schemas.openxmlformats.org/officeDocument/2006/relationships/hyperlink" Target="https://www.aecom.com/projects/ottawa-light-rail/" TargetMode="External"/><Relationship Id="rId221" Type="http://schemas.openxmlformats.org/officeDocument/2006/relationships/hyperlink" Target="https://dorts.tycg.gov.tw/en/business/mrt-brown-line" TargetMode="External"/><Relationship Id="rId319" Type="http://schemas.openxmlformats.org/officeDocument/2006/relationships/hyperlink" Target="https://zh.wikisource.org/zh-hans/%E5%8C%97%E4%BA%AC%E5%B8%82%E5%9F%8E%E5%B8%82%E8%BD%A8%E9%81%93%E4%BA%A4%E9%80%9A%E7%AC%AC%E4%BA%8C%E6%9C%9F%E5%BB%BA%E8%AE%BE%E8%A7%84%E5%88%92%EF%BC%882015%EF%BD%9E2021%E5%B9%B4%EF%BC%89" TargetMode="External"/><Relationship Id="rId526" Type="http://schemas.openxmlformats.org/officeDocument/2006/relationships/hyperlink" Target="http://fgw.sz.gov.cn/zwgk/qt/tzgg/201902/P020190226346098115982.pdf" TargetMode="External"/><Relationship Id="rId733" Type="http://schemas.openxmlformats.org/officeDocument/2006/relationships/hyperlink" Target="https://www.sohu.com/a/237588900_683466" TargetMode="External"/><Relationship Id="rId165" Type="http://schemas.openxmlformats.org/officeDocument/2006/relationships/hyperlink" Target="https://bdnews24.com/economy/2019/10/15/govt-approves-two-more-metro-rail-projects-worth-tk-938bn" TargetMode="External"/><Relationship Id="rId372" Type="http://schemas.openxmlformats.org/officeDocument/2006/relationships/hyperlink" Target="http://bj.bendibao.com/news/20141120/171344.shtm" TargetMode="External"/><Relationship Id="rId677" Type="http://schemas.openxmlformats.org/officeDocument/2006/relationships/hyperlink" Target="http://www.jiangxi.gov.cn/art/2018/8/16/art_4985_350163.html" TargetMode="External"/><Relationship Id="rId800" Type="http://schemas.openxmlformats.org/officeDocument/2006/relationships/hyperlink" Target="http://www.rail-transit.com/project/show.php?itemid=359" TargetMode="External"/><Relationship Id="rId232" Type="http://schemas.openxmlformats.org/officeDocument/2006/relationships/hyperlink" Target="https://signalarchiv.de/Meldungen/10003834" TargetMode="External"/><Relationship Id="rId884" Type="http://schemas.openxmlformats.org/officeDocument/2006/relationships/hyperlink" Target="https://sustainabledevelopment.un.org/content/documents/Dominican.pdf" TargetMode="External"/><Relationship Id="rId27" Type="http://schemas.openxmlformats.org/officeDocument/2006/relationships/hyperlink" Target="https://www.railwaypro.com/wp/a-single-bidder-for-warsaw-metro-line-2-extension/" TargetMode="External"/><Relationship Id="rId537" Type="http://schemas.openxmlformats.org/officeDocument/2006/relationships/hyperlink" Target="https://www.ndrc.gov.cn/fggz/zcssfz/zdgc/201607/W020190910671924062945.pdf" TargetMode="External"/><Relationship Id="rId744" Type="http://schemas.openxmlformats.org/officeDocument/2006/relationships/hyperlink" Target="https://www.ndrc.gov.cn/fggz/zcssfz/zdgc/201505/t20150518_1146000.html" TargetMode="External"/><Relationship Id="rId80" Type="http://schemas.openxmlformats.org/officeDocument/2006/relationships/hyperlink" Target="https://www.freepressjournal.in/mumbai/metro-line-2a-revised-deadline-is-may-2021" TargetMode="External"/><Relationship Id="rId176" Type="http://schemas.openxmlformats.org/officeDocument/2006/relationships/hyperlink" Target="https://www.mrta.co.th/en/projectelectrictrain/bangkok-and-vicinities/pinkline/" TargetMode="External"/><Relationship Id="rId383" Type="http://schemas.openxmlformats.org/officeDocument/2006/relationships/hyperlink" Target="http://www.shenyangbus.com/a/sydt/2018/1227/10268.html" TargetMode="External"/><Relationship Id="rId590" Type="http://schemas.openxmlformats.org/officeDocument/2006/relationships/hyperlink" Target="http://www.rail-transit.com/project/show.php?itemid=41" TargetMode="External"/><Relationship Id="rId604" Type="http://schemas.openxmlformats.org/officeDocument/2006/relationships/hyperlink" Target="https://timesofindia.indiatimes.com/city/kanpur/first-train-set-for-kanpur-metro-project-rolls-out-from-gujarats-savli/articleshow/86322835.cms" TargetMode="External"/><Relationship Id="rId811" Type="http://schemas.openxmlformats.org/officeDocument/2006/relationships/hyperlink" Target="http://www.rail-transit.com/project/show.php?itemid=706" TargetMode="External"/><Relationship Id="rId243" Type="http://schemas.openxmlformats.org/officeDocument/2006/relationships/hyperlink" Target="https://www.railwaygazette.com/infrastructure/marmaray-upgrading-works-resume/43921.article" TargetMode="External"/><Relationship Id="rId450" Type="http://schemas.openxmlformats.org/officeDocument/2006/relationships/hyperlink" Target="http://finance.sina.com.cn/b/20040419/0854725033.shtml" TargetMode="External"/><Relationship Id="rId688" Type="http://schemas.openxmlformats.org/officeDocument/2006/relationships/hyperlink" Target="https://www.yna.co.kr/view/AKR20220112075600060" TargetMode="External"/><Relationship Id="rId895" Type="http://schemas.openxmlformats.org/officeDocument/2006/relationships/comments" Target="../comments1.xml"/><Relationship Id="rId38" Type="http://schemas.openxmlformats.org/officeDocument/2006/relationships/hyperlink" Target="http://www.otipiemonte.it/Pagine/Completo.asp?ID=86" TargetMode="External"/><Relationship Id="rId103" Type="http://schemas.openxmlformats.org/officeDocument/2006/relationships/hyperlink" Target="https://www.metro.cl/files/documentos/metro-investor-201709.pdf" TargetMode="External"/><Relationship Id="rId310" Type="http://schemas.openxmlformats.org/officeDocument/2006/relationships/hyperlink" Target="https://zh.wikisource.org/zh-hans/%E5%8C%97%E4%BA%AC%E5%B8%82%E5%9F%8E%E5%B8%82%E8%BD%A8%E9%81%93%E4%BA%A4%E9%80%9A%E7%AC%AC%E4%BA%8C%E6%9C%9F%E5%BB%BA%E8%AE%BE%E8%A7%84%E5%88%92%EF%BC%882015%EF%BD%9E2021%E5%B9%B4%EF%BC%89" TargetMode="External"/><Relationship Id="rId548" Type="http://schemas.openxmlformats.org/officeDocument/2006/relationships/hyperlink" Target="https://mmis.hkpl.gov.hk/c/portal/cover?c=QF757YsWv59%2F9WIUSQ5l7%2Fm%2BLaqXoBAd" TargetMode="External"/><Relationship Id="rId755" Type="http://schemas.openxmlformats.org/officeDocument/2006/relationships/hyperlink" Target="http://fzggw.cq.gov.cn/zwgk/zfxxgkml/sphzbaxx/202009/t20200930_7937966_wap.html" TargetMode="External"/><Relationship Id="rId91" Type="http://schemas.openxmlformats.org/officeDocument/2006/relationships/hyperlink" Target="https://www.ametro.gr/?p=14801&amp;lang=en" TargetMode="External"/><Relationship Id="rId187" Type="http://schemas.openxmlformats.org/officeDocument/2006/relationships/hyperlink" Target="https://www.japantimes.co.jp/life/2004/02/13/travel/new-subway-signals-start-of-a-new-era/" TargetMode="External"/><Relationship Id="rId394" Type="http://schemas.openxmlformats.org/officeDocument/2006/relationships/hyperlink" Target="http://www.rail-transit.com/project/show.php?itemid=310" TargetMode="External"/><Relationship Id="rId408" Type="http://schemas.openxmlformats.org/officeDocument/2006/relationships/hyperlink" Target="https://www.sohu.com/a/112444814_268310" TargetMode="External"/><Relationship Id="rId615" Type="http://schemas.openxmlformats.org/officeDocument/2006/relationships/hyperlink" Target="http://www.rail-transit.com/project/show.php?itemid=234" TargetMode="External"/><Relationship Id="rId822" Type="http://schemas.openxmlformats.org/officeDocument/2006/relationships/hyperlink" Target="http://www.rail-transit.com/project/show.php?itemid=610" TargetMode="External"/><Relationship Id="rId254" Type="http://schemas.openxmlformats.org/officeDocument/2006/relationships/hyperlink" Target="https://zh.wikipedia.org/wiki/%E5%8C%97%E4%BA%AC%E5%9C%B0%E9%93%818%E5%8F%B7%E7%BA%BF" TargetMode="External"/><Relationship Id="rId699" Type="http://schemas.openxmlformats.org/officeDocument/2006/relationships/hyperlink" Target="http://www.rail-transit.com/project/show.php?itemid=196" TargetMode="External"/><Relationship Id="rId49" Type="http://schemas.openxmlformats.org/officeDocument/2006/relationships/hyperlink" Target="http://www.elfinanciero.com.mx/nacional/linea-12-costara-mas-que-el-tren-mexico-queretaro" TargetMode="External"/><Relationship Id="rId114" Type="http://schemas.openxmlformats.org/officeDocument/2006/relationships/hyperlink" Target="https://www.wien.gv.at/stadtentwicklung/projekte/verkehrsplanung/u-bahn/u1-oberlaa.html" TargetMode="External"/><Relationship Id="rId461" Type="http://schemas.openxmlformats.org/officeDocument/2006/relationships/hyperlink" Target="http://hb.sina.com.cn/news/b/2013-06-03/070979213.html" TargetMode="External"/><Relationship Id="rId559" Type="http://schemas.openxmlformats.org/officeDocument/2006/relationships/hyperlink" Target="https://www.ibb.istanbul/Uploads/2019/10/1.-DOc.DR.PELiN-ALPKoKiN--RAYLI-SiSTEMLERiN-MEVCUT-DURUMU.pdf" TargetMode="External"/><Relationship Id="rId766" Type="http://schemas.openxmlformats.org/officeDocument/2006/relationships/hyperlink" Target="http://news.sina.com.cn/o/2005-06-15/11406180055s.shtml" TargetMode="External"/><Relationship Id="rId198" Type="http://schemas.openxmlformats.org/officeDocument/2006/relationships/hyperlink" Target="https://www.railwaygazette.com/infrastructure/cross-city-tunnel-opening-increases-capacity-in-zurich/39619.article" TargetMode="External"/><Relationship Id="rId321" Type="http://schemas.openxmlformats.org/officeDocument/2006/relationships/hyperlink" Target="http://www.rail-transit.com/project/show.php?itemid=154" TargetMode="External"/><Relationship Id="rId419" Type="http://schemas.openxmlformats.org/officeDocument/2006/relationships/hyperlink" Target="http://www.rail-transit.com/project/show.php?itemid=159" TargetMode="External"/><Relationship Id="rId626" Type="http://schemas.openxmlformats.org/officeDocument/2006/relationships/hyperlink" Target="https://www.ndrc.gov.cn/xxgk/zcfb/pifu/202101/t20210126_1316566.html?code=&amp;state=123" TargetMode="External"/><Relationship Id="rId833" Type="http://schemas.openxmlformats.org/officeDocument/2006/relationships/hyperlink" Target="http://www.rail-transit.com/project/show.php?itemid=145" TargetMode="External"/><Relationship Id="rId265" Type="http://schemas.openxmlformats.org/officeDocument/2006/relationships/hyperlink" Target="https://zh.wikipedia.org/wiki/%E4%B8%8A%E6%B5%B7%E8%BD%A8%E9%81%93%E4%BA%A4%E9%80%9A5%E5%8F%B7%E7%BA%BF" TargetMode="External"/><Relationship Id="rId472" Type="http://schemas.openxmlformats.org/officeDocument/2006/relationships/hyperlink" Target="http://www.gov.cn/xinwen/2019-01/06/5355294/files/c3d503decf1d4b6b924324b210ee0f1a.pdf" TargetMode="External"/><Relationship Id="rId125" Type="http://schemas.openxmlformats.org/officeDocument/2006/relationships/hyperlink" Target="https://www.railjournal.com/passenger/metros/european-commission-approves-e83m-for-lisbon-metro-expansion/" TargetMode="External"/><Relationship Id="rId332" Type="http://schemas.openxmlformats.org/officeDocument/2006/relationships/hyperlink" Target="https://www.seetao.com/details/82868.html" TargetMode="External"/><Relationship Id="rId777" Type="http://schemas.openxmlformats.org/officeDocument/2006/relationships/hyperlink" Target="https://www.ndrc.gov.cn/fggz/zcssfz/zdgc/201209/t20120905_1145857.html" TargetMode="External"/><Relationship Id="rId637" Type="http://schemas.openxmlformats.org/officeDocument/2006/relationships/hyperlink" Target="http://fgw.fuzhou.gov.cn/zz/fgwzwgk/tzgg/201804/t20180428_2189534.htm" TargetMode="External"/><Relationship Id="rId844" Type="http://schemas.openxmlformats.org/officeDocument/2006/relationships/hyperlink" Target="http://drc.gd.gov.cn/xmgs/content/post_3719459.html" TargetMode="External"/><Relationship Id="rId276" Type="http://schemas.openxmlformats.org/officeDocument/2006/relationships/hyperlink" Target="https://zh.wikipedia.org/wiki/%E4%B8%8A%E6%B5%B7%E8%BD%A8%E9%81%93%E4%BA%A4%E9%80%9A11%E5%8F%B7%E7%BA%BF" TargetMode="External"/><Relationship Id="rId483" Type="http://schemas.openxmlformats.org/officeDocument/2006/relationships/hyperlink" Target="https://yn.leju.com/news/2020-07-03/17306684750030261506576.shtml" TargetMode="External"/><Relationship Id="rId690" Type="http://schemas.openxmlformats.org/officeDocument/2006/relationships/hyperlink" Target="https://www.mk.co.kr/news/society/view/2021/03/266810/" TargetMode="External"/><Relationship Id="rId704" Type="http://schemas.openxmlformats.org/officeDocument/2006/relationships/hyperlink" Target="http://www.rail-transit.com/project/show.php?itemid=120" TargetMode="External"/><Relationship Id="rId40" Type="http://schemas.openxmlformats.org/officeDocument/2006/relationships/hyperlink" Target="https://www.lansimetro.fi/en/contact-information/faq/" TargetMode="External"/><Relationship Id="rId136" Type="http://schemas.openxmlformats.org/officeDocument/2006/relationships/hyperlink" Target="https://www.wz.de/nrw/duesseldorf/wehrhahn-linie-wird-noch-viel-teurer_aid-25646289" TargetMode="External"/><Relationship Id="rId343" Type="http://schemas.openxmlformats.org/officeDocument/2006/relationships/hyperlink" Target="http://www.rail-transit.com/project/show.php?itemid=206" TargetMode="External"/><Relationship Id="rId550" Type="http://schemas.openxmlformats.org/officeDocument/2006/relationships/hyperlink" Target="https://mmis.hkpl.gov.hk/c/portal/cover?c=QF757YsWv59%2F9WIUSQ5l77yBOL%2Bgwk13" TargetMode="External"/><Relationship Id="rId788" Type="http://schemas.openxmlformats.org/officeDocument/2006/relationships/hyperlink" Target="http://www.rail-transit.com/project/show.php?itemid=87" TargetMode="External"/><Relationship Id="rId203" Type="http://schemas.openxmlformats.org/officeDocument/2006/relationships/hyperlink" Target="http://www.ptinews.com/news/8562521_Second-phase-of-Gurgaon-s-Rapid-Metro-launched.html" TargetMode="External"/><Relationship Id="rId648" Type="http://schemas.openxmlformats.org/officeDocument/2006/relationships/hyperlink" Target="http://www.rail-transit.com/project/show.php?itemid=273" TargetMode="External"/><Relationship Id="rId855" Type="http://schemas.openxmlformats.org/officeDocument/2006/relationships/hyperlink" Target="https://m.sohu.com/n/339227064/?v=3" TargetMode="External"/><Relationship Id="rId287" Type="http://schemas.openxmlformats.org/officeDocument/2006/relationships/hyperlink" Target="https://www.ndrc.gov.cn/xxgk/zcfb/ghwb/201707/W020190905497930956563.pdf" TargetMode="External"/><Relationship Id="rId410" Type="http://schemas.openxmlformats.org/officeDocument/2006/relationships/hyperlink" Target="http://www.rail-transit.com/file/upload/201907/15/10573644162.pdf" TargetMode="External"/><Relationship Id="rId494" Type="http://schemas.openxmlformats.org/officeDocument/2006/relationships/hyperlink" Target="http://zjjcmspublic.oss-cn-hangzhou-zwynet-d01-a.internet.cloud.zj.gov.cn/jcms_files/jcms1/web1825/site/attach/0/150120083915404.pdf" TargetMode="External"/><Relationship Id="rId508" Type="http://schemas.openxmlformats.org/officeDocument/2006/relationships/hyperlink" Target="https://www.fastmetroriyadh.com/ar/%D8%A7%D9%84%D8%AE%D8%B1%D9%8A%D8%B7%D8%A9-2/" TargetMode="External"/><Relationship Id="rId715" Type="http://schemas.openxmlformats.org/officeDocument/2006/relationships/hyperlink" Target="http://www.rail-transit.com/project/show.php?itemid=264" TargetMode="External"/><Relationship Id="rId147" Type="http://schemas.openxmlformats.org/officeDocument/2006/relationships/hyperlink" Target="https://plainecommune.fr/projets/transports-et-mobilite/prolongement-de-la-ligne-12/" TargetMode="External"/><Relationship Id="rId354" Type="http://schemas.openxmlformats.org/officeDocument/2006/relationships/hyperlink" Target="http://www.gov.cn/xinwen/2017-03/23/5180079/files/d764253433a944c0a620def88bf6f446.pdf" TargetMode="External"/><Relationship Id="rId799" Type="http://schemas.openxmlformats.org/officeDocument/2006/relationships/hyperlink" Target="http://www.rail-transit.com/project/show.php?itemid=286" TargetMode="External"/><Relationship Id="rId51" Type="http://schemas.openxmlformats.org/officeDocument/2006/relationships/hyperlink" Target="http://www.expofairs.com/pianeta-costruzioni/001/pagina_017.pdf" TargetMode="External"/><Relationship Id="rId561" Type="http://schemas.openxmlformats.org/officeDocument/2006/relationships/hyperlink" Target="https://www.2.stammstrecke-muenchen.de/kosten-und-finanzierung.html" TargetMode="External"/><Relationship Id="rId659" Type="http://schemas.openxmlformats.org/officeDocument/2006/relationships/hyperlink" Target="http://www.rail-transit.com/project/show.php?itemid=725" TargetMode="External"/><Relationship Id="rId866" Type="http://schemas.openxmlformats.org/officeDocument/2006/relationships/hyperlink" Target="https://www.ndrc.gov.cn/fzggw/jgsj/zcs/sjdt/201401/t20140102_1145411.html" TargetMode="External"/><Relationship Id="rId214" Type="http://schemas.openxmlformats.org/officeDocument/2006/relationships/hyperlink" Target="http://www.globalconstructionreview.com/news/china-railway-completes-feasibility-study-kiev-met/" TargetMode="External"/><Relationship Id="rId298" Type="http://schemas.openxmlformats.org/officeDocument/2006/relationships/hyperlink" Target="http://www.rail-transit.com/project/show.php?itemid=582" TargetMode="External"/><Relationship Id="rId421" Type="http://schemas.openxmlformats.org/officeDocument/2006/relationships/hyperlink" Target="https://www.ndrc.gov.cn/xxgk/zcfb/tz/201812/W020190905514226164270.pdf" TargetMode="External"/><Relationship Id="rId519" Type="http://schemas.openxmlformats.org/officeDocument/2006/relationships/hyperlink" Target="http://www.rail-transit.com/project/show.php?itemid=287" TargetMode="External"/><Relationship Id="rId158" Type="http://schemas.openxmlformats.org/officeDocument/2006/relationships/hyperlink" Target="http://territori.scot.cat/cat/notices/2010/10/metro_lInia_2_2737.php" TargetMode="External"/><Relationship Id="rId726" Type="http://schemas.openxmlformats.org/officeDocument/2006/relationships/hyperlink" Target="https://web.archive.org/web/20220515142603/https:/www.rails.cn/download/2022/20220418_%E9%99%84%E4%BB%B61%EF%BC%9A%E5%8C%97%E4%BA%AC%E8%BD%A8%E9%81%93%E4%BA%A4%E9%80%9AM101%E7%BA%BF%E4%B8%80%E6%9C%9F%E5%B7%A5%E7%A8%8B%E7%8E%AF%E5%A2%83%E5%BD%B1%E5%93%8D%E6%8A%A5%E5%91%8A%E4%B9%A6%EF%BC%88%E5%BE%81%E6%B1%82%E6%84%8F%E8%A7%81%E7%A8%BF%EF%BC%89.pdf" TargetMode="External"/><Relationship Id="rId62" Type="http://schemas.openxmlformats.org/officeDocument/2006/relationships/hyperlink" Target="https://www.comune.roma.it/PCR/resources/cms/documents/B1schedaillustrativaintervento.pdf" TargetMode="External"/><Relationship Id="rId365" Type="http://schemas.openxmlformats.org/officeDocument/2006/relationships/hyperlink" Target="http://www.rail-transit.com/project/show.php?itemid=531" TargetMode="External"/><Relationship Id="rId572" Type="http://schemas.openxmlformats.org/officeDocument/2006/relationships/hyperlink" Target="http://silos.infrastrutturestrategiche.it/admin/scheda.aspx?id=1723" TargetMode="External"/><Relationship Id="rId225" Type="http://schemas.openxmlformats.org/officeDocument/2006/relationships/hyperlink" Target="https://www.rb.gov.tw/en/showpage.php?lmenuid=24&amp;smenuid=159" TargetMode="External"/><Relationship Id="rId432" Type="http://schemas.openxmlformats.org/officeDocument/2006/relationships/hyperlink" Target="http://www.rail-transit.com/project/show.php?itemid=458" TargetMode="External"/><Relationship Id="rId877" Type="http://schemas.openxmlformats.org/officeDocument/2006/relationships/hyperlink" Target="https://www.ndrc.gov.cn/fggz/zcssfz/zdgc/201209/t20120905_1145854.html" TargetMode="External"/><Relationship Id="rId737" Type="http://schemas.openxmlformats.org/officeDocument/2006/relationships/hyperlink" Target="https://www.12369zb.com/view/482/MUlxBX4B4pnqPFb2iCfa.html" TargetMode="External"/><Relationship Id="rId73" Type="http://schemas.openxmlformats.org/officeDocument/2006/relationships/hyperlink" Target="https://www.transport.nsw.gov.au/news-and-events/media-releases/sydney-metro-northwest-under-budget" TargetMode="External"/><Relationship Id="rId169" Type="http://schemas.openxmlformats.org/officeDocument/2006/relationships/hyperlink" Target="https://www.lyon-entreprises.com/actualites/article/le-prolongement-de-la-ligne-b-du-metro-lyonnais-a-oullins-devrait-booster-le-developpement-du-sud-ouest-lyonnais" TargetMode="External"/><Relationship Id="rId376" Type="http://schemas.openxmlformats.org/officeDocument/2006/relationships/hyperlink" Target="https://www.ndrc.gov.cn/fggz/zcssfz/zcgh/201703/W020190910670680927090.pdf" TargetMode="External"/><Relationship Id="rId583" Type="http://schemas.openxmlformats.org/officeDocument/2006/relationships/hyperlink" Target="http://silos.infrastrutturestrategiche.it/admin/scheda.aspx?id=1241" TargetMode="External"/><Relationship Id="rId790" Type="http://schemas.openxmlformats.org/officeDocument/2006/relationships/hyperlink" Target="http://gd.people.com.cn/n2/2020/0805/c123932-34206133.html" TargetMode="External"/><Relationship Id="rId804" Type="http://schemas.openxmlformats.org/officeDocument/2006/relationships/hyperlink" Target="http://117.149.20.102/zjgcjy/InfoDetail/?InfoID=8a06b8de-a13d-4102-9c58-df3858d9e226&amp;CategoryNum=004001001" TargetMode="External"/><Relationship Id="rId4" Type="http://schemas.openxmlformats.org/officeDocument/2006/relationships/hyperlink" Target="https://urbantoronto.ca/news/2020/03/metrolinxs-preliminary-business-case-scarborough-subway-extension-raises-questions" TargetMode="External"/><Relationship Id="rId236" Type="http://schemas.openxmlformats.org/officeDocument/2006/relationships/hyperlink" Target="https://www.nst.com.my/news/nation/2017/07/258054/sbk-mrt-proud-achievement-which-will-save-commuters-cost-time-pm" TargetMode="External"/><Relationship Id="rId443" Type="http://schemas.openxmlformats.org/officeDocument/2006/relationships/hyperlink" Target="https://wenku.baidu.com/view/801ab19a8ad63186bceb19e8b8f67c1cfbd6ee6e.html" TargetMode="External"/><Relationship Id="rId650" Type="http://schemas.openxmlformats.org/officeDocument/2006/relationships/hyperlink" Target="http://www.rail-transit.com/project/show.php?itemid=236" TargetMode="External"/><Relationship Id="rId888" Type="http://schemas.openxmlformats.org/officeDocument/2006/relationships/hyperlink" Target="http://www.berliner-verkehrsseiten.de/Download/Archiv/U_155_Eroeffnungsschrift_Steglitz_U9.pdf" TargetMode="External"/><Relationship Id="rId303" Type="http://schemas.openxmlformats.org/officeDocument/2006/relationships/hyperlink" Target="https://www.ndrc.gov.cn/fggz/zcssfz/zcgh/201812/W020190910670719961874.pdf" TargetMode="External"/><Relationship Id="rId748" Type="http://schemas.openxmlformats.org/officeDocument/2006/relationships/hyperlink" Target="http://www.rail-transit.com/project/show.php?itemid=412" TargetMode="External"/><Relationship Id="rId84" Type="http://schemas.openxmlformats.org/officeDocument/2006/relationships/hyperlink" Target="https://mmrda.maharashtra.gov.in/metro-line-5" TargetMode="External"/><Relationship Id="rId387" Type="http://schemas.openxmlformats.org/officeDocument/2006/relationships/hyperlink" Target="https://baike.baidu.com/item/%E8%B4%B5%E9%98%B3%E8%BD%A8%E9%81%93%E4%BA%A4%E9%80%9A3%E5%8F%B7%E7%BA%BF/16024214" TargetMode="External"/><Relationship Id="rId510" Type="http://schemas.openxmlformats.org/officeDocument/2006/relationships/hyperlink" Target="http://www.metrojeddah.com.sa/page/Metro" TargetMode="External"/><Relationship Id="rId594" Type="http://schemas.openxmlformats.org/officeDocument/2006/relationships/hyperlink" Target="https://web.archive.org/web/20160509075613/http:/www.harbin-metro.com/system/20160418/000002978.html" TargetMode="External"/><Relationship Id="rId608" Type="http://schemas.openxmlformats.org/officeDocument/2006/relationships/hyperlink" Target="http://www.rail-transit.com/project/show.php?itemid=532" TargetMode="External"/><Relationship Id="rId815" Type="http://schemas.openxmlformats.org/officeDocument/2006/relationships/hyperlink" Target="https://m.jiemian.com/article/2611638.html" TargetMode="External"/><Relationship Id="rId247" Type="http://schemas.openxmlformats.org/officeDocument/2006/relationships/hyperlink" Target="https://www.uab.gov.tr/uploads/pages/kutuphane/d38e678334e19c8.pdf" TargetMode="External"/><Relationship Id="rId107" Type="http://schemas.openxmlformats.org/officeDocument/2006/relationships/hyperlink" Target="https://www.railjournal.com/regions/central-south-america/panama-city-metro-line-2-inaugurated/" TargetMode="External"/><Relationship Id="rId454" Type="http://schemas.openxmlformats.org/officeDocument/2006/relationships/hyperlink" Target="http://www.gov.cn/xinwen/2016-10/13/5118393/files/fc4eeffb973d4e0297ef1fb6bcaa4e73.pdf" TargetMode="External"/><Relationship Id="rId661" Type="http://schemas.openxmlformats.org/officeDocument/2006/relationships/hyperlink" Target="http://www.rail-transit.com/project/show.php?itemid=400" TargetMode="External"/><Relationship Id="rId759" Type="http://schemas.openxmlformats.org/officeDocument/2006/relationships/hyperlink" Target="http://www.rail-transit.com/project/show.php?itemid=693" TargetMode="External"/><Relationship Id="rId11" Type="http://schemas.openxmlformats.org/officeDocument/2006/relationships/hyperlink" Target="https://www.railjournal.com/in_depth/transit-projects-fly-in-the-city-of-angels" TargetMode="External"/><Relationship Id="rId314" Type="http://schemas.openxmlformats.org/officeDocument/2006/relationships/hyperlink" Target="https://zh.wikipedia.org/wiki/%E5%8C%97%E4%BA%AC%E5%9C%B0%E9%93%818%E5%8F%B7%E7%BA%BF" TargetMode="External"/><Relationship Id="rId398" Type="http://schemas.openxmlformats.org/officeDocument/2006/relationships/hyperlink" Target="https://www.ndrc.gov.cn/fggz/zcssfz/zcgh/201812/W020190910670719961874.pdf" TargetMode="External"/><Relationship Id="rId521" Type="http://schemas.openxmlformats.org/officeDocument/2006/relationships/hyperlink" Target="http://fgw.sz.gov.cn/zwgk/qt/tzgg/201902/P020190226346098115982.pdf" TargetMode="External"/><Relationship Id="rId619" Type="http://schemas.openxmlformats.org/officeDocument/2006/relationships/hyperlink" Target="http://www.rail-transit.com/project/show.php?itemid=308" TargetMode="External"/><Relationship Id="rId95" Type="http://schemas.openxmlformats.org/officeDocument/2006/relationships/hyperlink" Target="https://www.railwaygazette.com/asia/busan-metro-line-1-extends/44436.article" TargetMode="External"/><Relationship Id="rId160" Type="http://schemas.openxmlformats.org/officeDocument/2006/relationships/hyperlink" Target="https://www.eib.org/en/projects/pipelines/all/20160937" TargetMode="External"/><Relationship Id="rId826" Type="http://schemas.openxmlformats.org/officeDocument/2006/relationships/hyperlink" Target="http://www.jshbgz.cn/hpgs/202102/t20210207_451424.html" TargetMode="External"/><Relationship Id="rId258" Type="http://schemas.openxmlformats.org/officeDocument/2006/relationships/hyperlink" Target="https://zh.wikipedia.org/wiki/%E4%B8%8A%E6%B5%B7%E8%BD%A8%E9%81%93%E4%BA%A4%E9%80%9A2%E5%8F%B7%E7%BA%BF" TargetMode="External"/><Relationship Id="rId465" Type="http://schemas.openxmlformats.org/officeDocument/2006/relationships/hyperlink" Target="https://www.ndrc.gov.cn/xxgk/zcfb/ghwb/201703/W020190905497919692262.pdf" TargetMode="External"/><Relationship Id="rId672" Type="http://schemas.openxmlformats.org/officeDocument/2006/relationships/hyperlink" Target="http://www.rail-transit.com/project/show.php?itemid=195" TargetMode="External"/><Relationship Id="rId22" Type="http://schemas.openxmlformats.org/officeDocument/2006/relationships/hyperlink" Target="https://europa.eu/investeu/projects/sofia-metro-line-3_en" TargetMode="External"/><Relationship Id="rId118" Type="http://schemas.openxmlformats.org/officeDocument/2006/relationships/hyperlink" Target="https://housing.com/news/delhi-metro-phase-iv-finally-approved-government/" TargetMode="External"/><Relationship Id="rId325" Type="http://schemas.openxmlformats.org/officeDocument/2006/relationships/hyperlink" Target="http://www.rail-transit.com/project/show.php?itemid=155" TargetMode="External"/><Relationship Id="rId532" Type="http://schemas.openxmlformats.org/officeDocument/2006/relationships/hyperlink" Target="https://zh.wikipedia.org/wiki/%E8%B4%B5%E9%98%B3%E8%BD%A8%E9%81%93%E4%BA%A4%E9%80%9A1%E5%8F%B7%E7%BA%BF" TargetMode="External"/><Relationship Id="rId171" Type="http://schemas.openxmlformats.org/officeDocument/2006/relationships/hyperlink" Target="https://dailytimes.com.pk/470024/punjab-drops-plan-to-connect-orange-line-train-with-metro-bus-railway-station/" TargetMode="External"/><Relationship Id="rId837" Type="http://schemas.openxmlformats.org/officeDocument/2006/relationships/hyperlink" Target="http://seetao.com/details/179710.html" TargetMode="External"/><Relationship Id="rId269" Type="http://schemas.openxmlformats.org/officeDocument/2006/relationships/hyperlink" Target="https://zh.wikipedia.org/wiki/%E4%B8%8A%E6%B5%B7%E8%BD%A8%E9%81%93%E4%BA%A4%E9%80%9A8%E5%8F%B7%E7%BA%BF" TargetMode="External"/><Relationship Id="rId476" Type="http://schemas.openxmlformats.org/officeDocument/2006/relationships/hyperlink" Target="https://zh.wikipedia.org/wiki/%E6%AD%A6%E6%B1%89%E8%BD%A8%E9%81%93%E4%BA%A4%E9%80%9A1%E5%8F%B7%E7%BA%BF" TargetMode="External"/><Relationship Id="rId683" Type="http://schemas.openxmlformats.org/officeDocument/2006/relationships/hyperlink" Target="http://engdaily.com/news/articleView.html?idxno=14873" TargetMode="External"/><Relationship Id="rId890" Type="http://schemas.openxmlformats.org/officeDocument/2006/relationships/hyperlink" Target="https://www.sueddeutsche.de/muenchen/s-bahn-muenchen-im-eiltempo-zum-tunnel-eine-bahn-fuer-die-olympischen-spiele-1.3444727" TargetMode="External"/><Relationship Id="rId33" Type="http://schemas.openxmlformats.org/officeDocument/2006/relationships/hyperlink" Target="https://zakupki.gov.ru/epz/order/notice/oku44/view/supplier-results.html?regNumber=0173200001418000217" TargetMode="External"/><Relationship Id="rId129" Type="http://schemas.openxmlformats.org/officeDocument/2006/relationships/hyperlink" Target="https://web.archive.org/web/20150328212257/https:/www.metromadrid.es/en/comunicacion/prensa/2015/March/noticia09.html" TargetMode="External"/><Relationship Id="rId336" Type="http://schemas.openxmlformats.org/officeDocument/2006/relationships/hyperlink" Target="http://www.rail-transit.com/project/show.php?itemid=175" TargetMode="External"/><Relationship Id="rId543" Type="http://schemas.openxmlformats.org/officeDocument/2006/relationships/hyperlink" Target="http://www.yatirimlar.com/haber-AYGM_Istanbul_Yeni_Havalimani___Halkali_Metro_Hatti_insaati_ile_Elektromekanik_Sistemlerinin_temin_montaj_ve_isletmeye_alma_isleri_ihalesi_icin_sozlesme_imzaladi-248098.htm" TargetMode="External"/><Relationship Id="rId182" Type="http://schemas.openxmlformats.org/officeDocument/2006/relationships/hyperlink" Target="https://saigoneer.com/saigon-news/12943-saigon-starts-seeking-investors-for-metro-line-5" TargetMode="External"/><Relationship Id="rId403" Type="http://schemas.openxmlformats.org/officeDocument/2006/relationships/hyperlink" Target="http://www.rail-transit.com/project/show.php?itemid=329" TargetMode="External"/><Relationship Id="rId750" Type="http://schemas.openxmlformats.org/officeDocument/2006/relationships/hyperlink" Target="http://www.rail-transit.com/shiping/show.php?itemid=869" TargetMode="External"/><Relationship Id="rId848" Type="http://schemas.openxmlformats.org/officeDocument/2006/relationships/hyperlink" Target="http://www.rail-transit.com/project/show.php?itemid=346" TargetMode="External"/><Relationship Id="rId487" Type="http://schemas.openxmlformats.org/officeDocument/2006/relationships/hyperlink" Target="https://zh.wikipedia.org/wiki/%E4%B8%8A%E6%B5%B7%E8%BD%A8%E9%81%93%E4%BA%A4%E9%80%9A%E6%B5%A6%E6%B1%9F%E7%BA%BF" TargetMode="External"/><Relationship Id="rId610" Type="http://schemas.openxmlformats.org/officeDocument/2006/relationships/hyperlink" Target="http://www.rail-transit.com/project/show.php?itemid=259" TargetMode="External"/><Relationship Id="rId694" Type="http://schemas.openxmlformats.org/officeDocument/2006/relationships/hyperlink" Target="https://m.moneys.mt.co.kr/article.html?no=2016012815008069876" TargetMode="External"/><Relationship Id="rId708" Type="http://schemas.openxmlformats.org/officeDocument/2006/relationships/hyperlink" Target="http://www.zjtz.gov.cn/art/2021/8/25/art_1229049733_59046724.html" TargetMode="External"/><Relationship Id="rId347" Type="http://schemas.openxmlformats.org/officeDocument/2006/relationships/hyperlink" Target="http://www.rail-transit.com/project/show.php?itemid=359" TargetMode="External"/><Relationship Id="rId44" Type="http://schemas.openxmlformats.org/officeDocument/2006/relationships/hyperlink" Target="http://nyatunnelbanan.sll.se/sites/tunnelbanan/files/Faktablad_Upphandling_%20engelsk.pdf" TargetMode="External"/><Relationship Id="rId554" Type="http://schemas.openxmlformats.org/officeDocument/2006/relationships/hyperlink" Target="https://www.hawaiibusiness.com/hart-history-hawaii-rail-project-when-finished-budget/" TargetMode="External"/><Relationship Id="rId761" Type="http://schemas.openxmlformats.org/officeDocument/2006/relationships/hyperlink" Target="http://www.rail-transit.com/shiping/show.php?itemid=958" TargetMode="External"/><Relationship Id="rId859" Type="http://schemas.openxmlformats.org/officeDocument/2006/relationships/hyperlink" Target="http://www.rail-transit.com/project/show.php?itemid=314" TargetMode="External"/><Relationship Id="rId193" Type="http://schemas.openxmlformats.org/officeDocument/2006/relationships/hyperlink" Target="https://resources.realestate.co.jp/living/faster-commute-and-lower-congestion-expected-as-sotetsu-main-line-and-jr-east-start-direct-rail-service-on-nov-30th/" TargetMode="External"/><Relationship Id="rId207" Type="http://schemas.openxmlformats.org/officeDocument/2006/relationships/hyperlink" Target="https://www.indiatoday.in/india/story/hyderabad-metro-project-delay-by-l-and-t-pushes-up-cost-by-over-30-per-cent-1094750-2017-11-26" TargetMode="External"/><Relationship Id="rId414" Type="http://schemas.openxmlformats.org/officeDocument/2006/relationships/hyperlink" Target="https://www.ndrc.gov.cn/fzggw/jgsj/zcs/sjdt/201212/t20121224_1145294.html" TargetMode="External"/><Relationship Id="rId498" Type="http://schemas.openxmlformats.org/officeDocument/2006/relationships/hyperlink" Target="http://www.rail-transit.com/project/show.php?itemid=419" TargetMode="External"/><Relationship Id="rId621" Type="http://schemas.openxmlformats.org/officeDocument/2006/relationships/hyperlink" Target="https://www.audit.gov.cn/n4/n19/c45720/content.html" TargetMode="External"/><Relationship Id="rId260" Type="http://schemas.openxmlformats.org/officeDocument/2006/relationships/hyperlink" Target="https://zh.wikipedia.org/wiki/%E4%B8%8A%E6%B5%B7%E8%BD%A8%E9%81%93%E4%BA%A4%E9%80%9A2%E5%8F%B7%E7%BA%BF" TargetMode="External"/><Relationship Id="rId719" Type="http://schemas.openxmlformats.org/officeDocument/2006/relationships/hyperlink" Target="http://www.rail-transit.com/project/show.php?itemid=143" TargetMode="External"/><Relationship Id="rId55" Type="http://schemas.openxmlformats.org/officeDocument/2006/relationships/hyperlink" Target="https://www.milanolife.it/la-quinta-linea-il-passante-ferroviario-di-milano/" TargetMode="External"/><Relationship Id="rId120" Type="http://schemas.openxmlformats.org/officeDocument/2006/relationships/hyperlink" Target="https://www.railjournal.com/passenger/metros/tehran-opens-metro-line-3-extension/" TargetMode="External"/><Relationship Id="rId358" Type="http://schemas.openxmlformats.org/officeDocument/2006/relationships/hyperlink" Target="https://www.ndrc.gov.cn/fggz/zcssfz/zcgh/201904/W020190910670741123314.pdf" TargetMode="External"/><Relationship Id="rId565" Type="http://schemas.openxmlformats.org/officeDocument/2006/relationships/hyperlink" Target="http://www.cgedd.developpement-durable.gouv.fr/IMG/pdf/RER_D_ChateletGareLyon_cle776cb1-1.pdf" TargetMode="External"/><Relationship Id="rId772" Type="http://schemas.openxmlformats.org/officeDocument/2006/relationships/hyperlink" Target="https://www.ndrc.gov.cn/fggz/zcssfz/zdgc/201209/t20120905_1145857.html" TargetMode="External"/><Relationship Id="rId218" Type="http://schemas.openxmlformats.org/officeDocument/2006/relationships/hyperlink" Target="https://www.taiwannews.com.tw/en/news/3861624" TargetMode="External"/><Relationship Id="rId425" Type="http://schemas.openxmlformats.org/officeDocument/2006/relationships/hyperlink" Target="http://www.gov.cn/xinwen/2019-01/06/5355294/files/c3d503decf1d4b6b924324b210ee0f1a.pdf" TargetMode="External"/><Relationship Id="rId632" Type="http://schemas.openxmlformats.org/officeDocument/2006/relationships/hyperlink" Target="http://www.rail-transit.com/project/show.php?itemid=163," TargetMode="External"/><Relationship Id="rId271" Type="http://schemas.openxmlformats.org/officeDocument/2006/relationships/hyperlink" Target="https://zh.wikipedia.org/wiki/%E4%B8%8A%E6%B5%B7%E8%BD%A8%E9%81%93%E4%BA%A4%E9%80%9A9%E5%8F%B7%E7%BA%BF" TargetMode="External"/><Relationship Id="rId66" Type="http://schemas.openxmlformats.org/officeDocument/2006/relationships/hyperlink" Target="https://www.das-parlament.de/2019/31_32/kehrseite/652908-652908" TargetMode="External"/><Relationship Id="rId131" Type="http://schemas.openxmlformats.org/officeDocument/2006/relationships/hyperlink" Target="https://elpais.com/elpais/2008/07/09/actualidad/1215591420_850215.html" TargetMode="External"/><Relationship Id="rId369" Type="http://schemas.openxmlformats.org/officeDocument/2006/relationships/hyperlink" Target="http://www.rail-transit.com/project/show.php?itemid=188" TargetMode="External"/><Relationship Id="rId576" Type="http://schemas.openxmlformats.org/officeDocument/2006/relationships/hyperlink" Target="http://silos.infrastrutturestrategiche.it/admin/scheda.aspx?id=1723" TargetMode="External"/><Relationship Id="rId783" Type="http://schemas.openxmlformats.org/officeDocument/2006/relationships/hyperlink" Target="http://www.gz.gov.cn/zwgk/zdxm/2012n/content/post_2847743.html" TargetMode="External"/><Relationship Id="rId229" Type="http://schemas.openxmlformats.org/officeDocument/2006/relationships/hyperlink" Target="https://tn.com.ar/economia/el-gobierno-relanzo-el-rer-el-proyecto-para-conectar-los-trenes-del-area-metropolitana_856411" TargetMode="External"/><Relationship Id="rId436" Type="http://schemas.openxmlformats.org/officeDocument/2006/relationships/hyperlink" Target="http://www.janeoo.com/news/hangyedongtai-detail-539834.htm" TargetMode="External"/><Relationship Id="rId643" Type="http://schemas.openxmlformats.org/officeDocument/2006/relationships/hyperlink" Target="http://rail-transit.com/project/show.php?itemid=228" TargetMode="External"/><Relationship Id="rId850" Type="http://schemas.openxmlformats.org/officeDocument/2006/relationships/hyperlink" Target="http://www.rail-transit.com/project/show.php?itemid=293" TargetMode="External"/><Relationship Id="rId77" Type="http://schemas.openxmlformats.org/officeDocument/2006/relationships/hyperlink" Target="https://www.railwayage.com/news/eglinton-crosstown-behind-schedule/" TargetMode="External"/><Relationship Id="rId282" Type="http://schemas.openxmlformats.org/officeDocument/2006/relationships/hyperlink" Target="http://www.rail-transit.com/project/show.php?itemid=328" TargetMode="External"/><Relationship Id="rId503" Type="http://schemas.openxmlformats.org/officeDocument/2006/relationships/hyperlink" Target="https://finance.sina.com.cn/jjxw/2022-08-26/doc-imizmscv7763110.shtml?finpagefr=p_115" TargetMode="External"/><Relationship Id="rId587" Type="http://schemas.openxmlformats.org/officeDocument/2006/relationships/hyperlink" Target="https://edmontonjournal.com/news/local-news/long-delayed-1-8-billion-valley-line-lrt-stymied-yet-again" TargetMode="External"/><Relationship Id="rId710" Type="http://schemas.openxmlformats.org/officeDocument/2006/relationships/hyperlink" Target="http://www.rail-transit.com/project/show.php?itemid=251" TargetMode="External"/><Relationship Id="rId808" Type="http://schemas.openxmlformats.org/officeDocument/2006/relationships/hyperlink" Target="http://www.rail-transit.com/project/show.php?itemid=713" TargetMode="External"/><Relationship Id="rId8" Type="http://schemas.openxmlformats.org/officeDocument/2006/relationships/hyperlink" Target="https://montrealgazette.com/news/local-news/montreal-metro-green-light-for-blue-line-extension" TargetMode="External"/><Relationship Id="rId142" Type="http://schemas.openxmlformats.org/officeDocument/2006/relationships/hyperlink" Target="http://www.prolongement-m4.fr/sites/default/files/documents/m4-bagneux-dossierpresse_180316_bd.pdf" TargetMode="External"/><Relationship Id="rId447" Type="http://schemas.openxmlformats.org/officeDocument/2006/relationships/hyperlink" Target="http://zfxxgk.ndrc.gov.cn/web/iteminfo.jsp?id=362" TargetMode="External"/><Relationship Id="rId794" Type="http://schemas.openxmlformats.org/officeDocument/2006/relationships/hyperlink" Target="http://www.rail-transit.com/project/show.php?itemid=89" TargetMode="External"/><Relationship Id="rId654" Type="http://schemas.openxmlformats.org/officeDocument/2006/relationships/hyperlink" Target="http://www.sasac.gov.cn/n2588025/n2588124/c8918136/content.html" TargetMode="External"/><Relationship Id="rId861" Type="http://schemas.openxmlformats.org/officeDocument/2006/relationships/hyperlink" Target="https://www.ndrc.gov.cn/xxgk/zcfb/ghwb/201602/t20160218_962174.html" TargetMode="External"/><Relationship Id="rId293" Type="http://schemas.openxmlformats.org/officeDocument/2006/relationships/hyperlink" Target="http://fgw.sz.gov.cn/gkmlpt/content/8/8275/post_8275981.html" TargetMode="External"/><Relationship Id="rId307" Type="http://schemas.openxmlformats.org/officeDocument/2006/relationships/hyperlink" Target="http://www.rail-transit.com/project/show.php?itemid=360" TargetMode="External"/><Relationship Id="rId514" Type="http://schemas.openxmlformats.org/officeDocument/2006/relationships/hyperlink" Target="http://www.tradearabia.com/news/stn_178416.html" TargetMode="External"/><Relationship Id="rId721" Type="http://schemas.openxmlformats.org/officeDocument/2006/relationships/hyperlink" Target="https://www.163.com/dy/article/GDQSS29P0530L2T3.html" TargetMode="External"/><Relationship Id="rId88" Type="http://schemas.openxmlformats.org/officeDocument/2006/relationships/hyperlink" Target="https://mmrda.maharashtra.gov.in/documents/10180/9283015/Metro+Line+10/076595c3-c882-424c-b49d-f22399e9a096" TargetMode="External"/><Relationship Id="rId153" Type="http://schemas.openxmlformats.org/officeDocument/2006/relationships/hyperlink" Target="https://www.nahverkehrhamburg.de/u4-verlaengerung-in-horner-geest-soll-465-millionen-euro-kosten-9328/" TargetMode="External"/><Relationship Id="rId360" Type="http://schemas.openxmlformats.org/officeDocument/2006/relationships/hyperlink" Target="http://www.rail-transit.com/project/show.php?itemid=365" TargetMode="External"/><Relationship Id="rId598" Type="http://schemas.openxmlformats.org/officeDocument/2006/relationships/hyperlink" Target="https://web.archive.org/web/20160509075613/http:/www.harbin-metro.com/system/20160418/000002978.html" TargetMode="External"/><Relationship Id="rId819" Type="http://schemas.openxmlformats.org/officeDocument/2006/relationships/hyperlink" Target="http://www.xhby.net/nj/yw/202107/t20210707_7149440.shtml" TargetMode="External"/><Relationship Id="rId220" Type="http://schemas.openxmlformats.org/officeDocument/2006/relationships/hyperlink" Target="https://dorts.tycg.gov.tw/en/business/mrt-green-line" TargetMode="External"/><Relationship Id="rId458" Type="http://schemas.openxmlformats.org/officeDocument/2006/relationships/hyperlink" Target="http://politics.people.com.cn/n/2013/0223/c70731-20575832.html" TargetMode="External"/><Relationship Id="rId665" Type="http://schemas.openxmlformats.org/officeDocument/2006/relationships/hyperlink" Target="http://www.rail-transit.com/project/show.php?itemid=726" TargetMode="External"/><Relationship Id="rId872" Type="http://schemas.openxmlformats.org/officeDocument/2006/relationships/hyperlink" Target="http://www.rail-transit.com/project/show.php?itemid=622" TargetMode="External"/><Relationship Id="rId15" Type="http://schemas.openxmlformats.org/officeDocument/2006/relationships/hyperlink" Target="https://www.ctps.org/data/pdf/plans/TIP/FFYs-2020-2024-Final-TIP-20190730.pdf" TargetMode="External"/><Relationship Id="rId318" Type="http://schemas.openxmlformats.org/officeDocument/2006/relationships/hyperlink" Target="http://www.rail-transit.com/project/show.php?itemid=92" TargetMode="External"/><Relationship Id="rId525" Type="http://schemas.openxmlformats.org/officeDocument/2006/relationships/hyperlink" Target="http://fgw.sz.gov.cn/zwgk/qt/tzgg/201902/P020190226346098115982.pdf" TargetMode="External"/><Relationship Id="rId732" Type="http://schemas.openxmlformats.org/officeDocument/2006/relationships/hyperlink" Target="http://www.hncsmtr.com/jsdt/gcgk/2033/14944654790008899_1.html" TargetMode="External"/><Relationship Id="rId99" Type="http://schemas.openxmlformats.org/officeDocument/2006/relationships/hyperlink" Target="https://www.straitstimes.com/singapore/transport/last-stage-of-circle-line-to-cost-a-lot-more-than-first-5-stages" TargetMode="External"/><Relationship Id="rId164" Type="http://schemas.openxmlformats.org/officeDocument/2006/relationships/hyperlink" Target="https://www.thedailystar.net/news/bangladesh/transport/news/metro-now-set-cost-50pc-more-3072816" TargetMode="External"/><Relationship Id="rId371" Type="http://schemas.openxmlformats.org/officeDocument/2006/relationships/hyperlink" Target="https://www.ndrc.gov.cn/xxgk/zcfb/ghwb/201908/W020190905497973740066.pdf" TargetMode="External"/><Relationship Id="rId469" Type="http://schemas.openxmlformats.org/officeDocument/2006/relationships/hyperlink" Target="https://www.ndrc.gov.cn/xxgk/zcfb/ghwb/201703/W020190905497919692262.pdf" TargetMode="External"/><Relationship Id="rId676" Type="http://schemas.openxmlformats.org/officeDocument/2006/relationships/hyperlink" Target="http://www.rail-transit.com/project/show.php?itemid=391" TargetMode="External"/><Relationship Id="rId883" Type="http://schemas.openxmlformats.org/officeDocument/2006/relationships/hyperlink" Target="https://bc.ctvnews.ca/federal-government-providing-up-to-1-3-billion-for-surrey-langley-skytrain-extension-1.550294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8F8CE-E53B-DB44-AB09-BC2098A4BE55}">
  <dimension ref="A1:AQ1922"/>
  <sheetViews>
    <sheetView tabSelected="1" workbookViewId="0">
      <selection activeCell="E8" sqref="E8"/>
    </sheetView>
  </sheetViews>
  <sheetFormatPr baseColWidth="10" defaultColWidth="12" defaultRowHeight="16" x14ac:dyDescent="0.2"/>
  <cols>
    <col min="1" max="1" width="4.1640625" customWidth="1"/>
    <col min="2" max="2" width="5.1640625" customWidth="1"/>
    <col min="3" max="3" width="11" customWidth="1"/>
    <col min="4" max="4" width="9" customWidth="1"/>
    <col min="5" max="5" width="30.6640625" customWidth="1"/>
    <col min="6" max="6" width="7" customWidth="1"/>
    <col min="7" max="7" width="5.6640625" customWidth="1"/>
    <col min="8" max="8" width="3.33203125" customWidth="1"/>
    <col min="9" max="9" width="9" customWidth="1"/>
    <col min="10" max="10" width="7.33203125" customWidth="1"/>
    <col min="11" max="11" width="10.33203125" customWidth="1"/>
    <col min="12" max="12" width="6.6640625" customWidth="1"/>
    <col min="13" max="14" width="5.5" customWidth="1"/>
    <col min="15" max="15" width="5.1640625" customWidth="1"/>
    <col min="16" max="16" width="6.6640625" customWidth="1"/>
    <col min="17" max="17" width="7.6640625" customWidth="1"/>
    <col min="18" max="18" width="5.83203125" customWidth="1"/>
    <col min="19" max="19" width="4.1640625" customWidth="1"/>
    <col min="20" max="20" width="6.5" customWidth="1"/>
    <col min="21" max="21" width="8.1640625" customWidth="1"/>
    <col min="22" max="22" width="7.6640625" customWidth="1"/>
    <col min="23" max="25" width="6" customWidth="1"/>
    <col min="26" max="26" width="5.6640625" customWidth="1"/>
    <col min="27" max="27" width="10.6640625" customWidth="1"/>
    <col min="28" max="28" width="16" customWidth="1"/>
    <col min="29" max="29" width="16.1640625" customWidth="1"/>
    <col min="30" max="30" width="6.33203125" customWidth="1"/>
    <col min="31" max="31" width="37.6640625" customWidth="1"/>
  </cols>
  <sheetData>
    <row r="1" spans="1:43" ht="15.7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1" t="s">
        <v>17</v>
      </c>
      <c r="S1" s="1" t="s">
        <v>18</v>
      </c>
      <c r="T1" s="1" t="s">
        <v>19</v>
      </c>
      <c r="U1" s="1" t="s">
        <v>20</v>
      </c>
      <c r="V1" s="3" t="s">
        <v>21</v>
      </c>
      <c r="W1" s="1" t="s">
        <v>22</v>
      </c>
      <c r="X1" s="1" t="s">
        <v>23</v>
      </c>
      <c r="Y1" s="1" t="s">
        <v>24</v>
      </c>
      <c r="Z1" s="1" t="s">
        <v>25</v>
      </c>
      <c r="AA1" s="1" t="s">
        <v>26</v>
      </c>
      <c r="AB1" s="1" t="s">
        <v>27</v>
      </c>
      <c r="AC1" s="1" t="s">
        <v>28</v>
      </c>
      <c r="AD1" s="1" t="s">
        <v>29</v>
      </c>
      <c r="AE1" s="1" t="s">
        <v>30</v>
      </c>
      <c r="AF1" s="4"/>
      <c r="AG1" s="5"/>
      <c r="AH1" s="5"/>
      <c r="AI1" s="5"/>
      <c r="AJ1" s="6"/>
      <c r="AK1" s="6"/>
      <c r="AL1" s="6"/>
      <c r="AM1" s="6"/>
      <c r="AN1" s="6"/>
      <c r="AO1" s="6"/>
      <c r="AP1" s="6"/>
      <c r="AQ1" s="6"/>
    </row>
    <row r="2" spans="1:43" ht="15.75" customHeight="1" x14ac:dyDescent="0.2">
      <c r="A2" s="7">
        <v>9501</v>
      </c>
      <c r="B2" s="8" t="s">
        <v>31</v>
      </c>
      <c r="C2" s="8" t="s">
        <v>32</v>
      </c>
      <c r="D2" s="9" t="s">
        <v>33</v>
      </c>
      <c r="E2" s="8" t="s">
        <v>34</v>
      </c>
      <c r="F2" s="10">
        <v>2015</v>
      </c>
      <c r="G2" s="10">
        <v>2022</v>
      </c>
      <c r="H2" s="10">
        <v>0</v>
      </c>
      <c r="I2" s="10">
        <v>7.5</v>
      </c>
      <c r="J2" s="11">
        <v>1</v>
      </c>
      <c r="K2" s="10">
        <v>7.5</v>
      </c>
      <c r="L2" s="10">
        <v>0</v>
      </c>
      <c r="M2" s="10">
        <v>0</v>
      </c>
      <c r="N2" s="10">
        <v>4</v>
      </c>
      <c r="O2" s="8">
        <v>180</v>
      </c>
      <c r="P2" s="8" t="s">
        <v>35</v>
      </c>
      <c r="Q2" s="12">
        <v>170</v>
      </c>
      <c r="R2" s="8" t="s">
        <v>36</v>
      </c>
      <c r="S2" s="10">
        <v>2018</v>
      </c>
      <c r="T2" s="10">
        <v>3</v>
      </c>
      <c r="U2" s="13">
        <f t="shared" ref="U2:U253" si="0">Q2*T2</f>
        <v>510</v>
      </c>
      <c r="V2" s="14">
        <f t="shared" ref="V2:V253" si="1">U2/I2</f>
        <v>68</v>
      </c>
      <c r="W2" s="15">
        <f t="shared" ref="W2:W256" si="2">IF(OR(B2 = "BG",B2 = "GR",B2 = "IT",B2 = "ES",B2 = "PT",B2 = "TR", B2 = "KR",B2 = "SE",B2 = "CH",B2 = "NO",B2 = "DK",B2 = "FI"), 1, 0)</f>
        <v>1</v>
      </c>
      <c r="X2" s="15">
        <f t="shared" ref="X2:X256" si="3">W2*I2</f>
        <v>7.5</v>
      </c>
      <c r="Y2" s="15">
        <f t="shared" ref="Y2:Y256" si="4">W2*K2</f>
        <v>7.5</v>
      </c>
      <c r="Z2" s="13">
        <f t="shared" ref="Z2:Z256" si="5">IF(OR(B2 = "US",B2 = "CA",B2 = "UK",B2 = "NZ",B2 = "AU",B2 = "SG"), 1, 0)</f>
        <v>0</v>
      </c>
      <c r="AA2" s="16">
        <f>VLOOKUP(S2,[1]CPI!$A$2:$D$67,4,0)</f>
        <v>1.0791017375063221</v>
      </c>
      <c r="AB2" s="17">
        <f t="shared" ref="AB2:AB253" si="6">U2*AA2</f>
        <v>550.34188612822425</v>
      </c>
      <c r="AC2" s="17">
        <f t="shared" ref="AC2:AC253" si="7">V2*AA2</f>
        <v>73.378918150429897</v>
      </c>
      <c r="AD2" s="16" t="s">
        <v>35</v>
      </c>
      <c r="AE2" s="18" t="s">
        <v>37</v>
      </c>
      <c r="AF2" s="19"/>
      <c r="AG2" s="19"/>
      <c r="AH2" s="19"/>
      <c r="AI2" s="19"/>
      <c r="AJ2" s="20"/>
      <c r="AK2" s="20"/>
      <c r="AL2" s="20"/>
      <c r="AM2" s="20"/>
      <c r="AN2" s="20"/>
      <c r="AO2" s="20"/>
      <c r="AP2" s="20"/>
      <c r="AQ2" s="20"/>
    </row>
    <row r="3" spans="1:43" ht="15.75" customHeight="1" x14ac:dyDescent="0.2">
      <c r="A3" s="21">
        <v>7136</v>
      </c>
      <c r="B3" s="16" t="s">
        <v>38</v>
      </c>
      <c r="C3" s="16" t="s">
        <v>39</v>
      </c>
      <c r="D3" s="22" t="s">
        <v>40</v>
      </c>
      <c r="E3" s="16" t="s">
        <v>41</v>
      </c>
      <c r="F3" s="13">
        <v>2020</v>
      </c>
      <c r="G3" s="13">
        <v>2025</v>
      </c>
      <c r="H3" s="13">
        <v>0</v>
      </c>
      <c r="I3" s="13">
        <v>5.7</v>
      </c>
      <c r="J3" s="23">
        <f>5/5.7</f>
        <v>0.8771929824561403</v>
      </c>
      <c r="K3" s="13">
        <v>5</v>
      </c>
      <c r="L3" s="13">
        <v>0.29499999999999998</v>
      </c>
      <c r="M3" s="13">
        <v>0.44600000000000001</v>
      </c>
      <c r="N3" s="13">
        <v>6</v>
      </c>
      <c r="O3" s="16"/>
      <c r="P3" s="16" t="s">
        <v>35</v>
      </c>
      <c r="Q3" s="24">
        <v>2830</v>
      </c>
      <c r="R3" s="16" t="s">
        <v>42</v>
      </c>
      <c r="S3" s="13">
        <v>2018</v>
      </c>
      <c r="T3" s="13">
        <v>0.84</v>
      </c>
      <c r="U3" s="13">
        <f t="shared" si="0"/>
        <v>2377.1999999999998</v>
      </c>
      <c r="V3" s="25">
        <f t="shared" si="1"/>
        <v>417.05263157894734</v>
      </c>
      <c r="W3" s="15">
        <f t="shared" si="2"/>
        <v>0</v>
      </c>
      <c r="X3" s="15">
        <f t="shared" si="3"/>
        <v>0</v>
      </c>
      <c r="Y3" s="15">
        <f t="shared" si="4"/>
        <v>0</v>
      </c>
      <c r="Z3" s="13">
        <f t="shared" si="5"/>
        <v>1</v>
      </c>
      <c r="AA3" s="16">
        <f>VLOOKUP(S3,[1]CPI!$A$2:$D$67,4,0)</f>
        <v>1.0791017375063221</v>
      </c>
      <c r="AB3" s="17">
        <f t="shared" si="6"/>
        <v>2565.2406504000287</v>
      </c>
      <c r="AC3" s="17">
        <f t="shared" si="7"/>
        <v>450.04221936842612</v>
      </c>
      <c r="AD3" s="16" t="s">
        <v>43</v>
      </c>
      <c r="AE3" s="26" t="s">
        <v>44</v>
      </c>
      <c r="AF3" s="27"/>
      <c r="AG3" s="27"/>
      <c r="AH3" s="27"/>
      <c r="AI3" s="27"/>
      <c r="AJ3" s="28"/>
      <c r="AK3" s="28"/>
      <c r="AL3" s="28"/>
      <c r="AM3" s="28"/>
      <c r="AN3" s="28"/>
      <c r="AO3" s="28"/>
      <c r="AP3" s="28"/>
      <c r="AQ3" s="28"/>
    </row>
    <row r="4" spans="1:43" ht="15.75" customHeight="1" x14ac:dyDescent="0.2">
      <c r="A4" s="21">
        <v>7137</v>
      </c>
      <c r="B4" s="16" t="s">
        <v>38</v>
      </c>
      <c r="C4" s="16" t="s">
        <v>45</v>
      </c>
      <c r="D4" s="22" t="s">
        <v>46</v>
      </c>
      <c r="E4" s="16" t="s">
        <v>47</v>
      </c>
      <c r="F4" s="13">
        <v>2009</v>
      </c>
      <c r="G4" s="13">
        <v>2017</v>
      </c>
      <c r="H4" s="13">
        <v>0</v>
      </c>
      <c r="I4" s="13">
        <v>8.6</v>
      </c>
      <c r="J4" s="23">
        <v>1</v>
      </c>
      <c r="K4" s="13">
        <v>8.6</v>
      </c>
      <c r="L4" s="13">
        <v>0</v>
      </c>
      <c r="M4" s="13">
        <v>0</v>
      </c>
      <c r="N4" s="13">
        <v>6</v>
      </c>
      <c r="O4" s="16"/>
      <c r="P4" s="16" t="s">
        <v>43</v>
      </c>
      <c r="Q4" s="24">
        <v>3200</v>
      </c>
      <c r="R4" s="16" t="s">
        <v>42</v>
      </c>
      <c r="S4" s="13">
        <v>2013</v>
      </c>
      <c r="T4" s="13">
        <v>0.81</v>
      </c>
      <c r="U4" s="13">
        <f t="shared" si="0"/>
        <v>2592</v>
      </c>
      <c r="V4" s="25">
        <f t="shared" si="1"/>
        <v>301.39534883720933</v>
      </c>
      <c r="W4" s="15">
        <f t="shared" si="2"/>
        <v>0</v>
      </c>
      <c r="X4" s="15">
        <f t="shared" si="3"/>
        <v>0</v>
      </c>
      <c r="Y4" s="15">
        <f t="shared" si="4"/>
        <v>0</v>
      </c>
      <c r="Z4" s="13">
        <f t="shared" si="5"/>
        <v>1</v>
      </c>
      <c r="AA4" s="16">
        <f>VLOOKUP(S4,[1]CPI!$A$2:$D$67,4,0)</f>
        <v>1.16317603677932</v>
      </c>
      <c r="AB4" s="17">
        <f t="shared" si="6"/>
        <v>3014.9522873319975</v>
      </c>
      <c r="AC4" s="17">
        <f t="shared" si="7"/>
        <v>350.57584736418579</v>
      </c>
      <c r="AD4" s="16" t="s">
        <v>43</v>
      </c>
      <c r="AE4" s="26" t="s">
        <v>48</v>
      </c>
      <c r="AF4" s="27"/>
      <c r="AG4" s="27"/>
      <c r="AH4" s="27"/>
      <c r="AI4" s="27"/>
      <c r="AJ4" s="28"/>
      <c r="AK4" s="28"/>
      <c r="AL4" s="28"/>
      <c r="AM4" s="28"/>
      <c r="AN4" s="28"/>
      <c r="AO4" s="28"/>
      <c r="AP4" s="28"/>
      <c r="AQ4" s="28"/>
    </row>
    <row r="5" spans="1:43" ht="15.75" customHeight="1" x14ac:dyDescent="0.2">
      <c r="A5" s="21">
        <v>7138</v>
      </c>
      <c r="B5" s="16" t="s">
        <v>38</v>
      </c>
      <c r="C5" s="16" t="s">
        <v>45</v>
      </c>
      <c r="D5" s="22"/>
      <c r="E5" s="16" t="s">
        <v>49</v>
      </c>
      <c r="F5" s="13">
        <v>2020</v>
      </c>
      <c r="G5" s="13">
        <v>2030</v>
      </c>
      <c r="H5" s="13">
        <v>0</v>
      </c>
      <c r="I5" s="13">
        <v>7.8</v>
      </c>
      <c r="J5" s="23">
        <v>1</v>
      </c>
      <c r="K5" s="13">
        <v>7.8</v>
      </c>
      <c r="L5" s="13">
        <v>0</v>
      </c>
      <c r="M5" s="13">
        <v>0</v>
      </c>
      <c r="N5" s="13">
        <v>3</v>
      </c>
      <c r="O5" s="16"/>
      <c r="P5" s="16" t="s">
        <v>50</v>
      </c>
      <c r="Q5" s="24">
        <v>5500</v>
      </c>
      <c r="R5" s="16" t="s">
        <v>42</v>
      </c>
      <c r="S5" s="13">
        <v>2018</v>
      </c>
      <c r="T5" s="13">
        <v>0.84</v>
      </c>
      <c r="U5" s="13">
        <f t="shared" si="0"/>
        <v>4620</v>
      </c>
      <c r="V5" s="25">
        <f t="shared" si="1"/>
        <v>592.30769230769238</v>
      </c>
      <c r="W5" s="15">
        <f t="shared" si="2"/>
        <v>0</v>
      </c>
      <c r="X5" s="15">
        <f t="shared" si="3"/>
        <v>0</v>
      </c>
      <c r="Y5" s="15">
        <f t="shared" si="4"/>
        <v>0</v>
      </c>
      <c r="Z5" s="13">
        <f t="shared" si="5"/>
        <v>1</v>
      </c>
      <c r="AA5" s="16">
        <f>VLOOKUP(S5,[1]CPI!$A$2:$D$67,4,0)</f>
        <v>1.0791017375063221</v>
      </c>
      <c r="AB5" s="17">
        <f t="shared" si="6"/>
        <v>4985.4500272792084</v>
      </c>
      <c r="AC5" s="17">
        <f t="shared" si="7"/>
        <v>639.1602599075909</v>
      </c>
      <c r="AD5" s="16" t="s">
        <v>43</v>
      </c>
      <c r="AE5" s="29" t="s">
        <v>51</v>
      </c>
      <c r="AF5" s="27"/>
      <c r="AG5" s="27"/>
      <c r="AH5" s="27"/>
      <c r="AI5" s="27"/>
      <c r="AJ5" s="28"/>
      <c r="AK5" s="28"/>
      <c r="AL5" s="28"/>
      <c r="AM5" s="28"/>
      <c r="AN5" s="28"/>
      <c r="AO5" s="28"/>
      <c r="AP5" s="28"/>
      <c r="AQ5" s="28"/>
    </row>
    <row r="6" spans="1:43" ht="15.75" customHeight="1" x14ac:dyDescent="0.2">
      <c r="A6" s="21">
        <v>7139</v>
      </c>
      <c r="B6" s="16" t="s">
        <v>38</v>
      </c>
      <c r="C6" s="16" t="s">
        <v>45</v>
      </c>
      <c r="D6" s="22"/>
      <c r="E6" s="16" t="s">
        <v>52</v>
      </c>
      <c r="F6" s="13">
        <v>2020</v>
      </c>
      <c r="G6" s="13">
        <v>2030</v>
      </c>
      <c r="H6" s="13">
        <v>0</v>
      </c>
      <c r="I6" s="13">
        <v>15.5</v>
      </c>
      <c r="J6" s="23">
        <v>0.56999999999999995</v>
      </c>
      <c r="K6" s="13">
        <v>8.8000000000000007</v>
      </c>
      <c r="L6" s="13">
        <v>5.76</v>
      </c>
      <c r="M6" s="13">
        <v>1.06</v>
      </c>
      <c r="N6" s="13">
        <v>15</v>
      </c>
      <c r="O6" s="16"/>
      <c r="P6" s="16" t="s">
        <v>35</v>
      </c>
      <c r="Q6" s="24">
        <v>8573</v>
      </c>
      <c r="R6" s="16" t="s">
        <v>42</v>
      </c>
      <c r="S6" s="13">
        <v>2019</v>
      </c>
      <c r="T6" s="13">
        <v>0.84</v>
      </c>
      <c r="U6" s="13">
        <f t="shared" si="0"/>
        <v>7201.32</v>
      </c>
      <c r="V6" s="25">
        <f t="shared" si="1"/>
        <v>464.60129032258061</v>
      </c>
      <c r="W6" s="15">
        <f t="shared" si="2"/>
        <v>0</v>
      </c>
      <c r="X6" s="15">
        <f t="shared" si="3"/>
        <v>0</v>
      </c>
      <c r="Y6" s="15">
        <f t="shared" si="4"/>
        <v>0</v>
      </c>
      <c r="Z6" s="13">
        <f t="shared" si="5"/>
        <v>1</v>
      </c>
      <c r="AA6" s="16">
        <f>VLOOKUP(S6,[1]CPI!$A$2:$D$67,4,0)</f>
        <v>1.0598966584134211</v>
      </c>
      <c r="AB6" s="17">
        <f t="shared" si="6"/>
        <v>7632.6550041657374</v>
      </c>
      <c r="AC6" s="17">
        <f t="shared" si="7"/>
        <v>492.4293551074669</v>
      </c>
      <c r="AD6" s="16" t="s">
        <v>35</v>
      </c>
      <c r="AE6" s="26" t="s">
        <v>53</v>
      </c>
      <c r="AF6" s="27"/>
      <c r="AG6" s="27"/>
      <c r="AH6" s="27"/>
      <c r="AI6" s="27"/>
      <c r="AJ6" s="28"/>
      <c r="AK6" s="28"/>
      <c r="AL6" s="28"/>
      <c r="AM6" s="28"/>
      <c r="AN6" s="28"/>
      <c r="AO6" s="28"/>
      <c r="AP6" s="28"/>
      <c r="AQ6" s="28"/>
    </row>
    <row r="7" spans="1:43" ht="15.75" customHeight="1" x14ac:dyDescent="0.2">
      <c r="A7" s="21">
        <v>7144</v>
      </c>
      <c r="B7" s="16" t="s">
        <v>38</v>
      </c>
      <c r="C7" s="16" t="s">
        <v>45</v>
      </c>
      <c r="D7" s="22" t="s">
        <v>46</v>
      </c>
      <c r="E7" s="16" t="s">
        <v>54</v>
      </c>
      <c r="F7" s="13">
        <v>2020</v>
      </c>
      <c r="G7" s="13">
        <v>2030</v>
      </c>
      <c r="H7" s="13">
        <v>0</v>
      </c>
      <c r="I7" s="13">
        <v>7.4</v>
      </c>
      <c r="J7" s="23">
        <v>1</v>
      </c>
      <c r="K7" s="13">
        <v>7.4</v>
      </c>
      <c r="L7" s="13">
        <v>0</v>
      </c>
      <c r="M7" s="13">
        <v>0</v>
      </c>
      <c r="N7" s="13">
        <v>6</v>
      </c>
      <c r="O7" s="16"/>
      <c r="P7" s="16" t="s">
        <v>35</v>
      </c>
      <c r="Q7" s="24">
        <v>5600</v>
      </c>
      <c r="R7" s="16" t="s">
        <v>42</v>
      </c>
      <c r="S7" s="13">
        <v>2020</v>
      </c>
      <c r="T7" s="13">
        <v>0.84</v>
      </c>
      <c r="U7" s="13">
        <f t="shared" si="0"/>
        <v>4704</v>
      </c>
      <c r="V7" s="25">
        <f t="shared" si="1"/>
        <v>635.67567567567562</v>
      </c>
      <c r="W7" s="15">
        <f t="shared" si="2"/>
        <v>0</v>
      </c>
      <c r="X7" s="15">
        <f t="shared" si="3"/>
        <v>0</v>
      </c>
      <c r="Y7" s="15">
        <f t="shared" si="4"/>
        <v>0</v>
      </c>
      <c r="Z7" s="13">
        <f t="shared" si="5"/>
        <v>1</v>
      </c>
      <c r="AA7" s="16">
        <f>VLOOKUP(S7,[1]CPI!$A$2:$D$67,4,0)</f>
        <v>1.0469802288156225</v>
      </c>
      <c r="AB7" s="17">
        <f t="shared" si="6"/>
        <v>4924.9949963486879</v>
      </c>
      <c r="AC7" s="17">
        <f t="shared" si="7"/>
        <v>665.53986437144431</v>
      </c>
      <c r="AD7" s="16" t="s">
        <v>43</v>
      </c>
      <c r="AE7" s="29" t="s">
        <v>55</v>
      </c>
      <c r="AF7" s="27"/>
      <c r="AG7" s="27"/>
      <c r="AH7" s="27"/>
      <c r="AI7" s="27"/>
      <c r="AJ7" s="28"/>
      <c r="AK7" s="28"/>
      <c r="AL7" s="28"/>
      <c r="AM7" s="28"/>
      <c r="AN7" s="28"/>
      <c r="AO7" s="28"/>
      <c r="AP7" s="28"/>
      <c r="AQ7" s="28"/>
    </row>
    <row r="8" spans="1:43" ht="15.75" customHeight="1" x14ac:dyDescent="0.2">
      <c r="A8" s="21">
        <v>7145</v>
      </c>
      <c r="B8" s="16" t="s">
        <v>56</v>
      </c>
      <c r="C8" s="16" t="s">
        <v>57</v>
      </c>
      <c r="D8" s="22"/>
      <c r="E8" s="16" t="s">
        <v>58</v>
      </c>
      <c r="F8" s="13">
        <v>2003</v>
      </c>
      <c r="G8" s="13">
        <v>2018</v>
      </c>
      <c r="H8" s="13">
        <v>0</v>
      </c>
      <c r="I8" s="13">
        <v>9.6999999999999993</v>
      </c>
      <c r="J8" s="23">
        <v>0.73</v>
      </c>
      <c r="K8" s="13">
        <v>7.1</v>
      </c>
      <c r="L8" s="13">
        <v>0</v>
      </c>
      <c r="M8" s="13">
        <v>0</v>
      </c>
      <c r="N8" s="13">
        <v>8</v>
      </c>
      <c r="O8" s="16"/>
      <c r="P8" s="16" t="s">
        <v>50</v>
      </c>
      <c r="Q8" s="24">
        <v>3100</v>
      </c>
      <c r="R8" s="16" t="s">
        <v>36</v>
      </c>
      <c r="S8" s="13">
        <v>2009</v>
      </c>
      <c r="T8" s="13">
        <v>1.3</v>
      </c>
      <c r="U8" s="13">
        <f t="shared" si="0"/>
        <v>4030</v>
      </c>
      <c r="V8" s="25">
        <f t="shared" si="1"/>
        <v>415.46391752577324</v>
      </c>
      <c r="W8" s="15">
        <f t="shared" si="2"/>
        <v>0</v>
      </c>
      <c r="X8" s="15">
        <f t="shared" si="3"/>
        <v>0</v>
      </c>
      <c r="Y8" s="15">
        <f t="shared" si="4"/>
        <v>0</v>
      </c>
      <c r="Z8" s="13">
        <f t="shared" si="5"/>
        <v>0</v>
      </c>
      <c r="AA8" s="16">
        <f>VLOOKUP(S8,[1]CPI!$A$2:$D$67,4,0)</f>
        <v>1.2630455352689747</v>
      </c>
      <c r="AB8" s="17">
        <f t="shared" si="6"/>
        <v>5090.0735071339677</v>
      </c>
      <c r="AC8" s="17">
        <f t="shared" si="7"/>
        <v>524.74984609628541</v>
      </c>
      <c r="AD8" s="16" t="s">
        <v>43</v>
      </c>
      <c r="AE8" s="29" t="s">
        <v>59</v>
      </c>
      <c r="AF8" s="19"/>
      <c r="AG8" s="19"/>
      <c r="AH8" s="19"/>
      <c r="AI8" s="19"/>
      <c r="AJ8" s="20"/>
      <c r="AK8" s="20"/>
      <c r="AL8" s="20"/>
      <c r="AM8" s="20"/>
      <c r="AN8" s="20"/>
      <c r="AO8" s="20"/>
      <c r="AP8" s="20"/>
      <c r="AQ8" s="20"/>
    </row>
    <row r="9" spans="1:43" ht="15.75" customHeight="1" x14ac:dyDescent="0.2">
      <c r="A9" s="21">
        <v>7146</v>
      </c>
      <c r="B9" s="16" t="s">
        <v>38</v>
      </c>
      <c r="C9" s="16" t="s">
        <v>60</v>
      </c>
      <c r="D9" s="22"/>
      <c r="E9" s="16" t="s">
        <v>61</v>
      </c>
      <c r="F9" s="13">
        <v>2020</v>
      </c>
      <c r="G9" s="13">
        <v>2026</v>
      </c>
      <c r="H9" s="13">
        <v>0</v>
      </c>
      <c r="I9" s="13">
        <v>5.8</v>
      </c>
      <c r="J9" s="23">
        <v>1</v>
      </c>
      <c r="K9" s="13">
        <v>5.8</v>
      </c>
      <c r="L9" s="13">
        <v>0</v>
      </c>
      <c r="M9" s="13">
        <v>0</v>
      </c>
      <c r="N9" s="13">
        <v>5</v>
      </c>
      <c r="O9" s="16"/>
      <c r="P9" s="16" t="s">
        <v>43</v>
      </c>
      <c r="Q9" s="24">
        <v>4500</v>
      </c>
      <c r="R9" s="16" t="s">
        <v>42</v>
      </c>
      <c r="S9" s="13">
        <v>2018</v>
      </c>
      <c r="T9" s="13">
        <v>0.84</v>
      </c>
      <c r="U9" s="13">
        <f t="shared" si="0"/>
        <v>3780</v>
      </c>
      <c r="V9" s="25">
        <f t="shared" si="1"/>
        <v>651.72413793103453</v>
      </c>
      <c r="W9" s="15">
        <f t="shared" si="2"/>
        <v>0</v>
      </c>
      <c r="X9" s="15">
        <f t="shared" si="3"/>
        <v>0</v>
      </c>
      <c r="Y9" s="15">
        <f t="shared" si="4"/>
        <v>0</v>
      </c>
      <c r="Z9" s="13">
        <f t="shared" si="5"/>
        <v>1</v>
      </c>
      <c r="AA9" s="16">
        <f>VLOOKUP(S9,[1]CPI!$A$2:$D$67,4,0)</f>
        <v>1.0791017375063221</v>
      </c>
      <c r="AB9" s="17">
        <f t="shared" si="6"/>
        <v>4079.0045677738976</v>
      </c>
      <c r="AC9" s="17">
        <f t="shared" si="7"/>
        <v>703.27664961618927</v>
      </c>
      <c r="AD9" s="16" t="s">
        <v>43</v>
      </c>
      <c r="AE9" s="29" t="s">
        <v>62</v>
      </c>
      <c r="AF9" s="27"/>
      <c r="AG9" s="27"/>
      <c r="AH9" s="27"/>
      <c r="AI9" s="27"/>
      <c r="AJ9" s="28"/>
      <c r="AK9" s="28"/>
      <c r="AL9" s="28"/>
      <c r="AM9" s="28"/>
      <c r="AN9" s="28"/>
      <c r="AO9" s="28"/>
      <c r="AP9" s="28"/>
      <c r="AQ9" s="28"/>
    </row>
    <row r="10" spans="1:43" ht="15.75" customHeight="1" x14ac:dyDescent="0.2">
      <c r="A10" s="21">
        <v>7147</v>
      </c>
      <c r="B10" s="16" t="s">
        <v>63</v>
      </c>
      <c r="C10" s="16" t="s">
        <v>64</v>
      </c>
      <c r="D10" s="22"/>
      <c r="E10" s="16" t="s">
        <v>65</v>
      </c>
      <c r="F10" s="13">
        <v>2009</v>
      </c>
      <c r="G10" s="13">
        <v>2016</v>
      </c>
      <c r="H10" s="13">
        <v>0</v>
      </c>
      <c r="I10" s="13">
        <v>5.0999999999999996</v>
      </c>
      <c r="J10" s="23">
        <v>1</v>
      </c>
      <c r="K10" s="13">
        <v>5.0999999999999996</v>
      </c>
      <c r="L10" s="13">
        <v>0</v>
      </c>
      <c r="M10" s="13">
        <v>0</v>
      </c>
      <c r="N10" s="13">
        <v>2</v>
      </c>
      <c r="O10" s="16"/>
      <c r="P10" s="16" t="s">
        <v>43</v>
      </c>
      <c r="Q10" s="24">
        <v>1756</v>
      </c>
      <c r="R10" s="16" t="s">
        <v>66</v>
      </c>
      <c r="S10" s="13">
        <v>2012</v>
      </c>
      <c r="T10" s="13">
        <v>1</v>
      </c>
      <c r="U10" s="13">
        <f t="shared" si="0"/>
        <v>1756</v>
      </c>
      <c r="V10" s="25">
        <f t="shared" si="1"/>
        <v>344.31372549019608</v>
      </c>
      <c r="W10" s="15">
        <f t="shared" si="2"/>
        <v>0</v>
      </c>
      <c r="X10" s="15">
        <f t="shared" si="3"/>
        <v>0</v>
      </c>
      <c r="Y10" s="15">
        <f t="shared" si="4"/>
        <v>0</v>
      </c>
      <c r="Z10" s="13">
        <f t="shared" si="5"/>
        <v>1</v>
      </c>
      <c r="AA10" s="16">
        <f>VLOOKUP(S10,[1]CPI!$A$2:$D$67,4,0)</f>
        <v>1.1802137686524912</v>
      </c>
      <c r="AB10" s="17">
        <f t="shared" si="6"/>
        <v>2072.4553777537744</v>
      </c>
      <c r="AC10" s="17">
        <f t="shared" si="7"/>
        <v>406.36379955956363</v>
      </c>
      <c r="AD10" s="16" t="s">
        <v>35</v>
      </c>
      <c r="AE10" s="26" t="s">
        <v>67</v>
      </c>
      <c r="AF10" s="9"/>
      <c r="AG10" s="9"/>
      <c r="AH10" s="9"/>
      <c r="AI10" s="9"/>
      <c r="AJ10" s="30"/>
      <c r="AK10" s="30"/>
      <c r="AL10" s="30"/>
      <c r="AM10" s="9"/>
      <c r="AN10" s="9"/>
      <c r="AO10" s="9"/>
      <c r="AP10" s="9"/>
      <c r="AQ10" s="9"/>
    </row>
    <row r="11" spans="1:43" ht="15.75" customHeight="1" x14ac:dyDescent="0.2">
      <c r="A11" s="21">
        <v>7152</v>
      </c>
      <c r="B11" s="16" t="s">
        <v>63</v>
      </c>
      <c r="C11" s="16" t="s">
        <v>68</v>
      </c>
      <c r="D11" s="22" t="s">
        <v>69</v>
      </c>
      <c r="E11" s="16" t="s">
        <v>70</v>
      </c>
      <c r="F11" s="13">
        <v>2020</v>
      </c>
      <c r="G11" s="13">
        <v>2027</v>
      </c>
      <c r="H11" s="13">
        <v>0</v>
      </c>
      <c r="I11" s="13">
        <v>4.2</v>
      </c>
      <c r="J11" s="23">
        <v>1</v>
      </c>
      <c r="K11" s="13">
        <v>4.2</v>
      </c>
      <c r="L11" s="13">
        <v>0</v>
      </c>
      <c r="M11" s="13">
        <v>0</v>
      </c>
      <c r="N11" s="13">
        <v>2</v>
      </c>
      <c r="O11" s="16"/>
      <c r="P11" s="16" t="s">
        <v>43</v>
      </c>
      <c r="Q11" s="24">
        <v>3600</v>
      </c>
      <c r="R11" s="16" t="s">
        <v>66</v>
      </c>
      <c r="S11" s="13">
        <v>2023</v>
      </c>
      <c r="T11" s="13">
        <v>1</v>
      </c>
      <c r="U11" s="13">
        <f t="shared" si="0"/>
        <v>3600</v>
      </c>
      <c r="V11" s="25">
        <f t="shared" si="1"/>
        <v>857.14285714285711</v>
      </c>
      <c r="W11" s="15">
        <f t="shared" si="2"/>
        <v>0</v>
      </c>
      <c r="X11" s="15">
        <f t="shared" si="3"/>
        <v>0</v>
      </c>
      <c r="Y11" s="15">
        <f t="shared" si="4"/>
        <v>0</v>
      </c>
      <c r="Z11" s="13">
        <f t="shared" si="5"/>
        <v>1</v>
      </c>
      <c r="AA11" s="16">
        <f>VLOOKUP(S11,[1]CPI!$A$2:$D$67,4,0)</f>
        <v>1</v>
      </c>
      <c r="AB11" s="17">
        <f t="shared" si="6"/>
        <v>3600</v>
      </c>
      <c r="AC11" s="17">
        <f t="shared" si="7"/>
        <v>857.14285714285711</v>
      </c>
      <c r="AD11" s="16" t="s">
        <v>43</v>
      </c>
      <c r="AE11" s="26" t="s">
        <v>71</v>
      </c>
      <c r="AF11" s="9"/>
      <c r="AG11" s="9"/>
      <c r="AH11" s="9"/>
      <c r="AI11" s="9"/>
      <c r="AJ11" s="9"/>
      <c r="AK11" s="9"/>
      <c r="AL11" s="9"/>
      <c r="AM11" s="9"/>
      <c r="AN11" s="9"/>
      <c r="AO11" s="9"/>
      <c r="AP11" s="9"/>
      <c r="AQ11" s="9"/>
    </row>
    <row r="12" spans="1:43" ht="15.75" customHeight="1" x14ac:dyDescent="0.2">
      <c r="A12" s="21">
        <v>7153</v>
      </c>
      <c r="B12" s="16" t="s">
        <v>63</v>
      </c>
      <c r="C12" s="16" t="s">
        <v>68</v>
      </c>
      <c r="D12" s="22" t="s">
        <v>69</v>
      </c>
      <c r="E12" s="16" t="s">
        <v>72</v>
      </c>
      <c r="F12" s="13">
        <v>2018</v>
      </c>
      <c r="G12" s="13">
        <v>2026</v>
      </c>
      <c r="H12" s="13">
        <v>0</v>
      </c>
      <c r="I12" s="13">
        <v>4.2</v>
      </c>
      <c r="J12" s="23">
        <v>1</v>
      </c>
      <c r="K12" s="13">
        <v>4.2</v>
      </c>
      <c r="L12" s="13">
        <v>0</v>
      </c>
      <c r="M12" s="13">
        <v>0</v>
      </c>
      <c r="N12" s="13">
        <v>2</v>
      </c>
      <c r="O12" s="16"/>
      <c r="P12" s="16" t="s">
        <v>73</v>
      </c>
      <c r="Q12" s="24">
        <v>2400</v>
      </c>
      <c r="R12" s="16" t="s">
        <v>66</v>
      </c>
      <c r="S12" s="13">
        <v>2021</v>
      </c>
      <c r="T12" s="13">
        <v>1</v>
      </c>
      <c r="U12" s="13">
        <f t="shared" si="0"/>
        <v>2400</v>
      </c>
      <c r="V12" s="25">
        <f t="shared" si="1"/>
        <v>571.42857142857144</v>
      </c>
      <c r="W12" s="15">
        <f t="shared" si="2"/>
        <v>0</v>
      </c>
      <c r="X12" s="15">
        <f t="shared" si="3"/>
        <v>0</v>
      </c>
      <c r="Y12" s="15">
        <f t="shared" si="4"/>
        <v>0</v>
      </c>
      <c r="Z12" s="13">
        <f t="shared" si="5"/>
        <v>1</v>
      </c>
      <c r="AA12" s="16">
        <f>VLOOKUP(S12,[1]CPI!$A$2:$D$67,4,0)</f>
        <v>1</v>
      </c>
      <c r="AB12" s="17">
        <f t="shared" si="6"/>
        <v>2400</v>
      </c>
      <c r="AC12" s="17">
        <f t="shared" si="7"/>
        <v>571.42857142857144</v>
      </c>
      <c r="AD12" s="16" t="s">
        <v>73</v>
      </c>
      <c r="AE12" s="26" t="s">
        <v>74</v>
      </c>
      <c r="AF12" s="9"/>
      <c r="AG12" s="9"/>
      <c r="AH12" s="9"/>
      <c r="AI12" s="9"/>
      <c r="AJ12" s="9"/>
      <c r="AK12" s="9"/>
      <c r="AL12" s="9"/>
      <c r="AM12" s="9"/>
      <c r="AN12" s="9"/>
      <c r="AO12" s="9"/>
      <c r="AP12" s="9"/>
      <c r="AQ12" s="9"/>
    </row>
    <row r="13" spans="1:43" ht="15.75" customHeight="1" x14ac:dyDescent="0.2">
      <c r="A13" s="21">
        <v>7154</v>
      </c>
      <c r="B13" s="16" t="s">
        <v>63</v>
      </c>
      <c r="C13" s="16" t="s">
        <v>68</v>
      </c>
      <c r="D13" s="22" t="s">
        <v>69</v>
      </c>
      <c r="E13" s="16" t="s">
        <v>75</v>
      </c>
      <c r="F13" s="13">
        <v>2014</v>
      </c>
      <c r="G13" s="13">
        <v>2024</v>
      </c>
      <c r="H13" s="13">
        <v>0</v>
      </c>
      <c r="I13" s="13">
        <v>6.3</v>
      </c>
      <c r="J13" s="23">
        <v>1</v>
      </c>
      <c r="K13" s="13">
        <v>6.3</v>
      </c>
      <c r="L13" s="13">
        <v>0</v>
      </c>
      <c r="M13" s="13">
        <v>0</v>
      </c>
      <c r="N13" s="13">
        <v>3</v>
      </c>
      <c r="O13" s="16"/>
      <c r="P13" s="16" t="s">
        <v>43</v>
      </c>
      <c r="Q13" s="24">
        <v>2800</v>
      </c>
      <c r="R13" s="16" t="s">
        <v>66</v>
      </c>
      <c r="S13" s="13">
        <v>2018</v>
      </c>
      <c r="T13" s="13">
        <v>1</v>
      </c>
      <c r="U13" s="13">
        <f t="shared" si="0"/>
        <v>2800</v>
      </c>
      <c r="V13" s="25">
        <f t="shared" si="1"/>
        <v>444.44444444444446</v>
      </c>
      <c r="W13" s="15">
        <f t="shared" si="2"/>
        <v>0</v>
      </c>
      <c r="X13" s="15">
        <f t="shared" si="3"/>
        <v>0</v>
      </c>
      <c r="Y13" s="15">
        <f t="shared" si="4"/>
        <v>0</v>
      </c>
      <c r="Z13" s="13">
        <f t="shared" si="5"/>
        <v>1</v>
      </c>
      <c r="AA13" s="16">
        <f>VLOOKUP(S13,[1]CPI!$A$2:$D$67,4,0)</f>
        <v>1.0791017375063221</v>
      </c>
      <c r="AB13" s="17">
        <f t="shared" si="6"/>
        <v>3021.4848650177018</v>
      </c>
      <c r="AC13" s="17">
        <f t="shared" si="7"/>
        <v>479.60077222503207</v>
      </c>
      <c r="AD13" s="16" t="s">
        <v>43</v>
      </c>
      <c r="AE13" s="29" t="s">
        <v>76</v>
      </c>
      <c r="AF13" s="31"/>
      <c r="AG13" s="31"/>
      <c r="AH13" s="31"/>
      <c r="AI13" s="31"/>
      <c r="AJ13" s="31"/>
      <c r="AK13" s="31"/>
      <c r="AL13" s="31"/>
      <c r="AM13" s="9"/>
      <c r="AN13" s="9"/>
      <c r="AO13" s="9"/>
      <c r="AP13" s="9"/>
      <c r="AQ13" s="9"/>
    </row>
    <row r="14" spans="1:43" ht="15.75" customHeight="1" x14ac:dyDescent="0.2">
      <c r="A14" s="21">
        <v>7155</v>
      </c>
      <c r="B14" s="16" t="s">
        <v>63</v>
      </c>
      <c r="C14" s="16" t="s">
        <v>68</v>
      </c>
      <c r="D14" s="22"/>
      <c r="E14" s="16" t="s">
        <v>77</v>
      </c>
      <c r="F14" s="13">
        <v>2014</v>
      </c>
      <c r="G14" s="13">
        <v>2022</v>
      </c>
      <c r="H14" s="13">
        <v>0</v>
      </c>
      <c r="I14" s="13">
        <v>3.1</v>
      </c>
      <c r="J14" s="23">
        <v>1</v>
      </c>
      <c r="K14" s="13">
        <v>3.1</v>
      </c>
      <c r="L14" s="13">
        <v>0</v>
      </c>
      <c r="M14" s="13">
        <v>0</v>
      </c>
      <c r="N14" s="13">
        <v>3</v>
      </c>
      <c r="O14" s="16"/>
      <c r="P14" s="16" t="s">
        <v>35</v>
      </c>
      <c r="Q14" s="24">
        <v>1756</v>
      </c>
      <c r="R14" s="16" t="s">
        <v>66</v>
      </c>
      <c r="S14" s="13">
        <v>2018</v>
      </c>
      <c r="T14" s="13">
        <v>1</v>
      </c>
      <c r="U14" s="13">
        <f t="shared" si="0"/>
        <v>1756</v>
      </c>
      <c r="V14" s="25">
        <f t="shared" si="1"/>
        <v>566.45161290322574</v>
      </c>
      <c r="W14" s="15">
        <f t="shared" si="2"/>
        <v>0</v>
      </c>
      <c r="X14" s="15">
        <f t="shared" si="3"/>
        <v>0</v>
      </c>
      <c r="Y14" s="15">
        <f t="shared" si="4"/>
        <v>0</v>
      </c>
      <c r="Z14" s="13">
        <f t="shared" si="5"/>
        <v>1</v>
      </c>
      <c r="AA14" s="16">
        <f>VLOOKUP(S14,[1]CPI!$A$2:$D$67,4,0)</f>
        <v>1.0791017375063221</v>
      </c>
      <c r="AB14" s="17">
        <f t="shared" si="6"/>
        <v>1894.9026510611016</v>
      </c>
      <c r="AC14" s="17">
        <f t="shared" si="7"/>
        <v>611.2589196971295</v>
      </c>
      <c r="AD14" s="16" t="s">
        <v>35</v>
      </c>
      <c r="AE14" s="29" t="s">
        <v>78</v>
      </c>
      <c r="AF14" s="31"/>
      <c r="AG14" s="31"/>
      <c r="AH14" s="31"/>
      <c r="AI14" s="31"/>
      <c r="AJ14" s="31"/>
      <c r="AK14" s="31"/>
      <c r="AL14" s="31"/>
      <c r="AM14" s="9"/>
      <c r="AN14" s="9"/>
      <c r="AO14" s="9"/>
      <c r="AP14" s="9"/>
      <c r="AQ14" s="9"/>
    </row>
    <row r="15" spans="1:43" ht="15.75" customHeight="1" x14ac:dyDescent="0.2">
      <c r="A15" s="21">
        <v>7160</v>
      </c>
      <c r="B15" s="16" t="s">
        <v>63</v>
      </c>
      <c r="C15" s="16" t="s">
        <v>79</v>
      </c>
      <c r="D15" s="22"/>
      <c r="E15" s="16" t="s">
        <v>80</v>
      </c>
      <c r="F15" s="13">
        <v>2010</v>
      </c>
      <c r="G15" s="13">
        <v>2021</v>
      </c>
      <c r="H15" s="13">
        <v>0</v>
      </c>
      <c r="I15" s="13">
        <v>2.7</v>
      </c>
      <c r="J15" s="23">
        <v>1</v>
      </c>
      <c r="K15" s="13">
        <v>2.7</v>
      </c>
      <c r="L15" s="13">
        <v>0</v>
      </c>
      <c r="M15" s="13">
        <v>0</v>
      </c>
      <c r="N15" s="13">
        <v>4</v>
      </c>
      <c r="O15" s="16"/>
      <c r="P15" s="16" t="s">
        <v>43</v>
      </c>
      <c r="Q15" s="24">
        <v>1670</v>
      </c>
      <c r="R15" s="16" t="s">
        <v>66</v>
      </c>
      <c r="S15" s="13">
        <v>2014</v>
      </c>
      <c r="T15" s="13">
        <v>1</v>
      </c>
      <c r="U15" s="13">
        <f t="shared" si="0"/>
        <v>1670</v>
      </c>
      <c r="V15" s="25">
        <f t="shared" si="1"/>
        <v>618.51851851851848</v>
      </c>
      <c r="W15" s="15">
        <f t="shared" si="2"/>
        <v>0</v>
      </c>
      <c r="X15" s="15">
        <f t="shared" si="3"/>
        <v>0</v>
      </c>
      <c r="Y15" s="15">
        <f t="shared" si="4"/>
        <v>0</v>
      </c>
      <c r="Z15" s="13">
        <f t="shared" si="5"/>
        <v>1</v>
      </c>
      <c r="AA15" s="16">
        <f>VLOOKUP(S15,[1]CPI!$A$2:$D$67,4,0)</f>
        <v>1.1446083400919169</v>
      </c>
      <c r="AB15" s="17">
        <f t="shared" si="6"/>
        <v>1911.4959279535012</v>
      </c>
      <c r="AC15" s="17">
        <f t="shared" si="7"/>
        <v>707.96145479759298</v>
      </c>
      <c r="AD15" s="16" t="s">
        <v>43</v>
      </c>
      <c r="AE15" s="29" t="s">
        <v>81</v>
      </c>
      <c r="AF15" s="9"/>
      <c r="AG15" s="9"/>
      <c r="AH15" s="9"/>
      <c r="AI15" s="9"/>
      <c r="AJ15" s="30"/>
      <c r="AK15" s="30"/>
      <c r="AL15" s="30"/>
      <c r="AM15" s="9"/>
      <c r="AN15" s="9"/>
      <c r="AO15" s="9"/>
      <c r="AP15" s="9"/>
      <c r="AQ15" s="9"/>
    </row>
    <row r="16" spans="1:43" ht="15.75" customHeight="1" x14ac:dyDescent="0.2">
      <c r="A16" s="21">
        <v>7161</v>
      </c>
      <c r="B16" s="27" t="s">
        <v>63</v>
      </c>
      <c r="C16" s="27" t="s">
        <v>82</v>
      </c>
      <c r="D16" s="9"/>
      <c r="E16" s="27" t="s">
        <v>83</v>
      </c>
      <c r="F16" s="27">
        <v>2013</v>
      </c>
      <c r="G16" s="27">
        <v>2022</v>
      </c>
      <c r="H16" s="27">
        <v>0</v>
      </c>
      <c r="I16" s="27">
        <v>7.6</v>
      </c>
      <c r="J16" s="32">
        <v>0</v>
      </c>
      <c r="K16" s="27">
        <v>0</v>
      </c>
      <c r="L16" s="27">
        <v>0.78</v>
      </c>
      <c r="M16" s="27">
        <v>6.82</v>
      </c>
      <c r="N16" s="27">
        <v>7</v>
      </c>
      <c r="O16" s="27"/>
      <c r="P16" s="27" t="s">
        <v>35</v>
      </c>
      <c r="Q16" s="33">
        <v>2289</v>
      </c>
      <c r="R16" s="27" t="s">
        <v>66</v>
      </c>
      <c r="S16" s="27">
        <v>2020</v>
      </c>
      <c r="T16" s="27">
        <v>1</v>
      </c>
      <c r="U16" s="13">
        <f t="shared" si="0"/>
        <v>2289</v>
      </c>
      <c r="V16" s="25">
        <f t="shared" si="1"/>
        <v>301.18421052631578</v>
      </c>
      <c r="W16" s="15">
        <f t="shared" si="2"/>
        <v>0</v>
      </c>
      <c r="X16" s="15">
        <f t="shared" si="3"/>
        <v>0</v>
      </c>
      <c r="Y16" s="15">
        <f t="shared" si="4"/>
        <v>0</v>
      </c>
      <c r="Z16" s="13">
        <f t="shared" si="5"/>
        <v>1</v>
      </c>
      <c r="AA16" s="16">
        <f>VLOOKUP(S16,[1]CPI!$A$2:$D$67,4,0)</f>
        <v>1.0469802288156225</v>
      </c>
      <c r="AB16" s="17">
        <f t="shared" si="6"/>
        <v>2396.53774375896</v>
      </c>
      <c r="AC16" s="17">
        <f t="shared" si="7"/>
        <v>315.33391365249469</v>
      </c>
      <c r="AD16" s="27" t="s">
        <v>35</v>
      </c>
      <c r="AE16" s="34" t="s">
        <v>84</v>
      </c>
      <c r="AF16" s="9"/>
      <c r="AG16" s="9"/>
      <c r="AH16" s="9"/>
      <c r="AI16" s="9"/>
      <c r="AJ16" s="9"/>
      <c r="AK16" s="9"/>
      <c r="AL16" s="9"/>
      <c r="AM16" s="9"/>
      <c r="AN16" s="9"/>
      <c r="AO16" s="9"/>
      <c r="AP16" s="9"/>
      <c r="AQ16" s="9"/>
    </row>
    <row r="17" spans="1:43" ht="15.75" customHeight="1" x14ac:dyDescent="0.2">
      <c r="A17" s="21">
        <v>7162</v>
      </c>
      <c r="B17" s="16" t="s">
        <v>38</v>
      </c>
      <c r="C17" s="16" t="s">
        <v>85</v>
      </c>
      <c r="D17" s="22"/>
      <c r="E17" s="16" t="s">
        <v>86</v>
      </c>
      <c r="F17" s="13">
        <v>2013</v>
      </c>
      <c r="G17" s="13">
        <v>2019</v>
      </c>
      <c r="H17" s="13">
        <v>0</v>
      </c>
      <c r="I17" s="13">
        <v>12.5</v>
      </c>
      <c r="J17" s="23">
        <v>0.2</v>
      </c>
      <c r="K17" s="13">
        <v>2.5</v>
      </c>
      <c r="L17" s="13">
        <v>0.84</v>
      </c>
      <c r="M17" s="13">
        <v>9.16</v>
      </c>
      <c r="N17" s="13">
        <v>13</v>
      </c>
      <c r="O17" s="16"/>
      <c r="P17" s="16" t="s">
        <v>73</v>
      </c>
      <c r="Q17" s="24">
        <v>2100</v>
      </c>
      <c r="R17" s="16" t="s">
        <v>42</v>
      </c>
      <c r="S17" s="13">
        <v>2016</v>
      </c>
      <c r="T17" s="13">
        <v>0.83</v>
      </c>
      <c r="U17" s="13">
        <f t="shared" si="0"/>
        <v>1743</v>
      </c>
      <c r="V17" s="25">
        <f t="shared" si="1"/>
        <v>139.44</v>
      </c>
      <c r="W17" s="15">
        <f t="shared" si="2"/>
        <v>0</v>
      </c>
      <c r="X17" s="15">
        <f t="shared" si="3"/>
        <v>0</v>
      </c>
      <c r="Y17" s="15">
        <f t="shared" si="4"/>
        <v>0</v>
      </c>
      <c r="Z17" s="13">
        <f t="shared" si="5"/>
        <v>1</v>
      </c>
      <c r="AA17" s="16">
        <f>VLOOKUP(S17,[1]CPI!$A$2:$D$67,4,0)</f>
        <v>1.1290087372451638</v>
      </c>
      <c r="AB17" s="17">
        <f t="shared" si="6"/>
        <v>1967.8622290183205</v>
      </c>
      <c r="AC17" s="17">
        <f t="shared" si="7"/>
        <v>157.42897832146565</v>
      </c>
      <c r="AD17" s="16" t="s">
        <v>73</v>
      </c>
      <c r="AE17" s="29" t="s">
        <v>87</v>
      </c>
      <c r="AF17" s="27"/>
      <c r="AG17" s="27"/>
      <c r="AH17" s="27"/>
      <c r="AI17" s="27"/>
      <c r="AJ17" s="28"/>
      <c r="AK17" s="28"/>
      <c r="AL17" s="28"/>
      <c r="AM17" s="28"/>
      <c r="AN17" s="28"/>
      <c r="AO17" s="28"/>
      <c r="AP17" s="28"/>
      <c r="AQ17" s="28"/>
    </row>
    <row r="18" spans="1:43" ht="15.75" customHeight="1" x14ac:dyDescent="0.2">
      <c r="A18" s="21">
        <v>7163</v>
      </c>
      <c r="B18" s="16" t="s">
        <v>63</v>
      </c>
      <c r="C18" s="16" t="s">
        <v>79</v>
      </c>
      <c r="D18" s="22"/>
      <c r="E18" s="16" t="s">
        <v>88</v>
      </c>
      <c r="F18" s="13">
        <v>2022</v>
      </c>
      <c r="G18" s="13">
        <v>2030</v>
      </c>
      <c r="H18" s="13">
        <v>0</v>
      </c>
      <c r="I18" s="13">
        <v>9.6</v>
      </c>
      <c r="J18" s="23">
        <v>0.83</v>
      </c>
      <c r="K18" s="13">
        <v>8</v>
      </c>
      <c r="L18" s="13">
        <v>0</v>
      </c>
      <c r="M18" s="13">
        <v>0</v>
      </c>
      <c r="N18" s="13">
        <v>4</v>
      </c>
      <c r="O18" s="16"/>
      <c r="P18" s="16" t="s">
        <v>35</v>
      </c>
      <c r="Q18" s="24">
        <v>9100</v>
      </c>
      <c r="R18" s="16" t="s">
        <v>66</v>
      </c>
      <c r="S18" s="13">
        <v>2026</v>
      </c>
      <c r="T18" s="13">
        <v>1</v>
      </c>
      <c r="U18" s="13">
        <f t="shared" si="0"/>
        <v>9100</v>
      </c>
      <c r="V18" s="25">
        <f t="shared" si="1"/>
        <v>947.91666666666674</v>
      </c>
      <c r="W18" s="15">
        <f t="shared" si="2"/>
        <v>0</v>
      </c>
      <c r="X18" s="15">
        <f t="shared" si="3"/>
        <v>0</v>
      </c>
      <c r="Y18" s="15">
        <f t="shared" si="4"/>
        <v>0</v>
      </c>
      <c r="Z18" s="13">
        <f t="shared" si="5"/>
        <v>1</v>
      </c>
      <c r="AA18" s="16">
        <f>VLOOKUP(S18,[1]CPI!$A$2:$D$67,4,0)</f>
        <v>1</v>
      </c>
      <c r="AB18" s="17">
        <f t="shared" si="6"/>
        <v>9100</v>
      </c>
      <c r="AC18" s="17">
        <f t="shared" si="7"/>
        <v>947.91666666666674</v>
      </c>
      <c r="AD18" s="16" t="s">
        <v>43</v>
      </c>
      <c r="AE18" s="29" t="s">
        <v>89</v>
      </c>
      <c r="AF18" s="9"/>
      <c r="AG18" s="9"/>
      <c r="AH18" s="9"/>
      <c r="AI18" s="9"/>
      <c r="AJ18" s="30"/>
      <c r="AK18" s="30"/>
      <c r="AL18" s="30"/>
      <c r="AM18" s="9"/>
      <c r="AN18" s="9"/>
      <c r="AO18" s="9"/>
      <c r="AP18" s="9"/>
      <c r="AQ18" s="9"/>
    </row>
    <row r="19" spans="1:43" ht="15.75" customHeight="1" x14ac:dyDescent="0.2">
      <c r="A19" s="21">
        <v>7168</v>
      </c>
      <c r="B19" s="16" t="s">
        <v>90</v>
      </c>
      <c r="C19" s="16" t="s">
        <v>91</v>
      </c>
      <c r="D19" s="22" t="s">
        <v>92</v>
      </c>
      <c r="E19" s="16" t="s">
        <v>93</v>
      </c>
      <c r="F19" s="13">
        <v>2009</v>
      </c>
      <c r="G19" s="13">
        <v>2012</v>
      </c>
      <c r="H19" s="13">
        <v>0</v>
      </c>
      <c r="I19" s="13">
        <v>5.0999999999999996</v>
      </c>
      <c r="J19" s="23">
        <v>0.6</v>
      </c>
      <c r="K19" s="13">
        <v>3.1</v>
      </c>
      <c r="L19" s="13">
        <v>0</v>
      </c>
      <c r="M19" s="13">
        <v>0</v>
      </c>
      <c r="N19" s="13">
        <v>4</v>
      </c>
      <c r="O19" s="16"/>
      <c r="P19" s="16" t="s">
        <v>94</v>
      </c>
      <c r="Q19" s="24">
        <v>407</v>
      </c>
      <c r="R19" s="16" t="s">
        <v>95</v>
      </c>
      <c r="S19" s="13">
        <v>2010</v>
      </c>
      <c r="T19" s="13">
        <v>1.69</v>
      </c>
      <c r="U19" s="13">
        <f t="shared" si="0"/>
        <v>687.82999999999993</v>
      </c>
      <c r="V19" s="25">
        <f t="shared" si="1"/>
        <v>134.8686274509804</v>
      </c>
      <c r="W19" s="15">
        <f t="shared" si="2"/>
        <v>1</v>
      </c>
      <c r="X19" s="15">
        <f t="shared" si="3"/>
        <v>5.0999999999999996</v>
      </c>
      <c r="Y19" s="15">
        <f t="shared" si="4"/>
        <v>3.1</v>
      </c>
      <c r="Z19" s="13">
        <f t="shared" si="5"/>
        <v>0</v>
      </c>
      <c r="AA19" s="16">
        <f>VLOOKUP(S19,[1]CPI!$A$2:$D$67,4,0)</f>
        <v>1.2426624353377114</v>
      </c>
      <c r="AB19" s="17">
        <f t="shared" si="6"/>
        <v>854.74050289833792</v>
      </c>
      <c r="AC19" s="17">
        <f t="shared" si="7"/>
        <v>167.59617703888981</v>
      </c>
      <c r="AD19" s="16" t="s">
        <v>43</v>
      </c>
      <c r="AE19" s="26" t="s">
        <v>96</v>
      </c>
      <c r="AF19" s="27"/>
      <c r="AG19" s="27"/>
      <c r="AH19" s="27"/>
      <c r="AI19" s="27"/>
      <c r="AJ19" s="28"/>
      <c r="AK19" s="28"/>
      <c r="AL19" s="28"/>
      <c r="AM19" s="28"/>
      <c r="AN19" s="28"/>
      <c r="AO19" s="28"/>
      <c r="AP19" s="28"/>
      <c r="AQ19" s="28"/>
    </row>
    <row r="20" spans="1:43" ht="15.75" customHeight="1" x14ac:dyDescent="0.2">
      <c r="A20" s="21">
        <v>7169</v>
      </c>
      <c r="B20" s="16" t="s">
        <v>90</v>
      </c>
      <c r="C20" s="16" t="s">
        <v>91</v>
      </c>
      <c r="D20" s="22" t="s">
        <v>92</v>
      </c>
      <c r="E20" s="16" t="s">
        <v>97</v>
      </c>
      <c r="F20" s="13">
        <v>2013</v>
      </c>
      <c r="G20" s="13">
        <v>2015</v>
      </c>
      <c r="H20" s="13">
        <v>0</v>
      </c>
      <c r="I20" s="13">
        <v>3</v>
      </c>
      <c r="J20" s="23">
        <v>1</v>
      </c>
      <c r="K20" s="13">
        <v>3</v>
      </c>
      <c r="L20" s="13">
        <v>0</v>
      </c>
      <c r="M20" s="13">
        <v>0</v>
      </c>
      <c r="N20" s="13">
        <v>3</v>
      </c>
      <c r="O20" s="16"/>
      <c r="P20" s="16" t="s">
        <v>43</v>
      </c>
      <c r="Q20" s="24">
        <v>44</v>
      </c>
      <c r="R20" s="16" t="s">
        <v>36</v>
      </c>
      <c r="S20" s="13">
        <v>2014</v>
      </c>
      <c r="T20" s="13">
        <v>3.32</v>
      </c>
      <c r="U20" s="13">
        <f t="shared" si="0"/>
        <v>146.07999999999998</v>
      </c>
      <c r="V20" s="25">
        <f t="shared" si="1"/>
        <v>48.693333333333328</v>
      </c>
      <c r="W20" s="15">
        <f t="shared" si="2"/>
        <v>1</v>
      </c>
      <c r="X20" s="15">
        <f t="shared" si="3"/>
        <v>3</v>
      </c>
      <c r="Y20" s="15">
        <f t="shared" si="4"/>
        <v>3</v>
      </c>
      <c r="Z20" s="13">
        <f t="shared" si="5"/>
        <v>0</v>
      </c>
      <c r="AA20" s="16">
        <f>VLOOKUP(S20,[1]CPI!$A$2:$D$67,4,0)</f>
        <v>1.1446083400919169</v>
      </c>
      <c r="AB20" s="17">
        <f t="shared" si="6"/>
        <v>167.20438632062721</v>
      </c>
      <c r="AC20" s="17">
        <f t="shared" si="7"/>
        <v>55.734795440209069</v>
      </c>
      <c r="AD20" s="16" t="s">
        <v>43</v>
      </c>
      <c r="AE20" s="26" t="s">
        <v>98</v>
      </c>
      <c r="AF20" s="27"/>
      <c r="AG20" s="27"/>
      <c r="AH20" s="27"/>
      <c r="AI20" s="27"/>
      <c r="AJ20" s="28"/>
      <c r="AK20" s="28"/>
      <c r="AL20" s="28"/>
      <c r="AM20" s="28"/>
      <c r="AN20" s="28"/>
      <c r="AO20" s="28"/>
      <c r="AP20" s="28"/>
      <c r="AQ20" s="28"/>
    </row>
    <row r="21" spans="1:43" ht="15.75" customHeight="1" x14ac:dyDescent="0.2">
      <c r="A21" s="21">
        <v>7170</v>
      </c>
      <c r="B21" s="16" t="s">
        <v>90</v>
      </c>
      <c r="C21" s="16" t="s">
        <v>91</v>
      </c>
      <c r="D21" s="22" t="s">
        <v>99</v>
      </c>
      <c r="E21" s="16" t="s">
        <v>99</v>
      </c>
      <c r="F21" s="13">
        <v>2008</v>
      </c>
      <c r="G21" s="13">
        <v>2012</v>
      </c>
      <c r="H21" s="13">
        <v>0</v>
      </c>
      <c r="I21" s="13">
        <v>17</v>
      </c>
      <c r="J21" s="23">
        <v>0.9</v>
      </c>
      <c r="K21" s="13">
        <v>15.3</v>
      </c>
      <c r="L21" s="13">
        <v>0</v>
      </c>
      <c r="M21" s="13">
        <v>0</v>
      </c>
      <c r="N21" s="13">
        <v>11</v>
      </c>
      <c r="O21" s="16"/>
      <c r="P21" s="16" t="s">
        <v>73</v>
      </c>
      <c r="Q21" s="24">
        <v>952</v>
      </c>
      <c r="R21" s="16" t="s">
        <v>36</v>
      </c>
      <c r="S21" s="13">
        <v>2010</v>
      </c>
      <c r="T21" s="13">
        <v>3.32</v>
      </c>
      <c r="U21" s="13">
        <f t="shared" si="0"/>
        <v>3160.64</v>
      </c>
      <c r="V21" s="25">
        <f t="shared" si="1"/>
        <v>185.92</v>
      </c>
      <c r="W21" s="15">
        <f t="shared" si="2"/>
        <v>1</v>
      </c>
      <c r="X21" s="15">
        <f t="shared" si="3"/>
        <v>17</v>
      </c>
      <c r="Y21" s="15">
        <f t="shared" si="4"/>
        <v>15.3</v>
      </c>
      <c r="Z21" s="13">
        <f t="shared" si="5"/>
        <v>0</v>
      </c>
      <c r="AA21" s="16">
        <f>VLOOKUP(S21,[1]CPI!$A$2:$D$67,4,0)</f>
        <v>1.2426624353377114</v>
      </c>
      <c r="AB21" s="17">
        <f t="shared" si="6"/>
        <v>3927.6085996257839</v>
      </c>
      <c r="AC21" s="17">
        <f t="shared" si="7"/>
        <v>231.0357999779873</v>
      </c>
      <c r="AD21" s="16" t="s">
        <v>73</v>
      </c>
      <c r="AE21" s="26" t="s">
        <v>100</v>
      </c>
      <c r="AF21" s="27"/>
      <c r="AG21" s="27"/>
      <c r="AH21" s="27"/>
      <c r="AI21" s="27"/>
      <c r="AJ21" s="28"/>
      <c r="AK21" s="28"/>
      <c r="AL21" s="28"/>
      <c r="AM21" s="28"/>
      <c r="AN21" s="28"/>
      <c r="AO21" s="28"/>
      <c r="AP21" s="28"/>
      <c r="AQ21" s="28"/>
    </row>
    <row r="22" spans="1:43" ht="15.75" customHeight="1" x14ac:dyDescent="0.2">
      <c r="A22" s="21">
        <v>7171</v>
      </c>
      <c r="B22" s="16" t="s">
        <v>90</v>
      </c>
      <c r="C22" s="16" t="s">
        <v>91</v>
      </c>
      <c r="D22" s="22" t="s">
        <v>99</v>
      </c>
      <c r="E22" s="16" t="s">
        <v>101</v>
      </c>
      <c r="F22" s="13">
        <v>2012</v>
      </c>
      <c r="G22" s="13">
        <v>2016</v>
      </c>
      <c r="H22" s="13">
        <v>0</v>
      </c>
      <c r="I22" s="13">
        <v>1.3</v>
      </c>
      <c r="J22" s="23">
        <v>1</v>
      </c>
      <c r="K22" s="13">
        <v>1.3</v>
      </c>
      <c r="L22" s="13">
        <v>0</v>
      </c>
      <c r="M22" s="13">
        <v>0</v>
      </c>
      <c r="N22" s="13">
        <v>1</v>
      </c>
      <c r="O22" s="16"/>
      <c r="P22" s="16" t="s">
        <v>43</v>
      </c>
      <c r="Q22" s="24">
        <v>21</v>
      </c>
      <c r="R22" s="16" t="s">
        <v>36</v>
      </c>
      <c r="S22" s="13">
        <v>2014</v>
      </c>
      <c r="T22" s="13">
        <v>3.32</v>
      </c>
      <c r="U22" s="13">
        <f t="shared" si="0"/>
        <v>69.72</v>
      </c>
      <c r="V22" s="25">
        <f t="shared" si="1"/>
        <v>53.630769230769225</v>
      </c>
      <c r="W22" s="15">
        <f t="shared" si="2"/>
        <v>1</v>
      </c>
      <c r="X22" s="15">
        <f t="shared" si="3"/>
        <v>1.3</v>
      </c>
      <c r="Y22" s="15">
        <f t="shared" si="4"/>
        <v>1.3</v>
      </c>
      <c r="Z22" s="13">
        <f t="shared" si="5"/>
        <v>0</v>
      </c>
      <c r="AA22" s="16">
        <f>VLOOKUP(S22,[1]CPI!$A$2:$D$67,4,0)</f>
        <v>1.1446083400919169</v>
      </c>
      <c r="AB22" s="17">
        <f t="shared" si="6"/>
        <v>79.802093471208451</v>
      </c>
      <c r="AC22" s="17">
        <f t="shared" si="7"/>
        <v>61.386225747083415</v>
      </c>
      <c r="AD22" s="16" t="s">
        <v>43</v>
      </c>
      <c r="AE22" s="29" t="s">
        <v>102</v>
      </c>
      <c r="AF22" s="27"/>
      <c r="AG22" s="27"/>
      <c r="AH22" s="27"/>
      <c r="AI22" s="27"/>
      <c r="AJ22" s="28"/>
      <c r="AK22" s="28"/>
      <c r="AL22" s="28"/>
      <c r="AM22" s="28"/>
      <c r="AN22" s="28"/>
      <c r="AO22" s="28"/>
      <c r="AP22" s="28"/>
      <c r="AQ22" s="28"/>
    </row>
    <row r="23" spans="1:43" ht="15.75" customHeight="1" x14ac:dyDescent="0.2">
      <c r="A23" s="21">
        <v>7176</v>
      </c>
      <c r="B23" s="16" t="s">
        <v>90</v>
      </c>
      <c r="C23" s="16" t="s">
        <v>91</v>
      </c>
      <c r="D23" s="22" t="s">
        <v>103</v>
      </c>
      <c r="E23" s="16" t="s">
        <v>103</v>
      </c>
      <c r="F23" s="13">
        <v>2016</v>
      </c>
      <c r="G23" s="13">
        <v>2021</v>
      </c>
      <c r="H23" s="13">
        <v>0</v>
      </c>
      <c r="I23" s="13">
        <v>12</v>
      </c>
      <c r="J23" s="23">
        <v>1</v>
      </c>
      <c r="K23" s="13">
        <v>12</v>
      </c>
      <c r="L23" s="13">
        <v>0</v>
      </c>
      <c r="M23" s="13">
        <v>0</v>
      </c>
      <c r="N23" s="13">
        <v>12</v>
      </c>
      <c r="O23" s="16"/>
      <c r="P23" s="16" t="s">
        <v>35</v>
      </c>
      <c r="Q23" s="24">
        <v>500</v>
      </c>
      <c r="R23" s="16" t="s">
        <v>36</v>
      </c>
      <c r="S23" s="13">
        <v>2018</v>
      </c>
      <c r="T23" s="13">
        <v>3.32</v>
      </c>
      <c r="U23" s="13">
        <f t="shared" si="0"/>
        <v>1660</v>
      </c>
      <c r="V23" s="25">
        <f t="shared" si="1"/>
        <v>138.33333333333334</v>
      </c>
      <c r="W23" s="15">
        <f t="shared" si="2"/>
        <v>1</v>
      </c>
      <c r="X23" s="15">
        <f t="shared" si="3"/>
        <v>12</v>
      </c>
      <c r="Y23" s="15">
        <f t="shared" si="4"/>
        <v>12</v>
      </c>
      <c r="Z23" s="13">
        <f t="shared" si="5"/>
        <v>0</v>
      </c>
      <c r="AA23" s="16">
        <f>VLOOKUP(S23,[1]CPI!$A$2:$D$67,4,0)</f>
        <v>1.0791017375063221</v>
      </c>
      <c r="AB23" s="17">
        <f t="shared" si="6"/>
        <v>1791.3088842604948</v>
      </c>
      <c r="AC23" s="17">
        <f t="shared" si="7"/>
        <v>149.27574035504122</v>
      </c>
      <c r="AD23" s="16" t="s">
        <v>35</v>
      </c>
      <c r="AE23" s="29" t="s">
        <v>104</v>
      </c>
      <c r="AF23" s="27"/>
      <c r="AG23" s="27"/>
      <c r="AH23" s="27"/>
      <c r="AI23" s="27"/>
      <c r="AJ23" s="28"/>
      <c r="AK23" s="28"/>
      <c r="AL23" s="28"/>
      <c r="AM23" s="28"/>
      <c r="AN23" s="28"/>
      <c r="AO23" s="28"/>
      <c r="AP23" s="28"/>
      <c r="AQ23" s="28"/>
    </row>
    <row r="24" spans="1:43" ht="15.75" customHeight="1" x14ac:dyDescent="0.2">
      <c r="A24" s="21">
        <v>7177</v>
      </c>
      <c r="B24" s="16" t="s">
        <v>90</v>
      </c>
      <c r="C24" s="16" t="s">
        <v>91</v>
      </c>
      <c r="D24" s="22" t="s">
        <v>103</v>
      </c>
      <c r="E24" s="16" t="s">
        <v>105</v>
      </c>
      <c r="F24" s="13">
        <v>2021</v>
      </c>
      <c r="G24" s="13"/>
      <c r="H24" s="13">
        <v>0</v>
      </c>
      <c r="I24" s="13">
        <v>3.1</v>
      </c>
      <c r="J24" s="23">
        <v>1</v>
      </c>
      <c r="K24" s="13">
        <v>3.1</v>
      </c>
      <c r="L24" s="13">
        <v>0</v>
      </c>
      <c r="M24" s="13">
        <v>0</v>
      </c>
      <c r="N24" s="13">
        <v>4</v>
      </c>
      <c r="O24" s="16"/>
      <c r="P24" s="16" t="s">
        <v>35</v>
      </c>
      <c r="Q24" s="24">
        <v>112.5</v>
      </c>
      <c r="R24" s="16" t="s">
        <v>36</v>
      </c>
      <c r="S24" s="13">
        <v>2021</v>
      </c>
      <c r="T24" s="13">
        <v>3.32</v>
      </c>
      <c r="U24" s="13">
        <f t="shared" si="0"/>
        <v>373.5</v>
      </c>
      <c r="V24" s="25">
        <f t="shared" si="1"/>
        <v>120.48387096774194</v>
      </c>
      <c r="W24" s="15">
        <f t="shared" si="2"/>
        <v>1</v>
      </c>
      <c r="X24" s="15">
        <f t="shared" si="3"/>
        <v>3.1</v>
      </c>
      <c r="Y24" s="15">
        <f t="shared" si="4"/>
        <v>3.1</v>
      </c>
      <c r="Z24" s="13">
        <f t="shared" si="5"/>
        <v>0</v>
      </c>
      <c r="AA24" s="16">
        <f>VLOOKUP(S24,[1]CPI!$A$2:$D$67,4,0)</f>
        <v>1</v>
      </c>
      <c r="AB24" s="17">
        <f t="shared" si="6"/>
        <v>373.5</v>
      </c>
      <c r="AC24" s="17">
        <f t="shared" si="7"/>
        <v>120.48387096774194</v>
      </c>
      <c r="AD24" s="16" t="s">
        <v>73</v>
      </c>
      <c r="AE24" s="29" t="s">
        <v>106</v>
      </c>
      <c r="AF24" s="27"/>
      <c r="AG24" s="27"/>
      <c r="AH24" s="27"/>
      <c r="AI24" s="27"/>
      <c r="AJ24" s="28"/>
      <c r="AK24" s="28"/>
      <c r="AL24" s="28"/>
      <c r="AM24" s="28"/>
      <c r="AN24" s="28"/>
      <c r="AO24" s="28"/>
      <c r="AP24" s="28"/>
      <c r="AQ24" s="28"/>
    </row>
    <row r="25" spans="1:43" ht="15.75" customHeight="1" x14ac:dyDescent="0.2">
      <c r="A25" s="22">
        <v>7178</v>
      </c>
      <c r="B25" s="22" t="s">
        <v>107</v>
      </c>
      <c r="C25" s="22" t="s">
        <v>108</v>
      </c>
      <c r="D25" s="22" t="s">
        <v>99</v>
      </c>
      <c r="E25" s="22" t="s">
        <v>99</v>
      </c>
      <c r="F25" s="15">
        <v>2010</v>
      </c>
      <c r="G25" s="15">
        <v>2015</v>
      </c>
      <c r="H25" s="15">
        <v>0</v>
      </c>
      <c r="I25" s="15">
        <v>6.5</v>
      </c>
      <c r="J25" s="23">
        <v>1</v>
      </c>
      <c r="K25" s="15">
        <v>6.5</v>
      </c>
      <c r="L25" s="15">
        <v>0</v>
      </c>
      <c r="M25" s="15">
        <v>0</v>
      </c>
      <c r="N25" s="15">
        <v>7</v>
      </c>
      <c r="O25" s="22"/>
      <c r="P25" s="22" t="s">
        <v>73</v>
      </c>
      <c r="Q25" s="15">
        <v>5900</v>
      </c>
      <c r="R25" s="22" t="s">
        <v>109</v>
      </c>
      <c r="S25" s="15">
        <v>2012</v>
      </c>
      <c r="T25" s="15">
        <v>0.55700000000000005</v>
      </c>
      <c r="U25" s="15">
        <f t="shared" si="0"/>
        <v>3286.3</v>
      </c>
      <c r="V25" s="25">
        <f t="shared" si="1"/>
        <v>505.5846153846154</v>
      </c>
      <c r="W25" s="15">
        <f t="shared" si="2"/>
        <v>0</v>
      </c>
      <c r="X25" s="15">
        <f t="shared" si="3"/>
        <v>0</v>
      </c>
      <c r="Y25" s="15">
        <f t="shared" si="4"/>
        <v>0</v>
      </c>
      <c r="Z25" s="13">
        <f t="shared" si="5"/>
        <v>0</v>
      </c>
      <c r="AA25" s="16">
        <f>VLOOKUP(S25,[1]CPI!$A$2:$D$67,4,0)</f>
        <v>1.1802137686524912</v>
      </c>
      <c r="AB25" s="17">
        <f t="shared" si="6"/>
        <v>3878.5365079226817</v>
      </c>
      <c r="AC25" s="17">
        <f t="shared" si="7"/>
        <v>596.69792429579718</v>
      </c>
      <c r="AD25" s="22" t="s">
        <v>73</v>
      </c>
      <c r="AE25" s="35" t="s">
        <v>110</v>
      </c>
      <c r="AF25" s="15"/>
      <c r="AG25" s="15"/>
      <c r="AH25" s="15"/>
      <c r="AI25" s="15"/>
      <c r="AJ25" s="15"/>
      <c r="AK25" s="15"/>
      <c r="AL25" s="15"/>
      <c r="AM25" s="15"/>
      <c r="AN25" s="15"/>
      <c r="AO25" s="15"/>
      <c r="AP25" s="15"/>
      <c r="AQ25" s="15"/>
    </row>
    <row r="26" spans="1:43" ht="15.75" customHeight="1" x14ac:dyDescent="0.2">
      <c r="A26" s="21">
        <v>7179</v>
      </c>
      <c r="B26" s="16" t="s">
        <v>107</v>
      </c>
      <c r="C26" s="16" t="s">
        <v>108</v>
      </c>
      <c r="D26" s="22" t="s">
        <v>99</v>
      </c>
      <c r="E26" s="16" t="s">
        <v>111</v>
      </c>
      <c r="F26" s="13">
        <v>2015</v>
      </c>
      <c r="G26" s="13">
        <v>2019</v>
      </c>
      <c r="H26" s="13">
        <v>0</v>
      </c>
      <c r="I26" s="13">
        <v>3.1</v>
      </c>
      <c r="J26" s="23">
        <v>1</v>
      </c>
      <c r="K26" s="13">
        <v>3.1</v>
      </c>
      <c r="L26" s="13">
        <v>0</v>
      </c>
      <c r="M26" s="13">
        <v>0</v>
      </c>
      <c r="N26" s="13">
        <v>3</v>
      </c>
      <c r="O26" s="16"/>
      <c r="P26" s="16" t="s">
        <v>73</v>
      </c>
      <c r="Q26" s="24">
        <v>1070</v>
      </c>
      <c r="R26" s="16" t="s">
        <v>109</v>
      </c>
      <c r="S26" s="13">
        <v>2017</v>
      </c>
      <c r="T26" s="13">
        <v>0.57599999999999996</v>
      </c>
      <c r="U26" s="13">
        <f t="shared" si="0"/>
        <v>616.31999999999994</v>
      </c>
      <c r="V26" s="25">
        <f t="shared" si="1"/>
        <v>198.81290322580642</v>
      </c>
      <c r="W26" s="15">
        <f t="shared" si="2"/>
        <v>0</v>
      </c>
      <c r="X26" s="15">
        <f t="shared" si="3"/>
        <v>0</v>
      </c>
      <c r="Y26" s="15">
        <f t="shared" si="4"/>
        <v>0</v>
      </c>
      <c r="Z26" s="13">
        <f t="shared" si="5"/>
        <v>0</v>
      </c>
      <c r="AA26" s="16">
        <f>VLOOKUP(S26,[1]CPI!$A$2:$D$67,4,0)</f>
        <v>1.1054585509138382</v>
      </c>
      <c r="AB26" s="17">
        <f t="shared" si="6"/>
        <v>681.31621409921661</v>
      </c>
      <c r="AC26" s="17">
        <f t="shared" si="7"/>
        <v>219.77942390297312</v>
      </c>
      <c r="AD26" s="16" t="s">
        <v>73</v>
      </c>
      <c r="AE26" s="29" t="s">
        <v>112</v>
      </c>
      <c r="AF26" s="19"/>
      <c r="AG26" s="19"/>
      <c r="AH26" s="19"/>
      <c r="AI26" s="19"/>
      <c r="AJ26" s="20"/>
      <c r="AK26" s="20"/>
      <c r="AL26" s="20"/>
      <c r="AM26" s="20"/>
      <c r="AN26" s="20"/>
      <c r="AO26" s="20"/>
      <c r="AP26" s="20"/>
      <c r="AQ26" s="20"/>
    </row>
    <row r="27" spans="1:43" ht="15.75" customHeight="1" x14ac:dyDescent="0.2">
      <c r="A27" s="21">
        <v>7184</v>
      </c>
      <c r="B27" s="16" t="s">
        <v>107</v>
      </c>
      <c r="C27" s="16" t="s">
        <v>108</v>
      </c>
      <c r="D27" s="22" t="s">
        <v>99</v>
      </c>
      <c r="E27" s="16" t="s">
        <v>113</v>
      </c>
      <c r="F27" s="13">
        <v>2015</v>
      </c>
      <c r="G27" s="13">
        <v>2020</v>
      </c>
      <c r="H27" s="13">
        <v>0</v>
      </c>
      <c r="I27" s="13">
        <v>3.4</v>
      </c>
      <c r="J27" s="23">
        <v>1</v>
      </c>
      <c r="K27" s="13">
        <v>3.4</v>
      </c>
      <c r="L27" s="13">
        <v>0</v>
      </c>
      <c r="M27" s="13">
        <v>0</v>
      </c>
      <c r="N27" s="13">
        <v>3</v>
      </c>
      <c r="O27" s="16"/>
      <c r="P27" s="16" t="s">
        <v>73</v>
      </c>
      <c r="Q27" s="24">
        <v>1148</v>
      </c>
      <c r="R27" s="16" t="s">
        <v>109</v>
      </c>
      <c r="S27" s="13">
        <v>2017</v>
      </c>
      <c r="T27" s="13">
        <v>0.57599999999999996</v>
      </c>
      <c r="U27" s="13">
        <f t="shared" si="0"/>
        <v>661.24799999999993</v>
      </c>
      <c r="V27" s="25">
        <f t="shared" si="1"/>
        <v>194.48470588235293</v>
      </c>
      <c r="W27" s="15">
        <f t="shared" si="2"/>
        <v>0</v>
      </c>
      <c r="X27" s="15">
        <f t="shared" si="3"/>
        <v>0</v>
      </c>
      <c r="Y27" s="15">
        <f t="shared" si="4"/>
        <v>0</v>
      </c>
      <c r="Z27" s="13">
        <f t="shared" si="5"/>
        <v>0</v>
      </c>
      <c r="AA27" s="16">
        <f>VLOOKUP(S27,[1]CPI!$A$2:$D$67,4,0)</f>
        <v>1.1054585509138382</v>
      </c>
      <c r="AB27" s="17">
        <f t="shared" si="6"/>
        <v>730.98225587467357</v>
      </c>
      <c r="AC27" s="17">
        <f t="shared" si="7"/>
        <v>214.99478113960987</v>
      </c>
      <c r="AD27" s="16" t="s">
        <v>73</v>
      </c>
      <c r="AE27" s="29" t="s">
        <v>114</v>
      </c>
      <c r="AF27" s="19"/>
      <c r="AG27" s="19"/>
      <c r="AH27" s="19"/>
      <c r="AI27" s="19"/>
      <c r="AJ27" s="20"/>
      <c r="AK27" s="20"/>
      <c r="AL27" s="20"/>
      <c r="AM27" s="20"/>
      <c r="AN27" s="20"/>
      <c r="AO27" s="20"/>
      <c r="AP27" s="20"/>
      <c r="AQ27" s="20"/>
    </row>
    <row r="28" spans="1:43" ht="15.75" customHeight="1" x14ac:dyDescent="0.2">
      <c r="A28" s="21">
        <v>7185</v>
      </c>
      <c r="B28" s="16" t="s">
        <v>107</v>
      </c>
      <c r="C28" s="16" t="s">
        <v>108</v>
      </c>
      <c r="D28" s="22" t="s">
        <v>99</v>
      </c>
      <c r="E28" s="16" t="s">
        <v>115</v>
      </c>
      <c r="F28" s="13">
        <v>2018</v>
      </c>
      <c r="G28" s="13">
        <v>2022</v>
      </c>
      <c r="H28" s="13">
        <v>0</v>
      </c>
      <c r="I28" s="13">
        <v>4</v>
      </c>
      <c r="J28" s="23">
        <v>1</v>
      </c>
      <c r="K28" s="13">
        <v>4</v>
      </c>
      <c r="L28" s="13">
        <v>0</v>
      </c>
      <c r="M28" s="13">
        <v>0</v>
      </c>
      <c r="N28" s="13">
        <v>3</v>
      </c>
      <c r="O28" s="16"/>
      <c r="P28" s="16" t="s">
        <v>73</v>
      </c>
      <c r="Q28" s="24">
        <v>1400</v>
      </c>
      <c r="R28" s="16" t="s">
        <v>109</v>
      </c>
      <c r="S28" s="13">
        <v>2020</v>
      </c>
      <c r="T28" s="13">
        <v>0.57099999999999995</v>
      </c>
      <c r="U28" s="13">
        <f t="shared" si="0"/>
        <v>799.4</v>
      </c>
      <c r="V28" s="25">
        <f t="shared" si="1"/>
        <v>199.85</v>
      </c>
      <c r="W28" s="15">
        <f t="shared" si="2"/>
        <v>0</v>
      </c>
      <c r="X28" s="15">
        <f t="shared" si="3"/>
        <v>0</v>
      </c>
      <c r="Y28" s="15">
        <f t="shared" si="4"/>
        <v>0</v>
      </c>
      <c r="Z28" s="13">
        <f t="shared" si="5"/>
        <v>0</v>
      </c>
      <c r="AA28" s="16">
        <f>VLOOKUP(S28,[1]CPI!$A$2:$D$67,4,0)</f>
        <v>1.0469802288156225</v>
      </c>
      <c r="AB28" s="17">
        <f t="shared" si="6"/>
        <v>836.95599491520863</v>
      </c>
      <c r="AC28" s="17">
        <f t="shared" si="7"/>
        <v>209.23899872880216</v>
      </c>
      <c r="AD28" s="16" t="s">
        <v>73</v>
      </c>
      <c r="AE28" s="29" t="s">
        <v>116</v>
      </c>
      <c r="AF28" s="19"/>
      <c r="AG28" s="19"/>
      <c r="AH28" s="19"/>
      <c r="AI28" s="19"/>
      <c r="AJ28" s="20"/>
      <c r="AK28" s="20"/>
      <c r="AL28" s="20"/>
      <c r="AM28" s="20"/>
      <c r="AN28" s="20"/>
      <c r="AO28" s="20"/>
      <c r="AP28" s="20"/>
      <c r="AQ28" s="20"/>
    </row>
    <row r="29" spans="1:43" ht="15.75" customHeight="1" x14ac:dyDescent="0.2">
      <c r="A29" s="21">
        <v>7186</v>
      </c>
      <c r="B29" s="16" t="s">
        <v>117</v>
      </c>
      <c r="C29" s="16" t="s">
        <v>118</v>
      </c>
      <c r="D29" s="22"/>
      <c r="E29" s="16" t="s">
        <v>119</v>
      </c>
      <c r="F29" s="13">
        <v>2014</v>
      </c>
      <c r="G29" s="13">
        <v>2019</v>
      </c>
      <c r="H29" s="13">
        <v>0</v>
      </c>
      <c r="I29" s="13">
        <v>6.9</v>
      </c>
      <c r="J29" s="23">
        <v>1</v>
      </c>
      <c r="K29" s="13">
        <v>6.9</v>
      </c>
      <c r="L29" s="13">
        <v>0</v>
      </c>
      <c r="M29" s="13">
        <v>0</v>
      </c>
      <c r="N29" s="13">
        <v>10</v>
      </c>
      <c r="O29" s="16"/>
      <c r="P29" s="16" t="s">
        <v>35</v>
      </c>
      <c r="Q29" s="24">
        <v>3122</v>
      </c>
      <c r="R29" s="16" t="s">
        <v>120</v>
      </c>
      <c r="S29" s="13">
        <v>2016</v>
      </c>
      <c r="T29" s="13">
        <v>0.59599999999999997</v>
      </c>
      <c r="U29" s="13">
        <f t="shared" si="0"/>
        <v>1860.712</v>
      </c>
      <c r="V29" s="25">
        <f t="shared" si="1"/>
        <v>269.66840579710146</v>
      </c>
      <c r="W29" s="15">
        <f t="shared" si="2"/>
        <v>0</v>
      </c>
      <c r="X29" s="15">
        <f t="shared" si="3"/>
        <v>0</v>
      </c>
      <c r="Y29" s="15">
        <f t="shared" si="4"/>
        <v>0</v>
      </c>
      <c r="Z29" s="13">
        <f t="shared" si="5"/>
        <v>0</v>
      </c>
      <c r="AA29" s="16">
        <f>VLOOKUP(S29,[1]CPI!$A$2:$D$67,4,0)</f>
        <v>1.1290087372451638</v>
      </c>
      <c r="AB29" s="17">
        <f t="shared" si="6"/>
        <v>2100.7601054969232</v>
      </c>
      <c r="AC29" s="17">
        <f t="shared" si="7"/>
        <v>304.45798630390192</v>
      </c>
      <c r="AD29" s="16" t="s">
        <v>35</v>
      </c>
      <c r="AE29" s="26" t="s">
        <v>121</v>
      </c>
      <c r="AF29" s="19"/>
      <c r="AG29" s="19"/>
      <c r="AH29" s="19"/>
      <c r="AI29" s="19"/>
      <c r="AJ29" s="20"/>
      <c r="AK29" s="20"/>
      <c r="AL29" s="20"/>
      <c r="AM29" s="20"/>
      <c r="AN29" s="20"/>
      <c r="AO29" s="20"/>
      <c r="AP29" s="20"/>
      <c r="AQ29" s="20"/>
    </row>
    <row r="30" spans="1:43" ht="15.75" customHeight="1" x14ac:dyDescent="0.2">
      <c r="A30" s="21">
        <v>7187</v>
      </c>
      <c r="B30" s="36" t="s">
        <v>122</v>
      </c>
      <c r="C30" s="36" t="s">
        <v>123</v>
      </c>
      <c r="D30" s="22"/>
      <c r="E30" s="36" t="s">
        <v>124</v>
      </c>
      <c r="F30" s="37">
        <v>2017</v>
      </c>
      <c r="G30" s="37">
        <v>2023</v>
      </c>
      <c r="H30" s="37">
        <v>0</v>
      </c>
      <c r="I30" s="37">
        <v>66.7</v>
      </c>
      <c r="J30" s="38">
        <v>1</v>
      </c>
      <c r="K30" s="37">
        <v>66.7</v>
      </c>
      <c r="L30" s="37">
        <v>0</v>
      </c>
      <c r="M30" s="37">
        <v>0</v>
      </c>
      <c r="N30" s="37">
        <v>31</v>
      </c>
      <c r="O30" s="36"/>
      <c r="P30" s="36" t="s">
        <v>43</v>
      </c>
      <c r="Q30" s="39">
        <v>501000</v>
      </c>
      <c r="R30" s="36" t="s">
        <v>125</v>
      </c>
      <c r="S30" s="37">
        <v>2018</v>
      </c>
      <c r="T30" s="37">
        <v>0.04</v>
      </c>
      <c r="U30" s="37">
        <f t="shared" si="0"/>
        <v>20040</v>
      </c>
      <c r="V30" s="25">
        <f t="shared" si="1"/>
        <v>300.44977511244377</v>
      </c>
      <c r="W30" s="15">
        <f t="shared" si="2"/>
        <v>0</v>
      </c>
      <c r="X30" s="15">
        <f t="shared" si="3"/>
        <v>0</v>
      </c>
      <c r="Y30" s="15">
        <f t="shared" si="4"/>
        <v>0</v>
      </c>
      <c r="Z30" s="13">
        <f t="shared" si="5"/>
        <v>0</v>
      </c>
      <c r="AA30" s="16">
        <f>VLOOKUP(S30,[1]CPI!$A$2:$D$67,4,0)</f>
        <v>1.0791017375063221</v>
      </c>
      <c r="AB30" s="17">
        <f t="shared" si="6"/>
        <v>21625.198819626694</v>
      </c>
      <c r="AC30" s="17">
        <f t="shared" si="7"/>
        <v>324.21587435722182</v>
      </c>
      <c r="AD30" s="36" t="s">
        <v>43</v>
      </c>
      <c r="AE30" s="40" t="s">
        <v>126</v>
      </c>
      <c r="AF30" s="19"/>
      <c r="AG30" s="19"/>
      <c r="AH30" s="19"/>
      <c r="AI30" s="19"/>
      <c r="AJ30" s="20"/>
      <c r="AK30" s="20"/>
      <c r="AL30" s="20"/>
      <c r="AM30" s="20"/>
      <c r="AN30" s="20"/>
      <c r="AO30" s="20"/>
      <c r="AP30" s="20"/>
      <c r="AQ30" s="20"/>
    </row>
    <row r="31" spans="1:43" ht="15.75" customHeight="1" x14ac:dyDescent="0.2">
      <c r="A31" s="21">
        <v>7193</v>
      </c>
      <c r="B31" s="16" t="s">
        <v>122</v>
      </c>
      <c r="C31" s="41" t="s">
        <v>127</v>
      </c>
      <c r="D31" s="22"/>
      <c r="E31" s="16" t="s">
        <v>101</v>
      </c>
      <c r="F31" s="13">
        <v>2015</v>
      </c>
      <c r="G31" s="13">
        <v>2018</v>
      </c>
      <c r="H31" s="13">
        <v>0</v>
      </c>
      <c r="I31" s="13">
        <v>2.5</v>
      </c>
      <c r="J31" s="23">
        <v>1</v>
      </c>
      <c r="K31" s="13">
        <v>2.5</v>
      </c>
      <c r="L31" s="13">
        <v>0</v>
      </c>
      <c r="M31" s="13">
        <v>0</v>
      </c>
      <c r="N31" s="13">
        <v>1</v>
      </c>
      <c r="O31" s="16"/>
      <c r="P31" s="16" t="s">
        <v>73</v>
      </c>
      <c r="Q31" s="24">
        <v>11000</v>
      </c>
      <c r="R31" s="16" t="s">
        <v>125</v>
      </c>
      <c r="S31" s="13">
        <v>2016</v>
      </c>
      <c r="T31" s="13">
        <v>4.1000000000000002E-2</v>
      </c>
      <c r="U31" s="13">
        <f t="shared" si="0"/>
        <v>451</v>
      </c>
      <c r="V31" s="25">
        <f t="shared" si="1"/>
        <v>180.4</v>
      </c>
      <c r="W31" s="15">
        <f t="shared" si="2"/>
        <v>0</v>
      </c>
      <c r="X31" s="15">
        <f t="shared" si="3"/>
        <v>0</v>
      </c>
      <c r="Y31" s="15">
        <f t="shared" si="4"/>
        <v>0</v>
      </c>
      <c r="Z31" s="13">
        <f t="shared" si="5"/>
        <v>0</v>
      </c>
      <c r="AA31" s="16">
        <f>VLOOKUP(S31,[1]CPI!$A$2:$D$67,4,0)</f>
        <v>1.1290087372451638</v>
      </c>
      <c r="AB31" s="17">
        <f t="shared" si="6"/>
        <v>509.18294049756889</v>
      </c>
      <c r="AC31" s="17">
        <f t="shared" si="7"/>
        <v>203.67317619902755</v>
      </c>
      <c r="AD31" s="16" t="s">
        <v>73</v>
      </c>
      <c r="AE31" s="29" t="s">
        <v>128</v>
      </c>
      <c r="AF31" s="19"/>
      <c r="AG31" s="19"/>
      <c r="AH31" s="19"/>
      <c r="AI31" s="19"/>
      <c r="AJ31" s="20"/>
      <c r="AK31" s="20"/>
      <c r="AL31" s="20"/>
      <c r="AM31" s="20"/>
      <c r="AN31" s="20"/>
      <c r="AO31" s="20"/>
      <c r="AP31" s="20"/>
      <c r="AQ31" s="20"/>
    </row>
    <row r="32" spans="1:43" ht="15.75" customHeight="1" x14ac:dyDescent="0.2">
      <c r="A32" s="21">
        <v>7194</v>
      </c>
      <c r="B32" s="16" t="s">
        <v>122</v>
      </c>
      <c r="C32" s="16" t="s">
        <v>129</v>
      </c>
      <c r="D32" s="22"/>
      <c r="E32" s="16" t="s">
        <v>130</v>
      </c>
      <c r="F32" s="13">
        <v>2014</v>
      </c>
      <c r="G32" s="13">
        <v>2018</v>
      </c>
      <c r="H32" s="13">
        <v>0</v>
      </c>
      <c r="I32" s="13">
        <v>5</v>
      </c>
      <c r="J32" s="23">
        <v>1</v>
      </c>
      <c r="K32" s="13">
        <v>5</v>
      </c>
      <c r="L32" s="13">
        <v>0</v>
      </c>
      <c r="M32" s="13">
        <v>0</v>
      </c>
      <c r="N32" s="13">
        <v>2</v>
      </c>
      <c r="O32" s="16"/>
      <c r="P32" s="16" t="s">
        <v>73</v>
      </c>
      <c r="Q32" s="24">
        <v>37000</v>
      </c>
      <c r="R32" s="16" t="s">
        <v>125</v>
      </c>
      <c r="S32" s="13">
        <v>2016</v>
      </c>
      <c r="T32" s="13">
        <v>4.1000000000000002E-2</v>
      </c>
      <c r="U32" s="13">
        <f t="shared" si="0"/>
        <v>1517</v>
      </c>
      <c r="V32" s="25">
        <f t="shared" si="1"/>
        <v>303.39999999999998</v>
      </c>
      <c r="W32" s="15">
        <f t="shared" si="2"/>
        <v>0</v>
      </c>
      <c r="X32" s="15">
        <f t="shared" si="3"/>
        <v>0</v>
      </c>
      <c r="Y32" s="15">
        <f t="shared" si="4"/>
        <v>0</v>
      </c>
      <c r="Z32" s="13">
        <f t="shared" si="5"/>
        <v>0</v>
      </c>
      <c r="AA32" s="16">
        <f>VLOOKUP(S32,[1]CPI!$A$2:$D$67,4,0)</f>
        <v>1.1290087372451638</v>
      </c>
      <c r="AB32" s="17">
        <f t="shared" si="6"/>
        <v>1712.7062544009136</v>
      </c>
      <c r="AC32" s="17">
        <f t="shared" si="7"/>
        <v>342.5412508801827</v>
      </c>
      <c r="AD32" s="16" t="s">
        <v>73</v>
      </c>
      <c r="AE32" s="26" t="s">
        <v>128</v>
      </c>
      <c r="AF32" s="19"/>
      <c r="AG32" s="19"/>
      <c r="AH32" s="19"/>
      <c r="AI32" s="19"/>
      <c r="AJ32" s="20"/>
      <c r="AK32" s="20"/>
      <c r="AL32" s="20"/>
      <c r="AM32" s="20"/>
      <c r="AN32" s="20"/>
      <c r="AO32" s="20"/>
      <c r="AP32" s="20"/>
      <c r="AQ32" s="20"/>
    </row>
    <row r="33" spans="1:43" ht="15.75" customHeight="1" x14ac:dyDescent="0.2">
      <c r="A33" s="21">
        <v>7195</v>
      </c>
      <c r="B33" s="16" t="s">
        <v>122</v>
      </c>
      <c r="C33" s="16" t="s">
        <v>129</v>
      </c>
      <c r="D33" s="22"/>
      <c r="E33" s="16" t="s">
        <v>131</v>
      </c>
      <c r="F33" s="13">
        <v>2013</v>
      </c>
      <c r="G33" s="13">
        <v>2019</v>
      </c>
      <c r="H33" s="13">
        <v>0</v>
      </c>
      <c r="I33" s="13">
        <v>6.4</v>
      </c>
      <c r="J33" s="23">
        <v>0.97</v>
      </c>
      <c r="K33" s="13">
        <v>6.2</v>
      </c>
      <c r="L33" s="13">
        <v>0</v>
      </c>
      <c r="M33" s="13">
        <v>0</v>
      </c>
      <c r="N33" s="13">
        <v>3</v>
      </c>
      <c r="O33" s="16"/>
      <c r="P33" s="16" t="s">
        <v>94</v>
      </c>
      <c r="Q33" s="24">
        <v>44600</v>
      </c>
      <c r="R33" s="16" t="s">
        <v>125</v>
      </c>
      <c r="S33" s="13">
        <v>2016</v>
      </c>
      <c r="T33" s="13">
        <v>4.1000000000000002E-2</v>
      </c>
      <c r="U33" s="13">
        <f t="shared" si="0"/>
        <v>1828.6000000000001</v>
      </c>
      <c r="V33" s="25">
        <f t="shared" si="1"/>
        <v>285.71875</v>
      </c>
      <c r="W33" s="15">
        <f t="shared" si="2"/>
        <v>0</v>
      </c>
      <c r="X33" s="15">
        <f t="shared" si="3"/>
        <v>0</v>
      </c>
      <c r="Y33" s="15">
        <f t="shared" si="4"/>
        <v>0</v>
      </c>
      <c r="Z33" s="13">
        <f t="shared" si="5"/>
        <v>0</v>
      </c>
      <c r="AA33" s="16">
        <f>VLOOKUP(S33,[1]CPI!$A$2:$D$67,4,0)</f>
        <v>1.1290087372451638</v>
      </c>
      <c r="AB33" s="17">
        <f t="shared" si="6"/>
        <v>2064.5053769265069</v>
      </c>
      <c r="AC33" s="17">
        <f t="shared" si="7"/>
        <v>322.57896514476664</v>
      </c>
      <c r="AD33" s="16" t="s">
        <v>43</v>
      </c>
      <c r="AE33" s="26" t="s">
        <v>132</v>
      </c>
      <c r="AF33" s="19"/>
      <c r="AG33" s="19"/>
      <c r="AH33" s="19"/>
      <c r="AI33" s="19"/>
      <c r="AJ33" s="20"/>
      <c r="AK33" s="20"/>
      <c r="AL33" s="20"/>
      <c r="AM33" s="20"/>
      <c r="AN33" s="20"/>
      <c r="AO33" s="20"/>
      <c r="AP33" s="20"/>
      <c r="AQ33" s="20"/>
    </row>
    <row r="34" spans="1:43" ht="15.75" customHeight="1" x14ac:dyDescent="0.2">
      <c r="A34" s="21">
        <v>7200</v>
      </c>
      <c r="B34" s="16" t="s">
        <v>122</v>
      </c>
      <c r="C34" s="16" t="s">
        <v>123</v>
      </c>
      <c r="D34" s="22"/>
      <c r="E34" s="16" t="s">
        <v>133</v>
      </c>
      <c r="F34" s="13">
        <v>2016</v>
      </c>
      <c r="G34" s="13">
        <v>2019</v>
      </c>
      <c r="H34" s="13">
        <v>0</v>
      </c>
      <c r="I34" s="13">
        <v>11.6</v>
      </c>
      <c r="J34" s="23">
        <v>0.14000000000000001</v>
      </c>
      <c r="K34" s="13">
        <v>1.6</v>
      </c>
      <c r="L34" s="13">
        <v>0.14000000000000001</v>
      </c>
      <c r="M34" s="13">
        <v>9.8360000000000003</v>
      </c>
      <c r="N34" s="13">
        <v>4</v>
      </c>
      <c r="O34" s="16"/>
      <c r="P34" s="16" t="s">
        <v>50</v>
      </c>
      <c r="Q34" s="24">
        <v>41032.868999999999</v>
      </c>
      <c r="R34" s="16" t="s">
        <v>125</v>
      </c>
      <c r="S34" s="13">
        <v>2018</v>
      </c>
      <c r="T34" s="13">
        <v>0.04</v>
      </c>
      <c r="U34" s="13">
        <f t="shared" si="0"/>
        <v>1641.31476</v>
      </c>
      <c r="V34" s="25">
        <f t="shared" si="1"/>
        <v>141.49265172413794</v>
      </c>
      <c r="W34" s="15">
        <f t="shared" si="2"/>
        <v>0</v>
      </c>
      <c r="X34" s="15">
        <f t="shared" si="3"/>
        <v>0</v>
      </c>
      <c r="Y34" s="15">
        <f t="shared" si="4"/>
        <v>0</v>
      </c>
      <c r="Z34" s="13">
        <f t="shared" si="5"/>
        <v>0</v>
      </c>
      <c r="AA34" s="16">
        <f>VLOOKUP(S34,[1]CPI!$A$2:$D$67,4,0)</f>
        <v>1.0791017375063221</v>
      </c>
      <c r="AB34" s="17">
        <f t="shared" si="6"/>
        <v>1771.145609310772</v>
      </c>
      <c r="AC34" s="17">
        <f t="shared" si="7"/>
        <v>152.68496631989416</v>
      </c>
      <c r="AD34" s="16" t="s">
        <v>35</v>
      </c>
      <c r="AE34" s="29" t="s">
        <v>134</v>
      </c>
      <c r="AF34" s="19"/>
      <c r="AG34" s="19"/>
      <c r="AH34" s="19"/>
      <c r="AI34" s="19"/>
      <c r="AJ34" s="20"/>
      <c r="AK34" s="20"/>
      <c r="AL34" s="20"/>
      <c r="AM34" s="20"/>
      <c r="AN34" s="20"/>
      <c r="AO34" s="20"/>
      <c r="AP34" s="20"/>
      <c r="AQ34" s="20"/>
    </row>
    <row r="35" spans="1:43" ht="15.75" customHeight="1" x14ac:dyDescent="0.2">
      <c r="A35" s="21">
        <v>7201</v>
      </c>
      <c r="B35" s="16" t="s">
        <v>135</v>
      </c>
      <c r="C35" s="16" t="s">
        <v>136</v>
      </c>
      <c r="D35" s="22"/>
      <c r="E35" s="16" t="s">
        <v>137</v>
      </c>
      <c r="F35" s="13">
        <v>2010</v>
      </c>
      <c r="G35" s="13">
        <v>2015</v>
      </c>
      <c r="H35" s="13">
        <v>0</v>
      </c>
      <c r="I35" s="13">
        <v>6.1</v>
      </c>
      <c r="J35" s="23">
        <v>0.97</v>
      </c>
      <c r="K35" s="13">
        <v>5.9</v>
      </c>
      <c r="L35" s="13">
        <v>0</v>
      </c>
      <c r="M35" s="13">
        <v>0.2</v>
      </c>
      <c r="N35" s="13">
        <v>4</v>
      </c>
      <c r="O35" s="16"/>
      <c r="P35" s="16" t="s">
        <v>50</v>
      </c>
      <c r="Q35" s="24">
        <v>20200</v>
      </c>
      <c r="R35" s="16" t="s">
        <v>138</v>
      </c>
      <c r="S35" s="13">
        <v>2012</v>
      </c>
      <c r="T35" s="13">
        <v>7.5200000000000003E-2</v>
      </c>
      <c r="U35" s="13">
        <f t="shared" si="0"/>
        <v>1519.04</v>
      </c>
      <c r="V35" s="25">
        <f t="shared" si="1"/>
        <v>249.02295081967213</v>
      </c>
      <c r="W35" s="15">
        <f t="shared" si="2"/>
        <v>0</v>
      </c>
      <c r="X35" s="15">
        <f t="shared" si="3"/>
        <v>0</v>
      </c>
      <c r="Y35" s="15">
        <f t="shared" si="4"/>
        <v>0</v>
      </c>
      <c r="Z35" s="13">
        <f t="shared" si="5"/>
        <v>0</v>
      </c>
      <c r="AA35" s="16">
        <f>VLOOKUP(S35,[1]CPI!$A$2:$D$67,4,0)</f>
        <v>1.1802137686524912</v>
      </c>
      <c r="AB35" s="17">
        <f t="shared" si="6"/>
        <v>1792.7919231338801</v>
      </c>
      <c r="AC35" s="17">
        <f t="shared" si="7"/>
        <v>293.90031526784924</v>
      </c>
      <c r="AD35" s="16" t="s">
        <v>73</v>
      </c>
      <c r="AE35" s="29" t="s">
        <v>139</v>
      </c>
      <c r="AF35" s="19"/>
      <c r="AG35" s="19"/>
      <c r="AH35" s="19"/>
      <c r="AI35" s="19"/>
      <c r="AJ35" s="20"/>
      <c r="AK35" s="20"/>
      <c r="AL35" s="20"/>
      <c r="AM35" s="20"/>
      <c r="AN35" s="20"/>
      <c r="AO35" s="20"/>
      <c r="AP35" s="20"/>
      <c r="AQ35" s="20"/>
    </row>
    <row r="36" spans="1:43" ht="15.75" customHeight="1" x14ac:dyDescent="0.2">
      <c r="A36" s="21">
        <v>7202</v>
      </c>
      <c r="B36" s="16" t="s">
        <v>140</v>
      </c>
      <c r="C36" s="16" t="s">
        <v>141</v>
      </c>
      <c r="D36" s="22"/>
      <c r="E36" s="16" t="s">
        <v>142</v>
      </c>
      <c r="F36" s="13">
        <v>2006</v>
      </c>
      <c r="G36" s="13">
        <v>2014</v>
      </c>
      <c r="H36" s="13">
        <v>0</v>
      </c>
      <c r="I36" s="13">
        <v>7.4</v>
      </c>
      <c r="J36" s="23">
        <v>1</v>
      </c>
      <c r="K36" s="13">
        <v>7.4</v>
      </c>
      <c r="L36" s="13">
        <v>0</v>
      </c>
      <c r="M36" s="13">
        <v>0</v>
      </c>
      <c r="N36" s="13">
        <v>10</v>
      </c>
      <c r="O36" s="16"/>
      <c r="P36" s="16" t="s">
        <v>73</v>
      </c>
      <c r="Q36" s="24">
        <v>452000</v>
      </c>
      <c r="R36" s="16" t="s">
        <v>143</v>
      </c>
      <c r="S36" s="13">
        <v>2010</v>
      </c>
      <c r="T36" s="13">
        <v>7.92E-3</v>
      </c>
      <c r="U36" s="13">
        <f t="shared" si="0"/>
        <v>3579.84</v>
      </c>
      <c r="V36" s="25">
        <f t="shared" si="1"/>
        <v>483.76216216216216</v>
      </c>
      <c r="W36" s="15">
        <f t="shared" si="2"/>
        <v>0</v>
      </c>
      <c r="X36" s="15">
        <f t="shared" si="3"/>
        <v>0</v>
      </c>
      <c r="Y36" s="15">
        <f t="shared" si="4"/>
        <v>0</v>
      </c>
      <c r="Z36" s="13">
        <f t="shared" si="5"/>
        <v>0</v>
      </c>
      <c r="AA36" s="16">
        <f>VLOOKUP(S36,[1]CPI!$A$2:$D$67,4,0)</f>
        <v>1.2426624353377114</v>
      </c>
      <c r="AB36" s="17">
        <f t="shared" si="6"/>
        <v>4448.5326925193531</v>
      </c>
      <c r="AC36" s="17">
        <f t="shared" si="7"/>
        <v>601.15306655666927</v>
      </c>
      <c r="AD36" s="16" t="s">
        <v>35</v>
      </c>
      <c r="AE36" s="29" t="s">
        <v>144</v>
      </c>
      <c r="AF36" s="19"/>
      <c r="AG36" s="19"/>
      <c r="AH36" s="19"/>
      <c r="AI36" s="19"/>
      <c r="AJ36" s="20"/>
      <c r="AK36" s="20"/>
      <c r="AL36" s="20"/>
      <c r="AM36" s="20"/>
      <c r="AN36" s="20"/>
      <c r="AO36" s="20"/>
      <c r="AP36" s="20"/>
      <c r="AQ36" s="20"/>
    </row>
    <row r="37" spans="1:43" ht="15.75" customHeight="1" x14ac:dyDescent="0.2">
      <c r="A37" s="21">
        <v>7203</v>
      </c>
      <c r="B37" s="16" t="s">
        <v>145</v>
      </c>
      <c r="C37" s="16" t="s">
        <v>146</v>
      </c>
      <c r="D37" s="22"/>
      <c r="E37" s="16" t="s">
        <v>103</v>
      </c>
      <c r="F37" s="13">
        <v>2021</v>
      </c>
      <c r="G37" s="13">
        <v>2025</v>
      </c>
      <c r="H37" s="13">
        <v>0</v>
      </c>
      <c r="I37" s="13">
        <v>27</v>
      </c>
      <c r="J37" s="23">
        <v>0.6</v>
      </c>
      <c r="K37" s="13">
        <v>16.2</v>
      </c>
      <c r="L37" s="13">
        <v>0</v>
      </c>
      <c r="M37" s="13">
        <v>0</v>
      </c>
      <c r="N37" s="13">
        <v>21</v>
      </c>
      <c r="O37" s="16"/>
      <c r="P37" s="16" t="s">
        <v>35</v>
      </c>
      <c r="Q37" s="24">
        <v>2670</v>
      </c>
      <c r="R37" s="16" t="s">
        <v>36</v>
      </c>
      <c r="S37" s="13">
        <v>2016</v>
      </c>
      <c r="T37" s="13">
        <v>1.3</v>
      </c>
      <c r="U37" s="13">
        <f t="shared" si="0"/>
        <v>3471</v>
      </c>
      <c r="V37" s="25">
        <f t="shared" si="1"/>
        <v>128.55555555555554</v>
      </c>
      <c r="W37" s="15">
        <f t="shared" si="2"/>
        <v>0</v>
      </c>
      <c r="X37" s="15">
        <f t="shared" si="3"/>
        <v>0</v>
      </c>
      <c r="Y37" s="15">
        <f t="shared" si="4"/>
        <v>0</v>
      </c>
      <c r="Z37" s="13">
        <f t="shared" si="5"/>
        <v>0</v>
      </c>
      <c r="AA37" s="16">
        <f>VLOOKUP(S37,[1]CPI!$A$2:$D$67,4,0)</f>
        <v>1.1290087372451638</v>
      </c>
      <c r="AB37" s="17">
        <f t="shared" si="6"/>
        <v>3918.7893269779638</v>
      </c>
      <c r="AC37" s="17">
        <f t="shared" si="7"/>
        <v>145.14034544362826</v>
      </c>
      <c r="AD37" s="16" t="s">
        <v>35</v>
      </c>
      <c r="AE37" s="29" t="s">
        <v>147</v>
      </c>
      <c r="AF37" s="19"/>
      <c r="AG37" s="19"/>
      <c r="AH37" s="19"/>
      <c r="AI37" s="19"/>
      <c r="AJ37" s="20"/>
      <c r="AK37" s="20"/>
      <c r="AL37" s="20"/>
      <c r="AM37" s="20"/>
      <c r="AN37" s="20"/>
      <c r="AO37" s="20"/>
      <c r="AP37" s="20"/>
      <c r="AQ37" s="20"/>
    </row>
    <row r="38" spans="1:43" ht="15.75" customHeight="1" x14ac:dyDescent="0.2">
      <c r="A38" s="21">
        <v>7208</v>
      </c>
      <c r="B38" s="16" t="s">
        <v>148</v>
      </c>
      <c r="C38" s="16" t="s">
        <v>149</v>
      </c>
      <c r="D38" s="16" t="s">
        <v>92</v>
      </c>
      <c r="E38" s="16" t="s">
        <v>150</v>
      </c>
      <c r="F38" s="13">
        <v>2000</v>
      </c>
      <c r="G38" s="13">
        <v>2011</v>
      </c>
      <c r="H38" s="13">
        <v>0</v>
      </c>
      <c r="I38" s="13">
        <v>13.2</v>
      </c>
      <c r="J38" s="23">
        <v>1</v>
      </c>
      <c r="K38" s="13">
        <v>13.2</v>
      </c>
      <c r="L38" s="13">
        <v>0</v>
      </c>
      <c r="M38" s="13">
        <v>0</v>
      </c>
      <c r="N38" s="13">
        <v>21</v>
      </c>
      <c r="O38" s="42">
        <v>55</v>
      </c>
      <c r="P38" s="42" t="s">
        <v>151</v>
      </c>
      <c r="Q38" s="43">
        <v>1138</v>
      </c>
      <c r="R38" s="16" t="s">
        <v>36</v>
      </c>
      <c r="S38" s="13">
        <v>2005</v>
      </c>
      <c r="T38" s="13">
        <v>1.25</v>
      </c>
      <c r="U38" s="13">
        <f t="shared" si="0"/>
        <v>1422.5</v>
      </c>
      <c r="V38" s="25">
        <f t="shared" si="1"/>
        <v>107.76515151515152</v>
      </c>
      <c r="W38" s="15">
        <f t="shared" si="2"/>
        <v>1</v>
      </c>
      <c r="X38" s="15">
        <f t="shared" si="3"/>
        <v>13.2</v>
      </c>
      <c r="Y38" s="15">
        <f t="shared" si="4"/>
        <v>13.2</v>
      </c>
      <c r="Z38" s="13">
        <f t="shared" si="5"/>
        <v>0</v>
      </c>
      <c r="AA38" s="16">
        <f>VLOOKUP(S38,[1]CPI!$A$2:$D$67,4,0)</f>
        <v>1.3874551971326166</v>
      </c>
      <c r="AB38" s="17">
        <f t="shared" si="6"/>
        <v>1973.655017921147</v>
      </c>
      <c r="AC38" s="17">
        <f t="shared" si="7"/>
        <v>149.51931953948085</v>
      </c>
      <c r="AD38" s="16" t="s">
        <v>35</v>
      </c>
      <c r="AE38" s="26" t="s">
        <v>152</v>
      </c>
      <c r="AF38" s="19"/>
      <c r="AG38" s="19"/>
      <c r="AH38" s="19"/>
      <c r="AI38" s="19"/>
      <c r="AJ38" s="20"/>
      <c r="AK38" s="20"/>
      <c r="AL38" s="20"/>
      <c r="AM38" s="20"/>
      <c r="AN38" s="20"/>
      <c r="AO38" s="20"/>
      <c r="AP38" s="20"/>
      <c r="AQ38" s="20"/>
    </row>
    <row r="39" spans="1:43" ht="15.75" customHeight="1" x14ac:dyDescent="0.2">
      <c r="A39" s="21">
        <v>7209</v>
      </c>
      <c r="B39" s="16" t="s">
        <v>148</v>
      </c>
      <c r="C39" s="16" t="s">
        <v>149</v>
      </c>
      <c r="D39" s="16" t="s">
        <v>92</v>
      </c>
      <c r="E39" s="16" t="s">
        <v>153</v>
      </c>
      <c r="F39" s="13">
        <v>2012</v>
      </c>
      <c r="G39" s="13">
        <v>2021</v>
      </c>
      <c r="H39" s="13">
        <v>0</v>
      </c>
      <c r="I39" s="13">
        <v>1.9</v>
      </c>
      <c r="J39" s="23">
        <v>1</v>
      </c>
      <c r="K39" s="13">
        <v>1.9</v>
      </c>
      <c r="L39" s="13">
        <v>0</v>
      </c>
      <c r="M39" s="13">
        <v>0</v>
      </c>
      <c r="N39" s="13">
        <v>2</v>
      </c>
      <c r="O39" s="42">
        <v>55</v>
      </c>
      <c r="P39" s="42" t="s">
        <v>151</v>
      </c>
      <c r="Q39" s="43">
        <v>189</v>
      </c>
      <c r="R39" s="16" t="s">
        <v>36</v>
      </c>
      <c r="S39" s="13">
        <v>2016</v>
      </c>
      <c r="T39" s="13">
        <v>1.3</v>
      </c>
      <c r="U39" s="13">
        <f t="shared" si="0"/>
        <v>245.70000000000002</v>
      </c>
      <c r="V39" s="25">
        <f t="shared" si="1"/>
        <v>129.31578947368422</v>
      </c>
      <c r="W39" s="15">
        <f t="shared" si="2"/>
        <v>1</v>
      </c>
      <c r="X39" s="15">
        <f t="shared" si="3"/>
        <v>1.9</v>
      </c>
      <c r="Y39" s="15">
        <f t="shared" si="4"/>
        <v>1.9</v>
      </c>
      <c r="Z39" s="13">
        <f t="shared" si="5"/>
        <v>0</v>
      </c>
      <c r="AA39" s="16">
        <f>VLOOKUP(S39,[1]CPI!$A$2:$D$67,4,0)</f>
        <v>1.1290087372451638</v>
      </c>
      <c r="AB39" s="17">
        <f t="shared" si="6"/>
        <v>277.39744674113678</v>
      </c>
      <c r="AC39" s="17">
        <f t="shared" si="7"/>
        <v>145.99865617954566</v>
      </c>
      <c r="AD39" s="16" t="s">
        <v>35</v>
      </c>
      <c r="AE39" s="26" t="s">
        <v>152</v>
      </c>
      <c r="AF39" s="19"/>
      <c r="AG39" s="19"/>
      <c r="AH39" s="19"/>
      <c r="AI39" s="19"/>
      <c r="AJ39" s="20"/>
      <c r="AK39" s="20"/>
      <c r="AL39" s="20"/>
      <c r="AM39" s="20"/>
      <c r="AN39" s="20"/>
      <c r="AO39" s="20"/>
      <c r="AP39" s="20"/>
      <c r="AQ39" s="20"/>
    </row>
    <row r="40" spans="1:43" ht="15.75" customHeight="1" x14ac:dyDescent="0.2">
      <c r="A40" s="21">
        <v>7210</v>
      </c>
      <c r="B40" s="16" t="s">
        <v>148</v>
      </c>
      <c r="C40" s="16" t="s">
        <v>149</v>
      </c>
      <c r="D40" s="16" t="s">
        <v>92</v>
      </c>
      <c r="E40" s="16" t="s">
        <v>154</v>
      </c>
      <c r="F40" s="13">
        <v>2018</v>
      </c>
      <c r="G40" s="13">
        <v>2024</v>
      </c>
      <c r="H40" s="13">
        <v>0</v>
      </c>
      <c r="I40" s="13">
        <v>3.4</v>
      </c>
      <c r="J40" s="23">
        <v>1</v>
      </c>
      <c r="K40" s="13">
        <v>3.4</v>
      </c>
      <c r="L40" s="13">
        <v>0</v>
      </c>
      <c r="M40" s="13">
        <v>0</v>
      </c>
      <c r="N40" s="13">
        <v>4</v>
      </c>
      <c r="O40" s="42">
        <v>55</v>
      </c>
      <c r="P40" s="42" t="s">
        <v>151</v>
      </c>
      <c r="Q40" s="43">
        <v>340</v>
      </c>
      <c r="R40" s="16" t="s">
        <v>36</v>
      </c>
      <c r="S40" s="13">
        <v>2020</v>
      </c>
      <c r="T40" s="13">
        <v>1.3</v>
      </c>
      <c r="U40" s="13">
        <f t="shared" si="0"/>
        <v>442</v>
      </c>
      <c r="V40" s="25">
        <f t="shared" si="1"/>
        <v>130</v>
      </c>
      <c r="W40" s="15">
        <f t="shared" si="2"/>
        <v>1</v>
      </c>
      <c r="X40" s="15">
        <f t="shared" si="3"/>
        <v>3.4</v>
      </c>
      <c r="Y40" s="15">
        <f t="shared" si="4"/>
        <v>3.4</v>
      </c>
      <c r="Z40" s="13">
        <f t="shared" si="5"/>
        <v>0</v>
      </c>
      <c r="AA40" s="16">
        <f>VLOOKUP(S40,[1]CPI!$A$2:$D$67,4,0)</f>
        <v>1.0469802288156225</v>
      </c>
      <c r="AB40" s="17">
        <f t="shared" si="6"/>
        <v>462.76526113650516</v>
      </c>
      <c r="AC40" s="17">
        <f t="shared" si="7"/>
        <v>136.10742974603093</v>
      </c>
      <c r="AD40" s="16" t="s">
        <v>35</v>
      </c>
      <c r="AE40" s="29" t="s">
        <v>152</v>
      </c>
      <c r="AF40" s="19"/>
      <c r="AG40" s="19"/>
      <c r="AH40" s="19"/>
      <c r="AI40" s="19"/>
      <c r="AJ40" s="20"/>
      <c r="AK40" s="20"/>
      <c r="AL40" s="20"/>
      <c r="AM40" s="20"/>
      <c r="AN40" s="20"/>
      <c r="AO40" s="20"/>
      <c r="AP40" s="20"/>
      <c r="AQ40" s="20"/>
    </row>
    <row r="41" spans="1:43" ht="15.75" customHeight="1" x14ac:dyDescent="0.2">
      <c r="A41" s="21">
        <v>7211</v>
      </c>
      <c r="B41" s="16" t="s">
        <v>155</v>
      </c>
      <c r="C41" s="16" t="s">
        <v>156</v>
      </c>
      <c r="D41" s="22" t="s">
        <v>157</v>
      </c>
      <c r="E41" s="16" t="s">
        <v>158</v>
      </c>
      <c r="F41" s="13">
        <v>2009</v>
      </c>
      <c r="G41" s="13">
        <v>2017</v>
      </c>
      <c r="H41" s="13">
        <v>0</v>
      </c>
      <c r="I41" s="13">
        <v>13.5</v>
      </c>
      <c r="J41" s="23">
        <v>1</v>
      </c>
      <c r="K41" s="13">
        <v>13.5</v>
      </c>
      <c r="L41" s="13">
        <v>0</v>
      </c>
      <c r="M41" s="13">
        <v>0</v>
      </c>
      <c r="N41" s="13">
        <v>8</v>
      </c>
      <c r="O41" s="16">
        <v>135</v>
      </c>
      <c r="P41" s="16" t="s">
        <v>94</v>
      </c>
      <c r="Q41" s="24">
        <v>1171</v>
      </c>
      <c r="R41" s="16" t="s">
        <v>36</v>
      </c>
      <c r="S41" s="13">
        <v>2013</v>
      </c>
      <c r="T41" s="13">
        <v>1.3</v>
      </c>
      <c r="U41" s="13">
        <f t="shared" si="0"/>
        <v>1522.3</v>
      </c>
      <c r="V41" s="25">
        <f t="shared" si="1"/>
        <v>112.76296296296296</v>
      </c>
      <c r="W41" s="15">
        <f t="shared" si="2"/>
        <v>1</v>
      </c>
      <c r="X41" s="15">
        <f t="shared" si="3"/>
        <v>13.5</v>
      </c>
      <c r="Y41" s="15">
        <f t="shared" si="4"/>
        <v>13.5</v>
      </c>
      <c r="Z41" s="13">
        <f t="shared" si="5"/>
        <v>0</v>
      </c>
      <c r="AA41" s="16">
        <f>VLOOKUP(S41,[1]CPI!$A$2:$D$67,4,0)</f>
        <v>1.16317603677932</v>
      </c>
      <c r="AB41" s="17">
        <f t="shared" si="6"/>
        <v>1770.7028807891588</v>
      </c>
      <c r="AC41" s="17">
        <f t="shared" si="7"/>
        <v>131.16317635475249</v>
      </c>
      <c r="AD41" s="16" t="s">
        <v>35</v>
      </c>
      <c r="AE41" s="29" t="s">
        <v>159</v>
      </c>
      <c r="AF41" s="19"/>
      <c r="AG41" s="19"/>
      <c r="AH41" s="19"/>
      <c r="AI41" s="19"/>
      <c r="AJ41" s="20"/>
      <c r="AK41" s="20"/>
      <c r="AL41" s="20"/>
      <c r="AM41" s="20"/>
      <c r="AN41" s="20"/>
      <c r="AO41" s="20"/>
      <c r="AP41" s="20"/>
      <c r="AQ41" s="20"/>
    </row>
    <row r="42" spans="1:43" ht="15.75" customHeight="1" x14ac:dyDescent="0.2">
      <c r="A42" s="21">
        <v>7212</v>
      </c>
      <c r="B42" s="16" t="s">
        <v>155</v>
      </c>
      <c r="C42" s="16" t="s">
        <v>156</v>
      </c>
      <c r="D42" s="22" t="s">
        <v>157</v>
      </c>
      <c r="E42" s="16" t="s">
        <v>160</v>
      </c>
      <c r="F42" s="13">
        <v>2014</v>
      </c>
      <c r="G42" s="13">
        <v>2023</v>
      </c>
      <c r="H42" s="13">
        <v>0</v>
      </c>
      <c r="I42" s="13">
        <v>7</v>
      </c>
      <c r="J42" s="23">
        <v>1</v>
      </c>
      <c r="K42" s="13">
        <v>7</v>
      </c>
      <c r="L42" s="13">
        <v>0</v>
      </c>
      <c r="M42" s="13">
        <v>0</v>
      </c>
      <c r="N42" s="13">
        <v>5</v>
      </c>
      <c r="O42" s="16">
        <v>90</v>
      </c>
      <c r="P42" s="16" t="s">
        <v>35</v>
      </c>
      <c r="Q42" s="24">
        <v>1159</v>
      </c>
      <c r="R42" s="16" t="s">
        <v>36</v>
      </c>
      <c r="S42" s="13">
        <v>2018</v>
      </c>
      <c r="T42" s="13">
        <v>1.35</v>
      </c>
      <c r="U42" s="13">
        <f t="shared" si="0"/>
        <v>1564.65</v>
      </c>
      <c r="V42" s="25">
        <f t="shared" si="1"/>
        <v>223.52142857142857</v>
      </c>
      <c r="W42" s="15">
        <f t="shared" si="2"/>
        <v>1</v>
      </c>
      <c r="X42" s="15">
        <f t="shared" si="3"/>
        <v>7</v>
      </c>
      <c r="Y42" s="15">
        <f t="shared" si="4"/>
        <v>7</v>
      </c>
      <c r="Z42" s="13">
        <f t="shared" si="5"/>
        <v>0</v>
      </c>
      <c r="AA42" s="16">
        <f>VLOOKUP(S42,[1]CPI!$A$2:$D$67,4,0)</f>
        <v>1.0791017375063221</v>
      </c>
      <c r="AB42" s="17">
        <f t="shared" si="6"/>
        <v>1688.4165335892669</v>
      </c>
      <c r="AC42" s="17">
        <f t="shared" si="7"/>
        <v>241.20236194132383</v>
      </c>
      <c r="AD42" s="16" t="s">
        <v>35</v>
      </c>
      <c r="AE42" s="29" t="s">
        <v>159</v>
      </c>
      <c r="AF42" s="19"/>
      <c r="AG42" s="19"/>
      <c r="AH42" s="19"/>
      <c r="AI42" s="19"/>
      <c r="AJ42" s="20"/>
      <c r="AK42" s="20"/>
      <c r="AL42" s="20"/>
      <c r="AM42" s="20"/>
      <c r="AN42" s="20"/>
      <c r="AO42" s="20"/>
      <c r="AP42" s="20"/>
      <c r="AQ42" s="20"/>
    </row>
    <row r="43" spans="1:43" ht="15.75" customHeight="1" x14ac:dyDescent="0.2">
      <c r="A43" s="21">
        <v>7216</v>
      </c>
      <c r="B43" s="16" t="s">
        <v>155</v>
      </c>
      <c r="C43" s="16" t="s">
        <v>156</v>
      </c>
      <c r="D43" s="22"/>
      <c r="E43" s="16" t="s">
        <v>161</v>
      </c>
      <c r="F43" s="13">
        <v>2009</v>
      </c>
      <c r="G43" s="13">
        <v>2015</v>
      </c>
      <c r="H43" s="13">
        <v>1</v>
      </c>
      <c r="I43" s="13">
        <v>18</v>
      </c>
      <c r="J43" s="23">
        <v>0.44</v>
      </c>
      <c r="K43" s="13">
        <v>8</v>
      </c>
      <c r="L43" s="13">
        <v>0</v>
      </c>
      <c r="M43" s="13">
        <v>0</v>
      </c>
      <c r="N43" s="13">
        <v>5</v>
      </c>
      <c r="O43" s="16"/>
      <c r="P43" s="16" t="s">
        <v>35</v>
      </c>
      <c r="Q43" s="24">
        <v>773.8</v>
      </c>
      <c r="R43" s="16" t="s">
        <v>36</v>
      </c>
      <c r="S43" s="13">
        <v>2012</v>
      </c>
      <c r="T43" s="13">
        <v>1.3</v>
      </c>
      <c r="U43" s="13">
        <f t="shared" si="0"/>
        <v>1005.9399999999999</v>
      </c>
      <c r="V43" s="25">
        <f t="shared" si="1"/>
        <v>55.885555555555555</v>
      </c>
      <c r="W43" s="15">
        <f t="shared" si="2"/>
        <v>1</v>
      </c>
      <c r="X43" s="15">
        <f t="shared" si="3"/>
        <v>18</v>
      </c>
      <c r="Y43" s="15">
        <f t="shared" si="4"/>
        <v>8</v>
      </c>
      <c r="Z43" s="13">
        <f t="shared" si="5"/>
        <v>0</v>
      </c>
      <c r="AA43" s="16">
        <f>VLOOKUP(S43,[1]CPI!$A$2:$D$67,4,0)</f>
        <v>1.1802137686524912</v>
      </c>
      <c r="AB43" s="17">
        <f t="shared" si="6"/>
        <v>1187.2242384382869</v>
      </c>
      <c r="AC43" s="17">
        <f t="shared" si="7"/>
        <v>65.956902135460382</v>
      </c>
      <c r="AD43" s="16" t="s">
        <v>35</v>
      </c>
      <c r="AE43" s="29" t="s">
        <v>162</v>
      </c>
      <c r="AF43" s="19"/>
      <c r="AG43" s="19"/>
      <c r="AH43" s="19"/>
      <c r="AI43" s="19"/>
      <c r="AJ43" s="20"/>
      <c r="AK43" s="20"/>
      <c r="AL43" s="20"/>
      <c r="AM43" s="20"/>
      <c r="AN43" s="20"/>
      <c r="AO43" s="20"/>
      <c r="AP43" s="20"/>
      <c r="AQ43" s="20"/>
    </row>
    <row r="44" spans="1:43" ht="15.75" customHeight="1" x14ac:dyDescent="0.2">
      <c r="A44" s="21">
        <v>7217</v>
      </c>
      <c r="B44" s="16" t="s">
        <v>163</v>
      </c>
      <c r="C44" s="16" t="s">
        <v>164</v>
      </c>
      <c r="D44" s="22"/>
      <c r="E44" s="16" t="s">
        <v>165</v>
      </c>
      <c r="F44" s="13">
        <v>2020</v>
      </c>
      <c r="G44" s="13">
        <v>2030</v>
      </c>
      <c r="H44" s="13">
        <v>0</v>
      </c>
      <c r="I44" s="13">
        <v>4.0999999999999996</v>
      </c>
      <c r="J44" s="23">
        <v>1</v>
      </c>
      <c r="K44" s="13">
        <v>4.0999999999999996</v>
      </c>
      <c r="L44" s="13">
        <v>0</v>
      </c>
      <c r="M44" s="13">
        <v>0</v>
      </c>
      <c r="N44" s="13">
        <v>2</v>
      </c>
      <c r="O44" s="16">
        <v>140</v>
      </c>
      <c r="P44" s="16" t="s">
        <v>35</v>
      </c>
      <c r="Q44" s="24">
        <v>5643</v>
      </c>
      <c r="R44" s="16" t="s">
        <v>166</v>
      </c>
      <c r="S44" s="13">
        <v>2016</v>
      </c>
      <c r="T44" s="13">
        <v>0.113</v>
      </c>
      <c r="U44" s="13">
        <f t="shared" si="0"/>
        <v>637.65899999999999</v>
      </c>
      <c r="V44" s="25">
        <f t="shared" si="1"/>
        <v>155.52658536585366</v>
      </c>
      <c r="W44" s="15">
        <f t="shared" si="2"/>
        <v>1</v>
      </c>
      <c r="X44" s="15">
        <f t="shared" si="3"/>
        <v>4.0999999999999996</v>
      </c>
      <c r="Y44" s="15">
        <f t="shared" si="4"/>
        <v>4.0999999999999996</v>
      </c>
      <c r="Z44" s="13">
        <f t="shared" si="5"/>
        <v>0</v>
      </c>
      <c r="AA44" s="16">
        <f>VLOOKUP(S44,[1]CPI!$A$2:$D$67,4,0)</f>
        <v>1.1290087372451638</v>
      </c>
      <c r="AB44" s="17">
        <f t="shared" si="6"/>
        <v>719.92258238301395</v>
      </c>
      <c r="AC44" s="17">
        <f t="shared" si="7"/>
        <v>175.59087375195463</v>
      </c>
      <c r="AD44" s="16" t="s">
        <v>35</v>
      </c>
      <c r="AE44" s="29" t="s">
        <v>167</v>
      </c>
      <c r="AF44" s="19"/>
      <c r="AG44" s="19"/>
      <c r="AH44" s="19"/>
      <c r="AI44" s="19"/>
      <c r="AJ44" s="20"/>
      <c r="AK44" s="20"/>
      <c r="AL44" s="20"/>
      <c r="AM44" s="20"/>
      <c r="AN44" s="20"/>
      <c r="AO44" s="20"/>
      <c r="AP44" s="20"/>
      <c r="AQ44" s="20"/>
    </row>
    <row r="45" spans="1:43" ht="15.75" customHeight="1" x14ac:dyDescent="0.2">
      <c r="A45" s="21">
        <v>7218</v>
      </c>
      <c r="B45" s="16" t="s">
        <v>163</v>
      </c>
      <c r="C45" s="16" t="s">
        <v>164</v>
      </c>
      <c r="D45" s="22"/>
      <c r="E45" s="16" t="s">
        <v>168</v>
      </c>
      <c r="F45" s="13">
        <v>2020</v>
      </c>
      <c r="G45" s="13">
        <v>2030</v>
      </c>
      <c r="H45" s="13">
        <v>0</v>
      </c>
      <c r="I45" s="13">
        <v>11.5</v>
      </c>
      <c r="J45" s="23">
        <v>1</v>
      </c>
      <c r="K45" s="13">
        <v>11.5</v>
      </c>
      <c r="L45" s="13">
        <v>0</v>
      </c>
      <c r="M45" s="13">
        <v>0</v>
      </c>
      <c r="N45" s="13">
        <v>6</v>
      </c>
      <c r="O45" s="16">
        <v>140</v>
      </c>
      <c r="P45" s="16" t="s">
        <v>35</v>
      </c>
      <c r="Q45" s="24">
        <v>20884</v>
      </c>
      <c r="R45" s="16" t="s">
        <v>166</v>
      </c>
      <c r="S45" s="13">
        <v>2016</v>
      </c>
      <c r="T45" s="13">
        <v>0.113</v>
      </c>
      <c r="U45" s="13">
        <f t="shared" si="0"/>
        <v>2359.8920000000003</v>
      </c>
      <c r="V45" s="25">
        <f t="shared" si="1"/>
        <v>205.20800000000003</v>
      </c>
      <c r="W45" s="15">
        <f t="shared" si="2"/>
        <v>1</v>
      </c>
      <c r="X45" s="15">
        <f t="shared" si="3"/>
        <v>11.5</v>
      </c>
      <c r="Y45" s="15">
        <f t="shared" si="4"/>
        <v>11.5</v>
      </c>
      <c r="Z45" s="13">
        <f t="shared" si="5"/>
        <v>0</v>
      </c>
      <c r="AA45" s="16">
        <f>VLOOKUP(S45,[1]CPI!$A$2:$D$67,4,0)</f>
        <v>1.1290087372451638</v>
      </c>
      <c r="AB45" s="17">
        <f t="shared" si="6"/>
        <v>2664.3386869549645</v>
      </c>
      <c r="AC45" s="17">
        <f t="shared" si="7"/>
        <v>231.6816249526056</v>
      </c>
      <c r="AD45" s="16" t="s">
        <v>35</v>
      </c>
      <c r="AE45" s="29" t="s">
        <v>167</v>
      </c>
      <c r="AF45" s="19"/>
      <c r="AG45" s="19"/>
      <c r="AH45" s="19"/>
      <c r="AI45" s="19"/>
      <c r="AJ45" s="20"/>
      <c r="AK45" s="20"/>
      <c r="AL45" s="20"/>
      <c r="AM45" s="20"/>
      <c r="AN45" s="20"/>
      <c r="AO45" s="20"/>
      <c r="AP45" s="20"/>
      <c r="AQ45" s="20"/>
    </row>
    <row r="46" spans="1:43" ht="15.75" customHeight="1" x14ac:dyDescent="0.2">
      <c r="A46" s="21">
        <v>7219</v>
      </c>
      <c r="B46" s="16" t="s">
        <v>163</v>
      </c>
      <c r="C46" s="16" t="s">
        <v>164</v>
      </c>
      <c r="D46" s="22"/>
      <c r="E46" s="16" t="s">
        <v>169</v>
      </c>
      <c r="F46" s="13">
        <v>2020</v>
      </c>
      <c r="G46" s="13">
        <v>2026</v>
      </c>
      <c r="H46" s="13">
        <v>0</v>
      </c>
      <c r="I46" s="13">
        <v>3.3</v>
      </c>
      <c r="J46" s="23">
        <v>1</v>
      </c>
      <c r="K46" s="13">
        <v>3.3</v>
      </c>
      <c r="L46" s="13">
        <v>0</v>
      </c>
      <c r="M46" s="13">
        <v>0</v>
      </c>
      <c r="N46" s="13">
        <v>2</v>
      </c>
      <c r="O46" s="16">
        <v>140</v>
      </c>
      <c r="P46" s="16" t="s">
        <v>35</v>
      </c>
      <c r="Q46" s="24">
        <v>5286</v>
      </c>
      <c r="R46" s="16" t="s">
        <v>166</v>
      </c>
      <c r="S46" s="13">
        <v>2016</v>
      </c>
      <c r="T46" s="13">
        <v>0.113</v>
      </c>
      <c r="U46" s="13">
        <f t="shared" si="0"/>
        <v>597.31799999999998</v>
      </c>
      <c r="V46" s="25">
        <f t="shared" si="1"/>
        <v>181.00545454545454</v>
      </c>
      <c r="W46" s="15">
        <f t="shared" si="2"/>
        <v>1</v>
      </c>
      <c r="X46" s="15">
        <f t="shared" si="3"/>
        <v>3.3</v>
      </c>
      <c r="Y46" s="15">
        <f t="shared" si="4"/>
        <v>3.3</v>
      </c>
      <c r="Z46" s="13">
        <f t="shared" si="5"/>
        <v>0</v>
      </c>
      <c r="AA46" s="16">
        <f>VLOOKUP(S46,[1]CPI!$A$2:$D$67,4,0)</f>
        <v>1.1290087372451638</v>
      </c>
      <c r="AB46" s="17">
        <f t="shared" si="6"/>
        <v>674.37724091380676</v>
      </c>
      <c r="AC46" s="17">
        <f t="shared" si="7"/>
        <v>204.35673967085052</v>
      </c>
      <c r="AD46" s="16" t="s">
        <v>35</v>
      </c>
      <c r="AE46" s="29" t="s">
        <v>167</v>
      </c>
      <c r="AF46" s="19"/>
      <c r="AG46" s="19"/>
      <c r="AH46" s="19"/>
      <c r="AI46" s="19"/>
      <c r="AJ46" s="20"/>
      <c r="AK46" s="20"/>
      <c r="AL46" s="20"/>
      <c r="AM46" s="20"/>
      <c r="AN46" s="20"/>
      <c r="AO46" s="20"/>
      <c r="AP46" s="20"/>
      <c r="AQ46" s="20"/>
    </row>
    <row r="47" spans="1:43" ht="15.75" customHeight="1" x14ac:dyDescent="0.2">
      <c r="A47" s="21">
        <v>7224</v>
      </c>
      <c r="B47" s="16" t="s">
        <v>163</v>
      </c>
      <c r="C47" s="16" t="s">
        <v>164</v>
      </c>
      <c r="D47" s="22"/>
      <c r="E47" s="16" t="s">
        <v>170</v>
      </c>
      <c r="F47" s="13">
        <v>2007</v>
      </c>
      <c r="G47" s="13">
        <v>2017</v>
      </c>
      <c r="H47" s="13">
        <v>1</v>
      </c>
      <c r="I47" s="13">
        <v>7.4</v>
      </c>
      <c r="J47" s="23">
        <v>0.81</v>
      </c>
      <c r="K47" s="13">
        <v>6</v>
      </c>
      <c r="L47" s="13">
        <v>0</v>
      </c>
      <c r="M47" s="13">
        <v>0</v>
      </c>
      <c r="N47" s="13">
        <v>2</v>
      </c>
      <c r="O47" s="16">
        <v>200</v>
      </c>
      <c r="P47" s="16" t="s">
        <v>35</v>
      </c>
      <c r="Q47" s="24">
        <v>16800</v>
      </c>
      <c r="R47" s="16" t="s">
        <v>166</v>
      </c>
      <c r="S47" s="13">
        <v>2007</v>
      </c>
      <c r="T47" s="13">
        <v>0.1125</v>
      </c>
      <c r="U47" s="13">
        <f t="shared" si="0"/>
        <v>1890</v>
      </c>
      <c r="V47" s="25">
        <f t="shared" si="1"/>
        <v>255.40540540540539</v>
      </c>
      <c r="W47" s="15">
        <f t="shared" si="2"/>
        <v>1</v>
      </c>
      <c r="X47" s="15">
        <f t="shared" si="3"/>
        <v>7.4</v>
      </c>
      <c r="Y47" s="15">
        <f t="shared" si="4"/>
        <v>6</v>
      </c>
      <c r="Z47" s="13">
        <f t="shared" si="5"/>
        <v>0</v>
      </c>
      <c r="AA47" s="16">
        <f>VLOOKUP(S47,[1]CPI!$A$2:$D$67,4,0)</f>
        <v>1.3068746322500988</v>
      </c>
      <c r="AB47" s="17">
        <f t="shared" si="6"/>
        <v>2469.9930549526866</v>
      </c>
      <c r="AC47" s="17">
        <f t="shared" si="7"/>
        <v>333.7828452638766</v>
      </c>
      <c r="AD47" s="16" t="s">
        <v>35</v>
      </c>
      <c r="AE47" s="29" t="s">
        <v>171</v>
      </c>
      <c r="AF47" s="19"/>
      <c r="AG47" s="19"/>
      <c r="AH47" s="19"/>
      <c r="AI47" s="19"/>
      <c r="AJ47" s="20"/>
      <c r="AK47" s="20"/>
      <c r="AL47" s="20"/>
      <c r="AM47" s="20"/>
      <c r="AN47" s="20"/>
      <c r="AO47" s="20"/>
      <c r="AP47" s="20"/>
      <c r="AQ47" s="20"/>
    </row>
    <row r="48" spans="1:43" ht="15.75" customHeight="1" x14ac:dyDescent="0.2">
      <c r="A48" s="21">
        <v>7225</v>
      </c>
      <c r="B48" s="16" t="s">
        <v>163</v>
      </c>
      <c r="C48" s="16" t="s">
        <v>172</v>
      </c>
      <c r="D48" s="22"/>
      <c r="E48" s="16" t="s">
        <v>173</v>
      </c>
      <c r="F48" s="13">
        <v>2005</v>
      </c>
      <c r="G48" s="13">
        <v>2010</v>
      </c>
      <c r="H48" s="13">
        <v>1</v>
      </c>
      <c r="I48" s="13">
        <v>17</v>
      </c>
      <c r="J48" s="23">
        <v>0.35</v>
      </c>
      <c r="K48" s="13">
        <v>6</v>
      </c>
      <c r="L48" s="13">
        <v>0</v>
      </c>
      <c r="M48" s="13">
        <v>0</v>
      </c>
      <c r="N48" s="13">
        <v>3</v>
      </c>
      <c r="O48" s="16"/>
      <c r="P48" s="16" t="s">
        <v>73</v>
      </c>
      <c r="Q48" s="24">
        <v>8450</v>
      </c>
      <c r="R48" s="16" t="s">
        <v>166</v>
      </c>
      <c r="S48" s="13">
        <v>2001</v>
      </c>
      <c r="T48" s="13">
        <v>0.106</v>
      </c>
      <c r="U48" s="13">
        <f t="shared" si="0"/>
        <v>895.69999999999993</v>
      </c>
      <c r="V48" s="25">
        <f t="shared" si="1"/>
        <v>52.688235294117646</v>
      </c>
      <c r="W48" s="15">
        <f t="shared" si="2"/>
        <v>1</v>
      </c>
      <c r="X48" s="15">
        <f t="shared" si="3"/>
        <v>17</v>
      </c>
      <c r="Y48" s="15">
        <f t="shared" si="4"/>
        <v>6</v>
      </c>
      <c r="Z48" s="13">
        <f t="shared" si="5"/>
        <v>0</v>
      </c>
      <c r="AA48" s="16">
        <f>VLOOKUP(S48,[1]CPI!$A$2:$D$67,4,0)</f>
        <v>1.5300395256916999</v>
      </c>
      <c r="AB48" s="17">
        <f t="shared" si="6"/>
        <v>1370.4564031620555</v>
      </c>
      <c r="AC48" s="17">
        <f t="shared" si="7"/>
        <v>80.615082538944449</v>
      </c>
      <c r="AD48" s="16" t="s">
        <v>73</v>
      </c>
      <c r="AE48" s="29" t="s">
        <v>174</v>
      </c>
      <c r="AF48" s="19"/>
      <c r="AG48" s="19"/>
      <c r="AH48" s="19"/>
      <c r="AI48" s="19"/>
      <c r="AJ48" s="20"/>
      <c r="AK48" s="20"/>
      <c r="AL48" s="20"/>
      <c r="AM48" s="20"/>
      <c r="AN48" s="20"/>
      <c r="AO48" s="20"/>
      <c r="AP48" s="20"/>
      <c r="AQ48" s="20"/>
    </row>
    <row r="49" spans="1:43" ht="15.75" customHeight="1" x14ac:dyDescent="0.2">
      <c r="A49" s="21">
        <v>7226</v>
      </c>
      <c r="B49" s="16" t="s">
        <v>175</v>
      </c>
      <c r="C49" s="16" t="s">
        <v>176</v>
      </c>
      <c r="D49" s="22"/>
      <c r="E49" s="16" t="s">
        <v>177</v>
      </c>
      <c r="F49" s="13">
        <v>2015</v>
      </c>
      <c r="G49" s="13">
        <v>2021</v>
      </c>
      <c r="H49" s="13">
        <v>0</v>
      </c>
      <c r="I49" s="13">
        <v>3.2</v>
      </c>
      <c r="J49" s="23">
        <v>1</v>
      </c>
      <c r="K49" s="13">
        <v>3.2</v>
      </c>
      <c r="L49" s="13">
        <v>0</v>
      </c>
      <c r="M49" s="13">
        <v>0</v>
      </c>
      <c r="N49" s="13">
        <v>2</v>
      </c>
      <c r="O49" s="16"/>
      <c r="P49" s="16" t="s">
        <v>43</v>
      </c>
      <c r="Q49" s="24">
        <v>1200</v>
      </c>
      <c r="R49" s="16" t="s">
        <v>178</v>
      </c>
      <c r="S49" s="13">
        <v>2017</v>
      </c>
      <c r="T49" s="13">
        <v>1.47</v>
      </c>
      <c r="U49" s="13">
        <f t="shared" si="0"/>
        <v>1764</v>
      </c>
      <c r="V49" s="25">
        <f t="shared" si="1"/>
        <v>551.25</v>
      </c>
      <c r="W49" s="15">
        <f t="shared" si="2"/>
        <v>0</v>
      </c>
      <c r="X49" s="15">
        <f t="shared" si="3"/>
        <v>0</v>
      </c>
      <c r="Y49" s="15">
        <f t="shared" si="4"/>
        <v>0</v>
      </c>
      <c r="Z49" s="13">
        <f t="shared" si="5"/>
        <v>1</v>
      </c>
      <c r="AA49" s="16">
        <f>VLOOKUP(S49,[1]CPI!$A$2:$D$67,4,0)</f>
        <v>1.1054585509138382</v>
      </c>
      <c r="AB49" s="17">
        <f t="shared" si="6"/>
        <v>1950.0288838120105</v>
      </c>
      <c r="AC49" s="17">
        <f t="shared" si="7"/>
        <v>609.38402619125327</v>
      </c>
      <c r="AD49" s="16" t="s">
        <v>43</v>
      </c>
      <c r="AE49" s="26" t="s">
        <v>179</v>
      </c>
      <c r="AF49" s="9"/>
      <c r="AG49" s="9"/>
      <c r="AH49" s="9"/>
      <c r="AI49" s="9"/>
      <c r="AJ49" s="9"/>
      <c r="AK49" s="9"/>
      <c r="AL49" s="9"/>
      <c r="AM49" s="9"/>
      <c r="AN49" s="9"/>
      <c r="AO49" s="9"/>
      <c r="AP49" s="9"/>
      <c r="AQ49" s="9"/>
    </row>
    <row r="50" spans="1:43" ht="15.75" customHeight="1" x14ac:dyDescent="0.2">
      <c r="A50" s="21">
        <v>7227</v>
      </c>
      <c r="B50" s="16" t="s">
        <v>180</v>
      </c>
      <c r="C50" s="16" t="s">
        <v>181</v>
      </c>
      <c r="D50" s="22"/>
      <c r="E50" s="16" t="s">
        <v>182</v>
      </c>
      <c r="F50" s="13">
        <v>2008</v>
      </c>
      <c r="G50" s="13">
        <v>2012</v>
      </c>
      <c r="H50" s="13">
        <v>0</v>
      </c>
      <c r="I50" s="13">
        <v>24.5</v>
      </c>
      <c r="J50" s="23">
        <v>0.43</v>
      </c>
      <c r="K50" s="13">
        <v>10.5</v>
      </c>
      <c r="L50" s="13">
        <v>12.57</v>
      </c>
      <c r="M50" s="13">
        <v>1.395</v>
      </c>
      <c r="N50" s="13">
        <v>20</v>
      </c>
      <c r="O50" s="16"/>
      <c r="P50" s="16" t="s">
        <v>50</v>
      </c>
      <c r="Q50" s="24">
        <v>47906</v>
      </c>
      <c r="R50" s="16" t="s">
        <v>183</v>
      </c>
      <c r="S50" s="13">
        <v>2010</v>
      </c>
      <c r="T50" s="13">
        <v>0.13</v>
      </c>
      <c r="U50" s="13">
        <f t="shared" si="0"/>
        <v>6227.7800000000007</v>
      </c>
      <c r="V50" s="25">
        <f t="shared" si="1"/>
        <v>254.19510204081635</v>
      </c>
      <c r="W50" s="15">
        <f t="shared" si="2"/>
        <v>0</v>
      </c>
      <c r="X50" s="15">
        <f t="shared" si="3"/>
        <v>0</v>
      </c>
      <c r="Y50" s="15">
        <f t="shared" si="4"/>
        <v>0</v>
      </c>
      <c r="Z50" s="13">
        <f t="shared" si="5"/>
        <v>0</v>
      </c>
      <c r="AA50" s="16">
        <f>VLOOKUP(S50,[1]CPI!$A$2:$D$67,4,0)</f>
        <v>1.2426624353377114</v>
      </c>
      <c r="AB50" s="17">
        <f t="shared" si="6"/>
        <v>7739.0282615474925</v>
      </c>
      <c r="AC50" s="17">
        <f t="shared" si="7"/>
        <v>315.87870455295888</v>
      </c>
      <c r="AD50" s="16" t="s">
        <v>43</v>
      </c>
      <c r="AE50" s="29" t="s">
        <v>184</v>
      </c>
      <c r="AF50" s="19"/>
      <c r="AG50" s="19"/>
      <c r="AH50" s="19"/>
      <c r="AI50" s="19"/>
      <c r="AJ50" s="20"/>
      <c r="AK50" s="20"/>
      <c r="AL50" s="20"/>
      <c r="AM50" s="20"/>
      <c r="AN50" s="20"/>
      <c r="AO50" s="20"/>
      <c r="AP50" s="20"/>
      <c r="AQ50" s="20"/>
    </row>
    <row r="51" spans="1:43" ht="15.75" customHeight="1" x14ac:dyDescent="0.2">
      <c r="A51" s="21">
        <v>7232</v>
      </c>
      <c r="B51" s="16" t="s">
        <v>185</v>
      </c>
      <c r="C51" s="16" t="s">
        <v>186</v>
      </c>
      <c r="D51" s="22"/>
      <c r="E51" s="16" t="s">
        <v>187</v>
      </c>
      <c r="F51" s="13">
        <v>2021</v>
      </c>
      <c r="G51" s="13">
        <v>2028</v>
      </c>
      <c r="H51" s="13">
        <v>0</v>
      </c>
      <c r="I51" s="13">
        <v>13.3</v>
      </c>
      <c r="J51" s="23">
        <f>K51/I51</f>
        <v>0.21052631578947367</v>
      </c>
      <c r="K51" s="13">
        <v>2.8</v>
      </c>
      <c r="L51" s="13">
        <v>0</v>
      </c>
      <c r="M51" s="13">
        <v>0</v>
      </c>
      <c r="N51" s="13">
        <v>13</v>
      </c>
      <c r="O51" s="16"/>
      <c r="P51" s="16" t="s">
        <v>43</v>
      </c>
      <c r="Q51" s="24">
        <v>55530</v>
      </c>
      <c r="R51" s="16" t="s">
        <v>188</v>
      </c>
      <c r="S51" s="13">
        <v>2018</v>
      </c>
      <c r="T51" s="13">
        <v>6.8000000000000005E-2</v>
      </c>
      <c r="U51" s="13">
        <f t="shared" si="0"/>
        <v>3776.0400000000004</v>
      </c>
      <c r="V51" s="25">
        <f t="shared" si="1"/>
        <v>283.91278195488724</v>
      </c>
      <c r="W51" s="15">
        <f t="shared" si="2"/>
        <v>0</v>
      </c>
      <c r="X51" s="15">
        <f t="shared" si="3"/>
        <v>0</v>
      </c>
      <c r="Y51" s="15">
        <f t="shared" si="4"/>
        <v>0</v>
      </c>
      <c r="Z51" s="13">
        <f t="shared" si="5"/>
        <v>0</v>
      </c>
      <c r="AA51" s="16">
        <f>VLOOKUP(S51,[1]CPI!$A$2:$D$67,4,0)</f>
        <v>1.0791017375063221</v>
      </c>
      <c r="AB51" s="17">
        <f t="shared" si="6"/>
        <v>4074.7313248933729</v>
      </c>
      <c r="AC51" s="17">
        <f t="shared" si="7"/>
        <v>306.37077630777242</v>
      </c>
      <c r="AD51" s="16" t="s">
        <v>43</v>
      </c>
      <c r="AE51" s="26" t="s">
        <v>189</v>
      </c>
      <c r="AF51" s="19"/>
      <c r="AG51" s="19"/>
      <c r="AH51" s="19"/>
      <c r="AI51" s="19"/>
      <c r="AJ51" s="19"/>
      <c r="AK51" s="19"/>
      <c r="AL51" s="19"/>
      <c r="AM51" s="19"/>
      <c r="AN51" s="19"/>
      <c r="AO51" s="19"/>
      <c r="AP51" s="19"/>
      <c r="AQ51" s="19"/>
    </row>
    <row r="52" spans="1:43" ht="15.75" customHeight="1" x14ac:dyDescent="0.2">
      <c r="A52" s="21">
        <v>7233</v>
      </c>
      <c r="B52" s="16" t="s">
        <v>148</v>
      </c>
      <c r="C52" s="16" t="s">
        <v>190</v>
      </c>
      <c r="D52" s="22" t="s">
        <v>191</v>
      </c>
      <c r="E52" s="16" t="s">
        <v>192</v>
      </c>
      <c r="F52" s="13">
        <v>2007</v>
      </c>
      <c r="G52" s="13">
        <v>2013</v>
      </c>
      <c r="H52" s="13">
        <v>0</v>
      </c>
      <c r="I52" s="13">
        <v>6.1</v>
      </c>
      <c r="J52" s="23">
        <v>1</v>
      </c>
      <c r="K52" s="13">
        <v>6.1</v>
      </c>
      <c r="L52" s="13">
        <v>0</v>
      </c>
      <c r="M52" s="13">
        <v>0</v>
      </c>
      <c r="N52" s="13">
        <v>9</v>
      </c>
      <c r="O52" s="42">
        <v>50</v>
      </c>
      <c r="P52" s="42" t="s">
        <v>151</v>
      </c>
      <c r="Q52" s="43">
        <v>508</v>
      </c>
      <c r="R52" s="16" t="s">
        <v>36</v>
      </c>
      <c r="S52" s="13">
        <v>2010</v>
      </c>
      <c r="T52" s="13">
        <v>1.3</v>
      </c>
      <c r="U52" s="13">
        <f t="shared" si="0"/>
        <v>660.4</v>
      </c>
      <c r="V52" s="25">
        <f t="shared" si="1"/>
        <v>108.26229508196721</v>
      </c>
      <c r="W52" s="15">
        <f t="shared" si="2"/>
        <v>1</v>
      </c>
      <c r="X52" s="15">
        <f t="shared" si="3"/>
        <v>6.1</v>
      </c>
      <c r="Y52" s="15">
        <f t="shared" si="4"/>
        <v>6.1</v>
      </c>
      <c r="Z52" s="13">
        <f t="shared" si="5"/>
        <v>0</v>
      </c>
      <c r="AA52" s="16">
        <f>VLOOKUP(S52,[1]CPI!$A$2:$D$67,4,0)</f>
        <v>1.2426624353377114</v>
      </c>
      <c r="AB52" s="17">
        <f t="shared" si="6"/>
        <v>820.65427229702459</v>
      </c>
      <c r="AC52" s="17">
        <f t="shared" si="7"/>
        <v>134.53348726180729</v>
      </c>
      <c r="AD52" s="16" t="s">
        <v>73</v>
      </c>
      <c r="AE52" s="29" t="s">
        <v>193</v>
      </c>
      <c r="AF52" s="19"/>
      <c r="AG52" s="19"/>
      <c r="AH52" s="19"/>
      <c r="AI52" s="19"/>
      <c r="AJ52" s="20"/>
      <c r="AK52" s="20"/>
      <c r="AL52" s="20"/>
      <c r="AM52" s="20"/>
      <c r="AN52" s="20"/>
      <c r="AO52" s="20"/>
      <c r="AP52" s="20"/>
      <c r="AQ52" s="20"/>
    </row>
    <row r="53" spans="1:43" ht="15.75" customHeight="1" x14ac:dyDescent="0.2">
      <c r="A53" s="21">
        <v>7234</v>
      </c>
      <c r="B53" s="16" t="s">
        <v>148</v>
      </c>
      <c r="C53" s="16" t="s">
        <v>190</v>
      </c>
      <c r="D53" s="22" t="s">
        <v>191</v>
      </c>
      <c r="E53" s="16" t="s">
        <v>194</v>
      </c>
      <c r="F53" s="13">
        <v>2010</v>
      </c>
      <c r="G53" s="13">
        <v>2015</v>
      </c>
      <c r="H53" s="13">
        <v>0</v>
      </c>
      <c r="I53" s="13">
        <v>6.5</v>
      </c>
      <c r="J53" s="23">
        <v>1</v>
      </c>
      <c r="K53" s="13">
        <v>6.5</v>
      </c>
      <c r="L53" s="13">
        <v>0</v>
      </c>
      <c r="M53" s="13">
        <v>0</v>
      </c>
      <c r="N53" s="13">
        <v>10</v>
      </c>
      <c r="O53" s="42">
        <v>50</v>
      </c>
      <c r="P53" s="42" t="s">
        <v>151</v>
      </c>
      <c r="Q53" s="43">
        <v>751</v>
      </c>
      <c r="R53" s="16" t="s">
        <v>36</v>
      </c>
      <c r="S53" s="13">
        <v>2012</v>
      </c>
      <c r="T53" s="13">
        <v>1.3</v>
      </c>
      <c r="U53" s="13">
        <f t="shared" si="0"/>
        <v>976.30000000000007</v>
      </c>
      <c r="V53" s="25">
        <f t="shared" si="1"/>
        <v>150.20000000000002</v>
      </c>
      <c r="W53" s="15">
        <f t="shared" si="2"/>
        <v>1</v>
      </c>
      <c r="X53" s="15">
        <f t="shared" si="3"/>
        <v>6.5</v>
      </c>
      <c r="Y53" s="15">
        <f t="shared" si="4"/>
        <v>6.5</v>
      </c>
      <c r="Z53" s="13">
        <f t="shared" si="5"/>
        <v>0</v>
      </c>
      <c r="AA53" s="16">
        <f>VLOOKUP(S53,[1]CPI!$A$2:$D$67,4,0)</f>
        <v>1.1802137686524912</v>
      </c>
      <c r="AB53" s="17">
        <f t="shared" si="6"/>
        <v>1152.2427023354271</v>
      </c>
      <c r="AC53" s="17">
        <f t="shared" si="7"/>
        <v>177.2681080516042</v>
      </c>
      <c r="AD53" s="16" t="s">
        <v>35</v>
      </c>
      <c r="AE53" s="26" t="s">
        <v>195</v>
      </c>
      <c r="AF53" s="19"/>
      <c r="AG53" s="19"/>
      <c r="AH53" s="19"/>
      <c r="AI53" s="19"/>
      <c r="AJ53" s="20"/>
      <c r="AK53" s="20"/>
      <c r="AL53" s="20"/>
      <c r="AM53" s="20"/>
      <c r="AN53" s="20"/>
      <c r="AO53" s="20"/>
      <c r="AP53" s="20"/>
      <c r="AQ53" s="20"/>
    </row>
    <row r="54" spans="1:43" ht="15.75" customHeight="1" x14ac:dyDescent="0.2">
      <c r="A54" s="21">
        <v>7235</v>
      </c>
      <c r="B54" s="16" t="s">
        <v>148</v>
      </c>
      <c r="C54" s="16" t="s">
        <v>190</v>
      </c>
      <c r="D54" s="22"/>
      <c r="E54" s="16" t="s">
        <v>142</v>
      </c>
      <c r="F54" s="13">
        <v>2015</v>
      </c>
      <c r="G54" s="13">
        <v>2023</v>
      </c>
      <c r="H54" s="13">
        <v>0</v>
      </c>
      <c r="I54" s="13">
        <v>15.2</v>
      </c>
      <c r="J54" s="23">
        <v>1</v>
      </c>
      <c r="K54" s="13">
        <v>15.2</v>
      </c>
      <c r="L54" s="13">
        <v>0</v>
      </c>
      <c r="M54" s="13">
        <v>0</v>
      </c>
      <c r="N54" s="13">
        <v>21</v>
      </c>
      <c r="O54" s="42">
        <v>50</v>
      </c>
      <c r="P54" s="16" t="s">
        <v>50</v>
      </c>
      <c r="Q54" s="24">
        <v>1696.7</v>
      </c>
      <c r="R54" s="16" t="s">
        <v>36</v>
      </c>
      <c r="S54" s="13">
        <v>2019</v>
      </c>
      <c r="T54" s="13">
        <v>1.3</v>
      </c>
      <c r="U54" s="13">
        <f t="shared" si="0"/>
        <v>2205.71</v>
      </c>
      <c r="V54" s="25">
        <f t="shared" si="1"/>
        <v>145.11250000000001</v>
      </c>
      <c r="W54" s="15">
        <f t="shared" si="2"/>
        <v>1</v>
      </c>
      <c r="X54" s="15">
        <f t="shared" si="3"/>
        <v>15.2</v>
      </c>
      <c r="Y54" s="15">
        <f t="shared" si="4"/>
        <v>15.2</v>
      </c>
      <c r="Z54" s="13">
        <f t="shared" si="5"/>
        <v>0</v>
      </c>
      <c r="AA54" s="16">
        <f>VLOOKUP(S54,[1]CPI!$A$2:$D$67,4,0)</f>
        <v>1.0598966584134211</v>
      </c>
      <c r="AB54" s="17">
        <f t="shared" si="6"/>
        <v>2337.8246584290669</v>
      </c>
      <c r="AC54" s="17">
        <f t="shared" si="7"/>
        <v>153.80425384401758</v>
      </c>
      <c r="AD54" s="16" t="s">
        <v>35</v>
      </c>
      <c r="AE54" s="26" t="s">
        <v>196</v>
      </c>
      <c r="AF54" s="19"/>
      <c r="AG54" s="19"/>
      <c r="AH54" s="19"/>
      <c r="AI54" s="19"/>
      <c r="AJ54" s="20"/>
      <c r="AK54" s="20"/>
      <c r="AL54" s="20"/>
      <c r="AM54" s="20"/>
      <c r="AN54" s="20"/>
      <c r="AO54" s="20"/>
      <c r="AP54" s="20"/>
      <c r="AQ54" s="20"/>
    </row>
    <row r="55" spans="1:43" ht="15.75" customHeight="1" x14ac:dyDescent="0.2">
      <c r="A55" s="21">
        <v>7240</v>
      </c>
      <c r="B55" s="16" t="s">
        <v>145</v>
      </c>
      <c r="C55" s="16" t="s">
        <v>197</v>
      </c>
      <c r="D55" s="22"/>
      <c r="E55" s="16" t="s">
        <v>198</v>
      </c>
      <c r="F55" s="13">
        <v>2017</v>
      </c>
      <c r="G55" s="13">
        <v>2030</v>
      </c>
      <c r="H55" s="13">
        <v>0</v>
      </c>
      <c r="I55" s="13">
        <v>200</v>
      </c>
      <c r="J55" s="23">
        <v>0.8</v>
      </c>
      <c r="K55" s="13">
        <v>160</v>
      </c>
      <c r="L55" s="13">
        <v>0</v>
      </c>
      <c r="M55" s="13">
        <v>0</v>
      </c>
      <c r="N55" s="13">
        <v>68</v>
      </c>
      <c r="O55" s="16"/>
      <c r="P55" s="16" t="s">
        <v>50</v>
      </c>
      <c r="Q55" s="24">
        <v>36100</v>
      </c>
      <c r="R55" s="16" t="s">
        <v>36</v>
      </c>
      <c r="S55" s="13">
        <v>2012</v>
      </c>
      <c r="T55" s="13">
        <v>1.3</v>
      </c>
      <c r="U55" s="13">
        <f t="shared" si="0"/>
        <v>46930</v>
      </c>
      <c r="V55" s="25">
        <f t="shared" si="1"/>
        <v>234.65</v>
      </c>
      <c r="W55" s="15">
        <f t="shared" si="2"/>
        <v>0</v>
      </c>
      <c r="X55" s="15">
        <f t="shared" si="3"/>
        <v>0</v>
      </c>
      <c r="Y55" s="15">
        <f t="shared" si="4"/>
        <v>0</v>
      </c>
      <c r="Z55" s="13">
        <f t="shared" si="5"/>
        <v>0</v>
      </c>
      <c r="AA55" s="16">
        <f>VLOOKUP(S55,[1]CPI!$A$2:$D$67,4,0)</f>
        <v>1.1802137686524912</v>
      </c>
      <c r="AB55" s="17">
        <f t="shared" si="6"/>
        <v>55387.432162861413</v>
      </c>
      <c r="AC55" s="17">
        <f t="shared" si="7"/>
        <v>276.93716081430705</v>
      </c>
      <c r="AD55" s="16" t="s">
        <v>35</v>
      </c>
      <c r="AE55" s="29" t="s">
        <v>199</v>
      </c>
      <c r="AF55" s="19"/>
      <c r="AG55" s="19"/>
      <c r="AH55" s="19"/>
      <c r="AI55" s="19"/>
      <c r="AJ55" s="20"/>
      <c r="AK55" s="20"/>
      <c r="AL55" s="20"/>
      <c r="AM55" s="20"/>
      <c r="AN55" s="20"/>
      <c r="AO55" s="20"/>
      <c r="AP55" s="20"/>
      <c r="AQ55" s="20"/>
    </row>
    <row r="56" spans="1:43" ht="15.75" customHeight="1" x14ac:dyDescent="0.2">
      <c r="A56" s="21">
        <v>7241</v>
      </c>
      <c r="B56" s="16" t="s">
        <v>148</v>
      </c>
      <c r="C56" s="16" t="s">
        <v>190</v>
      </c>
      <c r="D56" s="22"/>
      <c r="E56" s="42" t="s">
        <v>200</v>
      </c>
      <c r="F56" s="13">
        <v>1984</v>
      </c>
      <c r="G56" s="44">
        <v>2004</v>
      </c>
      <c r="H56" s="13">
        <v>1</v>
      </c>
      <c r="I56" s="44">
        <v>7.8</v>
      </c>
      <c r="J56" s="45">
        <v>0.9</v>
      </c>
      <c r="K56" s="13">
        <v>7.8</v>
      </c>
      <c r="L56" s="13">
        <v>0.02</v>
      </c>
      <c r="M56" s="13">
        <v>5.18</v>
      </c>
      <c r="N56" s="13">
        <v>10</v>
      </c>
      <c r="O56" s="16">
        <v>250</v>
      </c>
      <c r="P56" s="16" t="s">
        <v>50</v>
      </c>
      <c r="Q56" s="24">
        <v>915</v>
      </c>
      <c r="R56" s="16" t="s">
        <v>36</v>
      </c>
      <c r="S56" s="13">
        <v>1996</v>
      </c>
      <c r="T56" s="13">
        <v>1.3</v>
      </c>
      <c r="U56" s="13">
        <f t="shared" si="0"/>
        <v>1189.5</v>
      </c>
      <c r="V56" s="25">
        <f t="shared" si="1"/>
        <v>152.5</v>
      </c>
      <c r="W56" s="15">
        <f t="shared" si="2"/>
        <v>1</v>
      </c>
      <c r="X56" s="15">
        <f t="shared" si="3"/>
        <v>7.8</v>
      </c>
      <c r="Y56" s="15">
        <f t="shared" si="4"/>
        <v>7.8</v>
      </c>
      <c r="Z56" s="13">
        <f t="shared" si="5"/>
        <v>0</v>
      </c>
      <c r="AA56" s="16">
        <f>VLOOKUP(S56,[1]CPI!$A$2:$D$67,4,0)</f>
        <v>1.7270235818992989</v>
      </c>
      <c r="AB56" s="17">
        <f t="shared" si="6"/>
        <v>2054.2945506692163</v>
      </c>
      <c r="AC56" s="17">
        <f t="shared" si="7"/>
        <v>263.37109623964307</v>
      </c>
      <c r="AD56" s="16" t="s">
        <v>43</v>
      </c>
      <c r="AE56" s="29" t="s">
        <v>201</v>
      </c>
      <c r="AF56" s="19"/>
      <c r="AG56" s="19"/>
      <c r="AH56" s="19"/>
      <c r="AI56" s="19"/>
      <c r="AJ56" s="20"/>
      <c r="AK56" s="20"/>
      <c r="AL56" s="20"/>
      <c r="AM56" s="20"/>
      <c r="AN56" s="20"/>
      <c r="AO56" s="20"/>
      <c r="AP56" s="20"/>
      <c r="AQ56" s="20"/>
    </row>
    <row r="57" spans="1:43" ht="15.75" customHeight="1" x14ac:dyDescent="0.2">
      <c r="A57" s="21">
        <v>7242</v>
      </c>
      <c r="B57" s="16" t="s">
        <v>202</v>
      </c>
      <c r="C57" s="16" t="s">
        <v>203</v>
      </c>
      <c r="D57" s="22"/>
      <c r="E57" s="16" t="s">
        <v>103</v>
      </c>
      <c r="F57" s="13">
        <v>2010</v>
      </c>
      <c r="G57" s="13">
        <v>2013</v>
      </c>
      <c r="H57" s="13">
        <v>0</v>
      </c>
      <c r="I57" s="13">
        <v>12.5</v>
      </c>
      <c r="J57" s="23">
        <v>0.32</v>
      </c>
      <c r="K57" s="13">
        <v>4</v>
      </c>
      <c r="L57" s="13">
        <v>8.5</v>
      </c>
      <c r="M57" s="13">
        <v>0</v>
      </c>
      <c r="N57" s="13">
        <v>12</v>
      </c>
      <c r="O57" s="16"/>
      <c r="P57" s="16" t="s">
        <v>43</v>
      </c>
      <c r="Q57" s="24">
        <v>36000000</v>
      </c>
      <c r="R57" s="16" t="s">
        <v>204</v>
      </c>
      <c r="S57" s="13">
        <v>2016</v>
      </c>
      <c r="T57" s="13">
        <v>1.26E-4</v>
      </c>
      <c r="U57" s="13">
        <f t="shared" si="0"/>
        <v>4536</v>
      </c>
      <c r="V57" s="25">
        <f t="shared" si="1"/>
        <v>362.88</v>
      </c>
      <c r="W57" s="15">
        <f t="shared" si="2"/>
        <v>0</v>
      </c>
      <c r="X57" s="15">
        <f t="shared" si="3"/>
        <v>0</v>
      </c>
      <c r="Y57" s="15">
        <f t="shared" si="4"/>
        <v>0</v>
      </c>
      <c r="Z57" s="13">
        <f t="shared" si="5"/>
        <v>0</v>
      </c>
      <c r="AA57" s="16">
        <f>VLOOKUP(S57,[1]CPI!$A$2:$D$67,4,0)</f>
        <v>1.1290087372451638</v>
      </c>
      <c r="AB57" s="17">
        <f t="shared" si="6"/>
        <v>5121.1836321440633</v>
      </c>
      <c r="AC57" s="17">
        <f t="shared" si="7"/>
        <v>409.69469057152503</v>
      </c>
      <c r="AD57" s="16" t="s">
        <v>43</v>
      </c>
      <c r="AE57" s="26" t="s">
        <v>205</v>
      </c>
      <c r="AF57" s="9"/>
      <c r="AG57" s="9"/>
      <c r="AH57" s="9"/>
      <c r="AI57" s="9"/>
      <c r="AJ57" s="30"/>
      <c r="AK57" s="30"/>
      <c r="AL57" s="30"/>
      <c r="AM57" s="9"/>
      <c r="AN57" s="9"/>
      <c r="AO57" s="9"/>
      <c r="AP57" s="9"/>
      <c r="AQ57" s="9"/>
    </row>
    <row r="58" spans="1:43" ht="15.75" customHeight="1" x14ac:dyDescent="0.2">
      <c r="A58" s="21">
        <v>7243</v>
      </c>
      <c r="B58" s="16" t="s">
        <v>202</v>
      </c>
      <c r="C58" s="16" t="s">
        <v>203</v>
      </c>
      <c r="D58" s="22"/>
      <c r="E58" s="16" t="s">
        <v>99</v>
      </c>
      <c r="F58" s="13">
        <v>2011</v>
      </c>
      <c r="G58" s="13">
        <v>2020</v>
      </c>
      <c r="H58" s="13">
        <v>0</v>
      </c>
      <c r="I58" s="13">
        <v>11.5</v>
      </c>
      <c r="J58" s="23">
        <v>0.74</v>
      </c>
      <c r="K58" s="13">
        <v>8.5</v>
      </c>
      <c r="L58" s="13">
        <v>2.99</v>
      </c>
      <c r="M58" s="13">
        <v>0</v>
      </c>
      <c r="N58" s="13">
        <v>12</v>
      </c>
      <c r="O58" s="16"/>
      <c r="P58" s="16" t="s">
        <v>43</v>
      </c>
      <c r="Q58" s="24">
        <v>19555000</v>
      </c>
      <c r="R58" s="16" t="s">
        <v>204</v>
      </c>
      <c r="S58" s="13">
        <v>2015</v>
      </c>
      <c r="T58" s="13">
        <v>1.26E-4</v>
      </c>
      <c r="U58" s="13">
        <f t="shared" si="0"/>
        <v>2463.9299999999998</v>
      </c>
      <c r="V58" s="25">
        <f t="shared" si="1"/>
        <v>214.25478260869565</v>
      </c>
      <c r="W58" s="15">
        <f t="shared" si="2"/>
        <v>0</v>
      </c>
      <c r="X58" s="15">
        <f t="shared" si="3"/>
        <v>0</v>
      </c>
      <c r="Y58" s="15">
        <f t="shared" si="4"/>
        <v>0</v>
      </c>
      <c r="Z58" s="13">
        <f t="shared" si="5"/>
        <v>0</v>
      </c>
      <c r="AA58" s="16">
        <f>VLOOKUP(S58,[1]CPI!$A$2:$D$67,4,0)</f>
        <v>1.143251327963817</v>
      </c>
      <c r="AB58" s="17">
        <f t="shared" si="6"/>
        <v>2816.8912445098877</v>
      </c>
      <c r="AC58" s="17">
        <f t="shared" si="7"/>
        <v>244.94706473999022</v>
      </c>
      <c r="AD58" s="16" t="s">
        <v>43</v>
      </c>
      <c r="AE58" s="26" t="s">
        <v>206</v>
      </c>
      <c r="AF58" s="9"/>
      <c r="AG58" s="9"/>
      <c r="AH58" s="9"/>
      <c r="AI58" s="9"/>
      <c r="AJ58" s="30"/>
      <c r="AK58" s="30"/>
      <c r="AL58" s="30"/>
      <c r="AM58" s="9"/>
      <c r="AN58" s="9"/>
      <c r="AO58" s="9"/>
      <c r="AP58" s="9"/>
      <c r="AQ58" s="9"/>
    </row>
    <row r="59" spans="1:43" ht="15.75" customHeight="1" x14ac:dyDescent="0.2">
      <c r="A59" s="21">
        <v>7248</v>
      </c>
      <c r="B59" s="16" t="s">
        <v>207</v>
      </c>
      <c r="C59" s="16" t="s">
        <v>208</v>
      </c>
      <c r="D59" s="22" t="s">
        <v>209</v>
      </c>
      <c r="E59" s="16" t="s">
        <v>209</v>
      </c>
      <c r="F59" s="13">
        <v>2005</v>
      </c>
      <c r="G59" s="13">
        <v>2011</v>
      </c>
      <c r="H59" s="13">
        <v>0</v>
      </c>
      <c r="I59" s="13">
        <v>17.3</v>
      </c>
      <c r="J59" s="23">
        <v>1</v>
      </c>
      <c r="K59" s="13">
        <v>17.3</v>
      </c>
      <c r="L59" s="13">
        <v>0</v>
      </c>
      <c r="M59" s="13">
        <v>0</v>
      </c>
      <c r="N59" s="13">
        <v>6</v>
      </c>
      <c r="O59" s="16">
        <v>200</v>
      </c>
      <c r="P59" s="16" t="s">
        <v>50</v>
      </c>
      <c r="Q59" s="24">
        <v>1169000</v>
      </c>
      <c r="R59" s="16" t="s">
        <v>210</v>
      </c>
      <c r="S59" s="13">
        <v>2002</v>
      </c>
      <c r="T59" s="13">
        <v>1.2999999999999999E-3</v>
      </c>
      <c r="U59" s="13">
        <f t="shared" si="0"/>
        <v>1519.6999999999998</v>
      </c>
      <c r="V59" s="25">
        <f t="shared" si="1"/>
        <v>87.843930635838134</v>
      </c>
      <c r="W59" s="15">
        <f t="shared" si="2"/>
        <v>1</v>
      </c>
      <c r="X59" s="15">
        <f t="shared" si="3"/>
        <v>17.3</v>
      </c>
      <c r="Y59" s="15">
        <f t="shared" si="4"/>
        <v>17.3</v>
      </c>
      <c r="Z59" s="13">
        <f t="shared" si="5"/>
        <v>0</v>
      </c>
      <c r="AA59" s="16">
        <f>VLOOKUP(S59,[1]CPI!$A$2:$D$67,4,0)</f>
        <v>1.5062256809338523</v>
      </c>
      <c r="AB59" s="17">
        <f t="shared" si="6"/>
        <v>2289.011167315175</v>
      </c>
      <c r="AC59" s="17">
        <f t="shared" si="7"/>
        <v>132.3127842378714</v>
      </c>
      <c r="AD59" s="16" t="s">
        <v>73</v>
      </c>
      <c r="AE59" s="29" t="s">
        <v>211</v>
      </c>
      <c r="AF59" s="19"/>
      <c r="AG59" s="19"/>
      <c r="AH59" s="19"/>
      <c r="AI59" s="19"/>
      <c r="AJ59" s="20"/>
      <c r="AK59" s="20"/>
      <c r="AL59" s="20"/>
      <c r="AM59" s="20"/>
      <c r="AN59" s="20"/>
      <c r="AO59" s="20"/>
      <c r="AP59" s="20"/>
      <c r="AQ59" s="20"/>
    </row>
    <row r="60" spans="1:43" ht="15.75" customHeight="1" x14ac:dyDescent="0.2">
      <c r="A60" s="21">
        <v>7249</v>
      </c>
      <c r="B60" s="16" t="s">
        <v>207</v>
      </c>
      <c r="C60" s="16" t="s">
        <v>208</v>
      </c>
      <c r="D60" s="22" t="s">
        <v>209</v>
      </c>
      <c r="E60" s="16" t="s">
        <v>212</v>
      </c>
      <c r="F60" s="13">
        <v>2011</v>
      </c>
      <c r="G60" s="13">
        <v>2018</v>
      </c>
      <c r="H60" s="13">
        <v>0</v>
      </c>
      <c r="I60" s="13">
        <v>12.8</v>
      </c>
      <c r="J60" s="23">
        <v>1</v>
      </c>
      <c r="K60" s="13">
        <v>12.8</v>
      </c>
      <c r="L60" s="13">
        <v>0</v>
      </c>
      <c r="M60" s="13">
        <v>0</v>
      </c>
      <c r="N60" s="13">
        <v>7</v>
      </c>
      <c r="O60" s="16">
        <v>200</v>
      </c>
      <c r="P60" s="16" t="s">
        <v>43</v>
      </c>
      <c r="Q60" s="24">
        <v>1025500</v>
      </c>
      <c r="R60" s="16" t="s">
        <v>210</v>
      </c>
      <c r="S60" s="13">
        <v>2006</v>
      </c>
      <c r="T60" s="13">
        <v>1.2999999999999999E-3</v>
      </c>
      <c r="U60" s="13">
        <f t="shared" si="0"/>
        <v>1333.1499999999999</v>
      </c>
      <c r="V60" s="25">
        <f t="shared" si="1"/>
        <v>104.15234374999999</v>
      </c>
      <c r="W60" s="15">
        <f t="shared" si="2"/>
        <v>1</v>
      </c>
      <c r="X60" s="15">
        <f t="shared" si="3"/>
        <v>12.8</v>
      </c>
      <c r="Y60" s="15">
        <f t="shared" si="4"/>
        <v>12.8</v>
      </c>
      <c r="Z60" s="13">
        <f t="shared" si="5"/>
        <v>0</v>
      </c>
      <c r="AA60" s="16">
        <f>VLOOKUP(S60,[1]CPI!$A$2:$D$67,4,0)</f>
        <v>1.3440972222222225</v>
      </c>
      <c r="AB60" s="17">
        <f t="shared" si="6"/>
        <v>1791.8832118055557</v>
      </c>
      <c r="AC60" s="17">
        <f t="shared" si="7"/>
        <v>139.99087592230904</v>
      </c>
      <c r="AD60" s="16" t="s">
        <v>35</v>
      </c>
      <c r="AE60" s="26" t="s">
        <v>213</v>
      </c>
      <c r="AF60" s="19"/>
      <c r="AG60" s="19"/>
      <c r="AH60" s="19"/>
      <c r="AI60" s="19"/>
      <c r="AJ60" s="20"/>
      <c r="AK60" s="20"/>
      <c r="AL60" s="20"/>
      <c r="AM60" s="20"/>
      <c r="AN60" s="20"/>
      <c r="AO60" s="20"/>
      <c r="AP60" s="20"/>
      <c r="AQ60" s="20"/>
    </row>
    <row r="61" spans="1:43" ht="15.75" customHeight="1" x14ac:dyDescent="0.2">
      <c r="A61" s="21">
        <v>7250</v>
      </c>
      <c r="B61" s="16" t="s">
        <v>180</v>
      </c>
      <c r="C61" s="16" t="s">
        <v>214</v>
      </c>
      <c r="D61" s="22"/>
      <c r="E61" s="16" t="s">
        <v>103</v>
      </c>
      <c r="F61" s="13">
        <v>2014</v>
      </c>
      <c r="G61" s="13">
        <v>2020</v>
      </c>
      <c r="H61" s="13">
        <v>0</v>
      </c>
      <c r="I61" s="13">
        <v>21.5</v>
      </c>
      <c r="J61" s="23">
        <v>0.25</v>
      </c>
      <c r="K61" s="13">
        <v>5.4</v>
      </c>
      <c r="L61" s="13">
        <v>14.595000000000001</v>
      </c>
      <c r="M61" s="13">
        <v>1.53</v>
      </c>
      <c r="N61" s="13">
        <v>18</v>
      </c>
      <c r="O61" s="16"/>
      <c r="P61" s="16" t="s">
        <v>73</v>
      </c>
      <c r="Q61" s="24">
        <v>31500</v>
      </c>
      <c r="R61" s="16" t="s">
        <v>183</v>
      </c>
      <c r="S61" s="13">
        <v>2017</v>
      </c>
      <c r="T61" s="13">
        <v>0.106</v>
      </c>
      <c r="U61" s="13">
        <f t="shared" si="0"/>
        <v>3339</v>
      </c>
      <c r="V61" s="25">
        <f t="shared" si="1"/>
        <v>155.30232558139534</v>
      </c>
      <c r="W61" s="15">
        <f t="shared" si="2"/>
        <v>0</v>
      </c>
      <c r="X61" s="15">
        <f t="shared" si="3"/>
        <v>0</v>
      </c>
      <c r="Y61" s="15">
        <f t="shared" si="4"/>
        <v>0</v>
      </c>
      <c r="Z61" s="13">
        <f t="shared" si="5"/>
        <v>0</v>
      </c>
      <c r="AA61" s="16">
        <f>VLOOKUP(S61,[1]CPI!$A$2:$D$67,4,0)</f>
        <v>1.1054585509138382</v>
      </c>
      <c r="AB61" s="17">
        <f t="shared" si="6"/>
        <v>3691.1261015013056</v>
      </c>
      <c r="AC61" s="17">
        <f t="shared" si="7"/>
        <v>171.68028379075838</v>
      </c>
      <c r="AD61" s="16" t="s">
        <v>43</v>
      </c>
      <c r="AE61" s="29" t="s">
        <v>215</v>
      </c>
      <c r="AF61" s="19"/>
      <c r="AG61" s="19"/>
      <c r="AH61" s="19"/>
      <c r="AI61" s="19"/>
      <c r="AJ61" s="20"/>
      <c r="AK61" s="20"/>
      <c r="AL61" s="20"/>
      <c r="AM61" s="20"/>
      <c r="AN61" s="20"/>
      <c r="AO61" s="20"/>
      <c r="AP61" s="20"/>
      <c r="AQ61" s="20"/>
    </row>
    <row r="62" spans="1:43" ht="15.75" customHeight="1" x14ac:dyDescent="0.2">
      <c r="A62" s="21">
        <v>7251</v>
      </c>
      <c r="B62" s="16" t="s">
        <v>216</v>
      </c>
      <c r="C62" s="16" t="s">
        <v>217</v>
      </c>
      <c r="D62" s="22"/>
      <c r="E62" s="16" t="s">
        <v>218</v>
      </c>
      <c r="F62" s="13">
        <v>2003</v>
      </c>
      <c r="G62" s="13">
        <v>2013</v>
      </c>
      <c r="H62" s="13">
        <v>1</v>
      </c>
      <c r="I62" s="13">
        <v>3.6</v>
      </c>
      <c r="J62" s="23">
        <v>1</v>
      </c>
      <c r="K62" s="13">
        <v>3.6</v>
      </c>
      <c r="L62" s="13">
        <v>0</v>
      </c>
      <c r="M62" s="13">
        <v>0</v>
      </c>
      <c r="N62" s="13">
        <v>4</v>
      </c>
      <c r="O62" s="16"/>
      <c r="P62" s="16" t="s">
        <v>50</v>
      </c>
      <c r="Q62" s="24">
        <v>960</v>
      </c>
      <c r="R62" s="16" t="s">
        <v>36</v>
      </c>
      <c r="S62" s="13">
        <v>2008</v>
      </c>
      <c r="T62" s="13">
        <v>1.3</v>
      </c>
      <c r="U62" s="13">
        <f t="shared" si="0"/>
        <v>1248</v>
      </c>
      <c r="V62" s="25">
        <f t="shared" si="1"/>
        <v>346.66666666666669</v>
      </c>
      <c r="W62" s="15">
        <f t="shared" si="2"/>
        <v>0</v>
      </c>
      <c r="X62" s="15">
        <f t="shared" si="3"/>
        <v>0</v>
      </c>
      <c r="Y62" s="15">
        <f t="shared" si="4"/>
        <v>0</v>
      </c>
      <c r="Z62" s="13">
        <f t="shared" si="5"/>
        <v>0</v>
      </c>
      <c r="AA62" s="16">
        <f>VLOOKUP(S62,[1]CPI!$A$2:$D$67,4,0)</f>
        <v>1.2585519012740187</v>
      </c>
      <c r="AB62" s="17">
        <f t="shared" si="6"/>
        <v>1570.6727727899754</v>
      </c>
      <c r="AC62" s="17">
        <f t="shared" si="7"/>
        <v>436.29799244165986</v>
      </c>
      <c r="AD62" s="16" t="s">
        <v>35</v>
      </c>
      <c r="AE62" s="26" t="s">
        <v>219</v>
      </c>
      <c r="AF62" s="19"/>
      <c r="AG62" s="19"/>
      <c r="AH62" s="19"/>
      <c r="AI62" s="19"/>
      <c r="AJ62" s="20"/>
      <c r="AK62" s="20"/>
      <c r="AL62" s="20"/>
      <c r="AM62" s="20"/>
      <c r="AN62" s="20"/>
      <c r="AO62" s="20"/>
      <c r="AP62" s="20"/>
      <c r="AQ62" s="20"/>
    </row>
    <row r="63" spans="1:43" ht="15.75" customHeight="1" x14ac:dyDescent="0.2">
      <c r="A63" s="21">
        <v>7256</v>
      </c>
      <c r="B63" s="16" t="s">
        <v>148</v>
      </c>
      <c r="C63" s="16" t="s">
        <v>220</v>
      </c>
      <c r="D63" s="22"/>
      <c r="E63" s="16" t="s">
        <v>221</v>
      </c>
      <c r="F63" s="44">
        <v>2005</v>
      </c>
      <c r="G63" s="44">
        <v>2015</v>
      </c>
      <c r="H63" s="13">
        <v>0</v>
      </c>
      <c r="I63" s="44">
        <v>4.7</v>
      </c>
      <c r="J63" s="23">
        <v>1</v>
      </c>
      <c r="K63" s="44">
        <v>4.7</v>
      </c>
      <c r="L63" s="13">
        <v>0</v>
      </c>
      <c r="M63" s="13">
        <v>0</v>
      </c>
      <c r="N63" s="13">
        <v>3</v>
      </c>
      <c r="O63" s="42">
        <v>150</v>
      </c>
      <c r="P63" s="42" t="s">
        <v>151</v>
      </c>
      <c r="Q63" s="43">
        <v>761</v>
      </c>
      <c r="R63" s="16" t="s">
        <v>36</v>
      </c>
      <c r="S63" s="13">
        <v>2012</v>
      </c>
      <c r="T63" s="13">
        <v>1.3</v>
      </c>
      <c r="U63" s="13">
        <f t="shared" si="0"/>
        <v>989.30000000000007</v>
      </c>
      <c r="V63" s="25">
        <f t="shared" si="1"/>
        <v>210.48936170212767</v>
      </c>
      <c r="W63" s="15">
        <f t="shared" si="2"/>
        <v>1</v>
      </c>
      <c r="X63" s="15">
        <f t="shared" si="3"/>
        <v>4.7</v>
      </c>
      <c r="Y63" s="15">
        <f t="shared" si="4"/>
        <v>4.7</v>
      </c>
      <c r="Z63" s="13">
        <f t="shared" si="5"/>
        <v>0</v>
      </c>
      <c r="AA63" s="16">
        <f>VLOOKUP(S63,[1]CPI!$A$2:$D$67,4,0)</f>
        <v>1.1802137686524912</v>
      </c>
      <c r="AB63" s="17">
        <f t="shared" si="6"/>
        <v>1167.5854813279095</v>
      </c>
      <c r="AC63" s="17">
        <f t="shared" si="7"/>
        <v>248.42244283572543</v>
      </c>
      <c r="AD63" s="16" t="s">
        <v>35</v>
      </c>
      <c r="AE63" s="29" t="s">
        <v>222</v>
      </c>
      <c r="AF63" s="19"/>
      <c r="AG63" s="19"/>
      <c r="AH63" s="19"/>
      <c r="AI63" s="19"/>
      <c r="AJ63" s="20"/>
      <c r="AK63" s="20"/>
      <c r="AL63" s="20"/>
      <c r="AM63" s="20"/>
      <c r="AN63" s="20"/>
      <c r="AO63" s="20"/>
      <c r="AP63" s="20"/>
      <c r="AQ63" s="20"/>
    </row>
    <row r="64" spans="1:43" ht="15.75" customHeight="1" x14ac:dyDescent="0.2">
      <c r="A64" s="21">
        <v>7257</v>
      </c>
      <c r="B64" s="16" t="s">
        <v>148</v>
      </c>
      <c r="C64" s="16" t="s">
        <v>220</v>
      </c>
      <c r="D64" s="22" t="s">
        <v>223</v>
      </c>
      <c r="E64" s="16" t="s">
        <v>224</v>
      </c>
      <c r="F64" s="13">
        <v>2007</v>
      </c>
      <c r="G64" s="13">
        <v>2013</v>
      </c>
      <c r="H64" s="13">
        <v>0</v>
      </c>
      <c r="I64" s="13">
        <v>2.8</v>
      </c>
      <c r="J64" s="23">
        <v>1</v>
      </c>
      <c r="K64" s="13">
        <v>2.8</v>
      </c>
      <c r="L64" s="13">
        <v>0</v>
      </c>
      <c r="M64" s="13">
        <v>0</v>
      </c>
      <c r="N64" s="13">
        <v>4</v>
      </c>
      <c r="O64" s="16"/>
      <c r="P64" s="16" t="s">
        <v>35</v>
      </c>
      <c r="Q64" s="24">
        <v>399</v>
      </c>
      <c r="R64" s="16" t="s">
        <v>36</v>
      </c>
      <c r="S64" s="13">
        <v>2010</v>
      </c>
      <c r="T64" s="13">
        <v>1.3</v>
      </c>
      <c r="U64" s="13">
        <f t="shared" si="0"/>
        <v>518.70000000000005</v>
      </c>
      <c r="V64" s="25">
        <f t="shared" si="1"/>
        <v>185.25000000000003</v>
      </c>
      <c r="W64" s="15">
        <f t="shared" si="2"/>
        <v>1</v>
      </c>
      <c r="X64" s="15">
        <f t="shared" si="3"/>
        <v>2.8</v>
      </c>
      <c r="Y64" s="15">
        <f t="shared" si="4"/>
        <v>2.8</v>
      </c>
      <c r="Z64" s="13">
        <f t="shared" si="5"/>
        <v>0</v>
      </c>
      <c r="AA64" s="16">
        <f>VLOOKUP(S64,[1]CPI!$A$2:$D$67,4,0)</f>
        <v>1.2426624353377114</v>
      </c>
      <c r="AB64" s="17">
        <f t="shared" si="6"/>
        <v>644.56900520967099</v>
      </c>
      <c r="AC64" s="17">
        <f t="shared" si="7"/>
        <v>230.20321614631106</v>
      </c>
      <c r="AD64" s="16" t="s">
        <v>35</v>
      </c>
      <c r="AE64" s="46" t="s">
        <v>225</v>
      </c>
      <c r="AF64" s="19"/>
      <c r="AG64" s="19"/>
      <c r="AH64" s="19"/>
      <c r="AI64" s="19"/>
      <c r="AJ64" s="20"/>
      <c r="AK64" s="20"/>
      <c r="AL64" s="20"/>
      <c r="AM64" s="20"/>
      <c r="AN64" s="20"/>
      <c r="AO64" s="20"/>
      <c r="AP64" s="20"/>
      <c r="AQ64" s="20"/>
    </row>
    <row r="65" spans="1:43" ht="15.75" customHeight="1" x14ac:dyDescent="0.2">
      <c r="A65" s="21">
        <v>7258</v>
      </c>
      <c r="B65" s="16" t="s">
        <v>148</v>
      </c>
      <c r="C65" s="16" t="s">
        <v>220</v>
      </c>
      <c r="D65" s="22" t="s">
        <v>223</v>
      </c>
      <c r="E65" s="16" t="s">
        <v>226</v>
      </c>
      <c r="F65" s="13">
        <v>2007</v>
      </c>
      <c r="G65" s="13">
        <v>2013</v>
      </c>
      <c r="H65" s="13">
        <v>0</v>
      </c>
      <c r="I65" s="44">
        <v>7.6</v>
      </c>
      <c r="J65" s="23">
        <v>1</v>
      </c>
      <c r="K65" s="44">
        <v>7.6</v>
      </c>
      <c r="L65" s="13">
        <v>0</v>
      </c>
      <c r="M65" s="13">
        <v>0</v>
      </c>
      <c r="N65" s="13">
        <v>9</v>
      </c>
      <c r="O65" s="42">
        <v>110</v>
      </c>
      <c r="P65" s="42" t="s">
        <v>151</v>
      </c>
      <c r="Q65" s="43">
        <v>1206</v>
      </c>
      <c r="R65" s="16" t="s">
        <v>36</v>
      </c>
      <c r="S65" s="13">
        <v>2010</v>
      </c>
      <c r="T65" s="13">
        <v>1.3</v>
      </c>
      <c r="U65" s="13">
        <f t="shared" si="0"/>
        <v>1567.8</v>
      </c>
      <c r="V65" s="25">
        <f t="shared" si="1"/>
        <v>206.28947368421052</v>
      </c>
      <c r="W65" s="15">
        <f t="shared" si="2"/>
        <v>1</v>
      </c>
      <c r="X65" s="15">
        <f t="shared" si="3"/>
        <v>7.6</v>
      </c>
      <c r="Y65" s="15">
        <f t="shared" si="4"/>
        <v>7.6</v>
      </c>
      <c r="Z65" s="13">
        <f t="shared" si="5"/>
        <v>0</v>
      </c>
      <c r="AA65" s="16">
        <f>VLOOKUP(S65,[1]CPI!$A$2:$D$67,4,0)</f>
        <v>1.2426624353377114</v>
      </c>
      <c r="AB65" s="17">
        <f t="shared" si="6"/>
        <v>1948.2461661224638</v>
      </c>
      <c r="AC65" s="17">
        <f t="shared" si="7"/>
        <v>256.34817975295579</v>
      </c>
      <c r="AD65" s="16" t="s">
        <v>35</v>
      </c>
      <c r="AE65" s="46" t="s">
        <v>225</v>
      </c>
      <c r="AF65" s="19"/>
      <c r="AG65" s="19"/>
      <c r="AH65" s="19"/>
      <c r="AI65" s="19"/>
      <c r="AJ65" s="20"/>
      <c r="AK65" s="20"/>
      <c r="AL65" s="20"/>
      <c r="AM65" s="20"/>
      <c r="AN65" s="20"/>
      <c r="AO65" s="20"/>
      <c r="AP65" s="20"/>
      <c r="AQ65" s="20"/>
    </row>
    <row r="66" spans="1:43" ht="15.75" customHeight="1" x14ac:dyDescent="0.2">
      <c r="A66" s="21">
        <v>7259</v>
      </c>
      <c r="B66" s="16" t="s">
        <v>148</v>
      </c>
      <c r="C66" s="16" t="s">
        <v>220</v>
      </c>
      <c r="D66" s="22" t="s">
        <v>223</v>
      </c>
      <c r="E66" s="16" t="s">
        <v>227</v>
      </c>
      <c r="F66" s="13">
        <v>2013</v>
      </c>
      <c r="G66" s="13">
        <v>2023</v>
      </c>
      <c r="H66" s="13">
        <v>0</v>
      </c>
      <c r="I66" s="44">
        <v>2.7</v>
      </c>
      <c r="J66" s="23">
        <v>1</v>
      </c>
      <c r="K66" s="44">
        <v>2.7</v>
      </c>
      <c r="L66" s="13">
        <v>0</v>
      </c>
      <c r="M66" s="13">
        <v>0</v>
      </c>
      <c r="N66" s="13">
        <v>2</v>
      </c>
      <c r="O66" s="42">
        <v>110</v>
      </c>
      <c r="P66" s="42" t="s">
        <v>35</v>
      </c>
      <c r="Q66" s="43">
        <v>861</v>
      </c>
      <c r="R66" s="16" t="s">
        <v>36</v>
      </c>
      <c r="S66" s="13">
        <v>2018</v>
      </c>
      <c r="T66" s="13">
        <v>1.3</v>
      </c>
      <c r="U66" s="13">
        <f t="shared" si="0"/>
        <v>1119.3</v>
      </c>
      <c r="V66" s="25">
        <f t="shared" si="1"/>
        <v>414.55555555555549</v>
      </c>
      <c r="W66" s="15">
        <f t="shared" si="2"/>
        <v>1</v>
      </c>
      <c r="X66" s="15">
        <f t="shared" si="3"/>
        <v>2.7</v>
      </c>
      <c r="Y66" s="15">
        <f t="shared" si="4"/>
        <v>2.7</v>
      </c>
      <c r="Z66" s="13">
        <f t="shared" si="5"/>
        <v>0</v>
      </c>
      <c r="AA66" s="16">
        <f>VLOOKUP(S66,[1]CPI!$A$2:$D$67,4,0)</f>
        <v>1.0791017375063221</v>
      </c>
      <c r="AB66" s="17">
        <f t="shared" si="6"/>
        <v>1207.8385747908262</v>
      </c>
      <c r="AC66" s="17">
        <f t="shared" si="7"/>
        <v>447.34762029289857</v>
      </c>
      <c r="AD66" s="16" t="s">
        <v>35</v>
      </c>
      <c r="AE66" s="46" t="s">
        <v>225</v>
      </c>
      <c r="AF66" s="19"/>
      <c r="AG66" s="19"/>
      <c r="AH66" s="19"/>
      <c r="AI66" s="19"/>
      <c r="AJ66" s="20"/>
      <c r="AK66" s="20"/>
      <c r="AL66" s="20"/>
      <c r="AM66" s="20"/>
      <c r="AN66" s="20"/>
      <c r="AO66" s="20"/>
      <c r="AP66" s="20"/>
      <c r="AQ66" s="20"/>
    </row>
    <row r="67" spans="1:43" ht="15.75" customHeight="1" x14ac:dyDescent="0.2">
      <c r="A67" s="21">
        <v>7264</v>
      </c>
      <c r="B67" s="16" t="s">
        <v>216</v>
      </c>
      <c r="C67" s="16" t="s">
        <v>228</v>
      </c>
      <c r="D67" s="22"/>
      <c r="E67" s="16" t="s">
        <v>229</v>
      </c>
      <c r="F67" s="13">
        <v>2004</v>
      </c>
      <c r="G67" s="13">
        <v>2009</v>
      </c>
      <c r="H67" s="13">
        <v>0</v>
      </c>
      <c r="I67" s="13">
        <v>1.8</v>
      </c>
      <c r="J67" s="23">
        <v>1</v>
      </c>
      <c r="K67" s="13">
        <v>1.8</v>
      </c>
      <c r="L67" s="13">
        <v>0</v>
      </c>
      <c r="M67" s="13">
        <v>0</v>
      </c>
      <c r="N67" s="13">
        <v>3</v>
      </c>
      <c r="O67" s="16">
        <v>100</v>
      </c>
      <c r="P67" s="16" t="s">
        <v>35</v>
      </c>
      <c r="Q67" s="24">
        <v>320</v>
      </c>
      <c r="R67" s="16" t="s">
        <v>36</v>
      </c>
      <c r="S67" s="13">
        <v>2006</v>
      </c>
      <c r="T67" s="13">
        <v>1.3</v>
      </c>
      <c r="U67" s="13">
        <f t="shared" si="0"/>
        <v>416</v>
      </c>
      <c r="V67" s="25">
        <f t="shared" si="1"/>
        <v>231.11111111111111</v>
      </c>
      <c r="W67" s="15">
        <f t="shared" si="2"/>
        <v>0</v>
      </c>
      <c r="X67" s="15">
        <f t="shared" si="3"/>
        <v>0</v>
      </c>
      <c r="Y67" s="15">
        <f t="shared" si="4"/>
        <v>0</v>
      </c>
      <c r="Z67" s="13">
        <f t="shared" si="5"/>
        <v>0</v>
      </c>
      <c r="AA67" s="16">
        <f>VLOOKUP(S67,[1]CPI!$A$2:$D$67,4,0)</f>
        <v>1.3440972222222225</v>
      </c>
      <c r="AB67" s="17">
        <f t="shared" si="6"/>
        <v>559.14444444444462</v>
      </c>
      <c r="AC67" s="17">
        <f t="shared" si="7"/>
        <v>310.63580246913585</v>
      </c>
      <c r="AD67" s="16" t="s">
        <v>35</v>
      </c>
      <c r="AE67" s="29" t="s">
        <v>230</v>
      </c>
      <c r="AF67" s="19"/>
      <c r="AG67" s="19"/>
      <c r="AH67" s="19"/>
      <c r="AI67" s="19"/>
      <c r="AJ67" s="20"/>
      <c r="AK67" s="20"/>
      <c r="AL67" s="20"/>
      <c r="AM67" s="20"/>
      <c r="AN67" s="20"/>
      <c r="AO67" s="20"/>
      <c r="AP67" s="20"/>
      <c r="AQ67" s="20"/>
    </row>
    <row r="68" spans="1:43" ht="15.75" customHeight="1" x14ac:dyDescent="0.2">
      <c r="A68" s="21">
        <v>7265</v>
      </c>
      <c r="B68" s="16" t="s">
        <v>216</v>
      </c>
      <c r="C68" s="16" t="s">
        <v>228</v>
      </c>
      <c r="D68" s="22"/>
      <c r="E68" s="16" t="s">
        <v>231</v>
      </c>
      <c r="F68" s="13">
        <v>2010</v>
      </c>
      <c r="G68" s="13">
        <v>2020</v>
      </c>
      <c r="H68" s="13">
        <v>0</v>
      </c>
      <c r="I68" s="13">
        <v>2.2000000000000002</v>
      </c>
      <c r="J68" s="23">
        <v>1</v>
      </c>
      <c r="K68" s="13">
        <v>2.2000000000000002</v>
      </c>
      <c r="L68" s="13">
        <v>0</v>
      </c>
      <c r="M68" s="13">
        <v>0</v>
      </c>
      <c r="N68" s="13">
        <v>3</v>
      </c>
      <c r="O68" s="16">
        <v>100</v>
      </c>
      <c r="P68" s="16" t="s">
        <v>35</v>
      </c>
      <c r="Q68" s="24">
        <v>525</v>
      </c>
      <c r="R68" s="16" t="s">
        <v>36</v>
      </c>
      <c r="S68" s="13">
        <v>2015</v>
      </c>
      <c r="T68" s="13">
        <v>1.3</v>
      </c>
      <c r="U68" s="13">
        <f t="shared" si="0"/>
        <v>682.5</v>
      </c>
      <c r="V68" s="25">
        <f t="shared" si="1"/>
        <v>310.22727272727269</v>
      </c>
      <c r="W68" s="15">
        <f t="shared" si="2"/>
        <v>0</v>
      </c>
      <c r="X68" s="15">
        <f t="shared" si="3"/>
        <v>0</v>
      </c>
      <c r="Y68" s="15">
        <f t="shared" si="4"/>
        <v>0</v>
      </c>
      <c r="Z68" s="13">
        <f t="shared" si="5"/>
        <v>0</v>
      </c>
      <c r="AA68" s="16">
        <f>VLOOKUP(S68,[1]CPI!$A$2:$D$67,4,0)</f>
        <v>1.143251327963817</v>
      </c>
      <c r="AB68" s="17">
        <f t="shared" si="6"/>
        <v>780.26903133530516</v>
      </c>
      <c r="AC68" s="17">
        <f t="shared" si="7"/>
        <v>354.66774151604773</v>
      </c>
      <c r="AD68" s="16" t="s">
        <v>35</v>
      </c>
      <c r="AE68" s="29" t="s">
        <v>232</v>
      </c>
      <c r="AF68" s="19"/>
      <c r="AG68" s="19"/>
      <c r="AH68" s="19"/>
      <c r="AI68" s="19"/>
      <c r="AJ68" s="20"/>
      <c r="AK68" s="20"/>
      <c r="AL68" s="20"/>
      <c r="AM68" s="20"/>
      <c r="AN68" s="20"/>
      <c r="AO68" s="20"/>
      <c r="AP68" s="20"/>
      <c r="AQ68" s="20"/>
    </row>
    <row r="69" spans="1:43" ht="15.75" customHeight="1" x14ac:dyDescent="0.2">
      <c r="A69" s="21">
        <v>7266</v>
      </c>
      <c r="B69" s="16" t="s">
        <v>233</v>
      </c>
      <c r="C69" s="16" t="s">
        <v>234</v>
      </c>
      <c r="D69" s="22"/>
      <c r="E69" s="16" t="s">
        <v>103</v>
      </c>
      <c r="F69" s="13">
        <v>2020</v>
      </c>
      <c r="G69" s="13">
        <v>2028</v>
      </c>
      <c r="H69" s="13">
        <v>0</v>
      </c>
      <c r="I69" s="13">
        <v>4.4000000000000004</v>
      </c>
      <c r="J69" s="23">
        <v>1</v>
      </c>
      <c r="K69" s="13">
        <v>4.4000000000000004</v>
      </c>
      <c r="L69" s="13">
        <v>0</v>
      </c>
      <c r="M69" s="13">
        <v>0</v>
      </c>
      <c r="N69" s="13">
        <v>7</v>
      </c>
      <c r="O69" s="16"/>
      <c r="P69" s="16" t="s">
        <v>35</v>
      </c>
      <c r="Q69" s="24">
        <v>900</v>
      </c>
      <c r="R69" s="16" t="s">
        <v>36</v>
      </c>
      <c r="S69" s="13">
        <v>2024</v>
      </c>
      <c r="T69" s="13">
        <v>1.3</v>
      </c>
      <c r="U69" s="13">
        <f t="shared" si="0"/>
        <v>1170</v>
      </c>
      <c r="V69" s="25">
        <f t="shared" si="1"/>
        <v>265.90909090909088</v>
      </c>
      <c r="W69" s="15">
        <f t="shared" si="2"/>
        <v>0</v>
      </c>
      <c r="X69" s="15">
        <f t="shared" si="3"/>
        <v>0</v>
      </c>
      <c r="Y69" s="15">
        <f t="shared" si="4"/>
        <v>0</v>
      </c>
      <c r="Z69" s="13">
        <f t="shared" si="5"/>
        <v>0</v>
      </c>
      <c r="AA69" s="16">
        <f>VLOOKUP(S69,[1]CPI!$A$2:$D$67,4,0)</f>
        <v>1</v>
      </c>
      <c r="AB69" s="17">
        <f t="shared" si="6"/>
        <v>1170</v>
      </c>
      <c r="AC69" s="17">
        <f t="shared" si="7"/>
        <v>265.90909090909088</v>
      </c>
      <c r="AD69" s="16" t="s">
        <v>35</v>
      </c>
      <c r="AE69" s="29" t="s">
        <v>235</v>
      </c>
      <c r="AF69" s="27"/>
      <c r="AG69" s="27"/>
      <c r="AH69" s="27"/>
      <c r="AI69" s="27"/>
      <c r="AJ69" s="28"/>
      <c r="AK69" s="28"/>
      <c r="AL69" s="28"/>
      <c r="AM69" s="28"/>
      <c r="AN69" s="28"/>
      <c r="AO69" s="28"/>
      <c r="AP69" s="28"/>
      <c r="AQ69" s="28"/>
    </row>
    <row r="70" spans="1:43" ht="15.75" customHeight="1" x14ac:dyDescent="0.2">
      <c r="A70" s="21">
        <v>7267</v>
      </c>
      <c r="B70" s="16" t="s">
        <v>236</v>
      </c>
      <c r="C70" s="16" t="s">
        <v>237</v>
      </c>
      <c r="D70" s="22"/>
      <c r="E70" s="16" t="s">
        <v>238</v>
      </c>
      <c r="F70" s="13">
        <v>2009</v>
      </c>
      <c r="G70" s="13">
        <v>2019</v>
      </c>
      <c r="H70" s="13">
        <v>0</v>
      </c>
      <c r="I70" s="13">
        <v>15.5</v>
      </c>
      <c r="J70" s="23">
        <v>1</v>
      </c>
      <c r="K70" s="13">
        <v>15.5</v>
      </c>
      <c r="L70" s="13">
        <v>0</v>
      </c>
      <c r="M70" s="13">
        <v>0</v>
      </c>
      <c r="N70" s="13">
        <v>17</v>
      </c>
      <c r="O70" s="16"/>
      <c r="P70" s="16" t="s">
        <v>43</v>
      </c>
      <c r="Q70" s="24">
        <v>25300</v>
      </c>
      <c r="R70" s="16" t="s">
        <v>239</v>
      </c>
      <c r="S70" s="13">
        <v>2014</v>
      </c>
      <c r="T70" s="13">
        <v>0.13800000000000001</v>
      </c>
      <c r="U70" s="13">
        <f t="shared" si="0"/>
        <v>3491.4</v>
      </c>
      <c r="V70" s="25">
        <f t="shared" si="1"/>
        <v>225.2516129032258</v>
      </c>
      <c r="W70" s="15">
        <f t="shared" si="2"/>
        <v>1</v>
      </c>
      <c r="X70" s="15">
        <f t="shared" si="3"/>
        <v>15.5</v>
      </c>
      <c r="Y70" s="15">
        <f t="shared" si="4"/>
        <v>15.5</v>
      </c>
      <c r="Z70" s="13">
        <f t="shared" si="5"/>
        <v>0</v>
      </c>
      <c r="AA70" s="16">
        <f>VLOOKUP(S70,[1]CPI!$A$2:$D$67,4,0)</f>
        <v>1.1446083400919169</v>
      </c>
      <c r="AB70" s="17">
        <f t="shared" si="6"/>
        <v>3996.2855585969187</v>
      </c>
      <c r="AC70" s="17">
        <f t="shared" si="7"/>
        <v>257.82487474818828</v>
      </c>
      <c r="AD70" s="16" t="s">
        <v>43</v>
      </c>
      <c r="AE70" s="29" t="s">
        <v>240</v>
      </c>
      <c r="AF70" s="19"/>
      <c r="AG70" s="19"/>
      <c r="AH70" s="19"/>
      <c r="AI70" s="19"/>
      <c r="AJ70" s="20"/>
      <c r="AK70" s="20"/>
      <c r="AL70" s="20"/>
      <c r="AM70" s="20"/>
      <c r="AN70" s="20"/>
      <c r="AO70" s="20"/>
      <c r="AP70" s="20"/>
      <c r="AQ70" s="20"/>
    </row>
    <row r="71" spans="1:43" ht="15.75" customHeight="1" x14ac:dyDescent="0.2">
      <c r="A71" s="21">
        <v>7272</v>
      </c>
      <c r="B71" s="16" t="s">
        <v>241</v>
      </c>
      <c r="C71" s="16" t="s">
        <v>242</v>
      </c>
      <c r="D71" s="22"/>
      <c r="E71" s="16" t="s">
        <v>243</v>
      </c>
      <c r="F71" s="13">
        <v>2013</v>
      </c>
      <c r="G71" s="13">
        <v>2016</v>
      </c>
      <c r="H71" s="13">
        <v>0</v>
      </c>
      <c r="I71" s="13">
        <v>1.6</v>
      </c>
      <c r="J71" s="23">
        <v>1</v>
      </c>
      <c r="K71" s="13">
        <v>1.6</v>
      </c>
      <c r="L71" s="13">
        <v>0</v>
      </c>
      <c r="M71" s="13">
        <v>0</v>
      </c>
      <c r="N71" s="13">
        <v>1</v>
      </c>
      <c r="O71" s="16"/>
      <c r="P71" s="16" t="s">
        <v>73</v>
      </c>
      <c r="Q71" s="24">
        <v>1330</v>
      </c>
      <c r="R71" s="16" t="s">
        <v>244</v>
      </c>
      <c r="S71" s="13">
        <v>2014</v>
      </c>
      <c r="T71" s="13">
        <v>0.107</v>
      </c>
      <c r="U71" s="13">
        <f t="shared" si="0"/>
        <v>142.31</v>
      </c>
      <c r="V71" s="25">
        <f t="shared" si="1"/>
        <v>88.943749999999994</v>
      </c>
      <c r="W71" s="15">
        <f t="shared" si="2"/>
        <v>1</v>
      </c>
      <c r="X71" s="15">
        <f t="shared" si="3"/>
        <v>1.6</v>
      </c>
      <c r="Y71" s="15">
        <f t="shared" si="4"/>
        <v>1.6</v>
      </c>
      <c r="Z71" s="13">
        <f t="shared" si="5"/>
        <v>0</v>
      </c>
      <c r="AA71" s="16">
        <f>VLOOKUP(S71,[1]CPI!$A$2:$D$67,4,0)</f>
        <v>1.1446083400919169</v>
      </c>
      <c r="AB71" s="17">
        <f t="shared" si="6"/>
        <v>162.88921287848069</v>
      </c>
      <c r="AC71" s="17">
        <f t="shared" si="7"/>
        <v>101.80575804905043</v>
      </c>
      <c r="AD71" s="16" t="s">
        <v>73</v>
      </c>
      <c r="AE71" s="26" t="s">
        <v>245</v>
      </c>
      <c r="AF71" s="19"/>
      <c r="AG71" s="19"/>
      <c r="AH71" s="19"/>
      <c r="AI71" s="19"/>
      <c r="AJ71" s="20"/>
      <c r="AK71" s="20"/>
      <c r="AL71" s="20"/>
      <c r="AM71" s="20"/>
      <c r="AN71" s="20"/>
      <c r="AO71" s="20"/>
      <c r="AP71" s="20"/>
      <c r="AQ71" s="20"/>
    </row>
    <row r="72" spans="1:43" ht="15.75" customHeight="1" x14ac:dyDescent="0.2">
      <c r="A72" s="21">
        <v>7273</v>
      </c>
      <c r="B72" s="16" t="s">
        <v>241</v>
      </c>
      <c r="C72" s="16" t="s">
        <v>242</v>
      </c>
      <c r="D72" s="22"/>
      <c r="E72" s="16" t="s">
        <v>246</v>
      </c>
      <c r="F72" s="13">
        <v>2020</v>
      </c>
      <c r="G72" s="13">
        <v>2029</v>
      </c>
      <c r="H72" s="13">
        <v>0</v>
      </c>
      <c r="I72" s="13">
        <v>8.1999999999999993</v>
      </c>
      <c r="J72" s="23">
        <v>1</v>
      </c>
      <c r="K72" s="13">
        <v>8.1999999999999993</v>
      </c>
      <c r="L72" s="13">
        <v>0</v>
      </c>
      <c r="M72" s="13">
        <v>0</v>
      </c>
      <c r="N72" s="13">
        <v>6</v>
      </c>
      <c r="O72" s="16"/>
      <c r="P72" s="16" t="s">
        <v>35</v>
      </c>
      <c r="Q72" s="24">
        <v>26400</v>
      </c>
      <c r="R72" s="16" t="s">
        <v>244</v>
      </c>
      <c r="S72" s="13">
        <v>2021</v>
      </c>
      <c r="T72" s="13">
        <v>0.10299999999999999</v>
      </c>
      <c r="U72" s="13">
        <f t="shared" si="0"/>
        <v>2719.2</v>
      </c>
      <c r="V72" s="25">
        <f t="shared" si="1"/>
        <v>331.60975609756099</v>
      </c>
      <c r="W72" s="15">
        <f t="shared" si="2"/>
        <v>1</v>
      </c>
      <c r="X72" s="15">
        <f t="shared" si="3"/>
        <v>8.1999999999999993</v>
      </c>
      <c r="Y72" s="15">
        <f t="shared" si="4"/>
        <v>8.1999999999999993</v>
      </c>
      <c r="Z72" s="13">
        <f t="shared" si="5"/>
        <v>0</v>
      </c>
      <c r="AA72" s="16">
        <f>VLOOKUP(S72,[1]CPI!$A$2:$D$67,4,0)</f>
        <v>1</v>
      </c>
      <c r="AB72" s="17">
        <f t="shared" si="6"/>
        <v>2719.2</v>
      </c>
      <c r="AC72" s="17">
        <f t="shared" si="7"/>
        <v>331.60975609756099</v>
      </c>
      <c r="AD72" s="16" t="s">
        <v>43</v>
      </c>
      <c r="AE72" s="26" t="s">
        <v>247</v>
      </c>
      <c r="AF72" s="19"/>
      <c r="AG72" s="19"/>
      <c r="AH72" s="19"/>
      <c r="AI72" s="19"/>
      <c r="AJ72" s="20"/>
      <c r="AK72" s="20"/>
      <c r="AL72" s="20"/>
      <c r="AM72" s="20"/>
      <c r="AN72" s="20"/>
      <c r="AO72" s="20"/>
      <c r="AP72" s="20"/>
      <c r="AQ72" s="20"/>
    </row>
    <row r="73" spans="1:43" ht="15.75" customHeight="1" x14ac:dyDescent="0.2">
      <c r="A73" s="21">
        <v>7274</v>
      </c>
      <c r="B73" s="16" t="s">
        <v>248</v>
      </c>
      <c r="C73" s="16" t="s">
        <v>249</v>
      </c>
      <c r="D73" s="22"/>
      <c r="E73" s="16" t="s">
        <v>250</v>
      </c>
      <c r="F73" s="13">
        <v>2017</v>
      </c>
      <c r="G73" s="13">
        <v>2024</v>
      </c>
      <c r="H73" s="13">
        <v>0</v>
      </c>
      <c r="I73" s="13">
        <v>30</v>
      </c>
      <c r="J73" s="23">
        <v>0.51</v>
      </c>
      <c r="K73" s="13">
        <v>15.3</v>
      </c>
      <c r="L73" s="13">
        <v>0</v>
      </c>
      <c r="M73" s="13">
        <v>0</v>
      </c>
      <c r="N73" s="13">
        <v>7</v>
      </c>
      <c r="O73" s="16"/>
      <c r="P73" s="16" t="s">
        <v>50</v>
      </c>
      <c r="Q73" s="24">
        <v>15500</v>
      </c>
      <c r="R73" s="16" t="s">
        <v>251</v>
      </c>
      <c r="S73" s="13">
        <v>2021</v>
      </c>
      <c r="T73" s="13">
        <v>0.69</v>
      </c>
      <c r="U73" s="13">
        <f t="shared" si="0"/>
        <v>10695</v>
      </c>
      <c r="V73" s="25">
        <f t="shared" si="1"/>
        <v>356.5</v>
      </c>
      <c r="W73" s="15">
        <f t="shared" si="2"/>
        <v>0</v>
      </c>
      <c r="X73" s="15">
        <f t="shared" si="3"/>
        <v>0</v>
      </c>
      <c r="Y73" s="15">
        <f t="shared" si="4"/>
        <v>0</v>
      </c>
      <c r="Z73" s="13">
        <f t="shared" si="5"/>
        <v>1</v>
      </c>
      <c r="AA73" s="16">
        <f>VLOOKUP(S73,[1]CPI!$A$2:$D$67,4,0)</f>
        <v>1</v>
      </c>
      <c r="AB73" s="17">
        <f t="shared" si="6"/>
        <v>10695</v>
      </c>
      <c r="AC73" s="17">
        <f t="shared" si="7"/>
        <v>356.5</v>
      </c>
      <c r="AD73" s="16" t="s">
        <v>43</v>
      </c>
      <c r="AE73" s="26" t="s">
        <v>252</v>
      </c>
      <c r="AF73" s="27"/>
      <c r="AG73" s="27"/>
      <c r="AH73" s="27"/>
      <c r="AI73" s="27"/>
      <c r="AJ73" s="28"/>
      <c r="AK73" s="28"/>
      <c r="AL73" s="28"/>
      <c r="AM73" s="28"/>
      <c r="AN73" s="28"/>
      <c r="AO73" s="28"/>
      <c r="AP73" s="28"/>
      <c r="AQ73" s="28"/>
    </row>
    <row r="74" spans="1:43" ht="15.75" customHeight="1" x14ac:dyDescent="0.2">
      <c r="A74" s="21">
        <v>7275</v>
      </c>
      <c r="B74" s="16" t="s">
        <v>248</v>
      </c>
      <c r="C74" s="16" t="s">
        <v>249</v>
      </c>
      <c r="D74" s="22"/>
      <c r="E74" s="16" t="s">
        <v>253</v>
      </c>
      <c r="F74" s="13">
        <v>2013</v>
      </c>
      <c r="G74" s="13">
        <v>2019</v>
      </c>
      <c r="H74" s="13">
        <v>0</v>
      </c>
      <c r="I74" s="13">
        <v>36</v>
      </c>
      <c r="J74" s="23">
        <v>0.42</v>
      </c>
      <c r="K74" s="13">
        <v>15.1</v>
      </c>
      <c r="L74" s="13">
        <v>0</v>
      </c>
      <c r="M74" s="13">
        <v>0</v>
      </c>
      <c r="N74" s="13">
        <v>13</v>
      </c>
      <c r="O74" s="16"/>
      <c r="P74" s="16" t="s">
        <v>50</v>
      </c>
      <c r="Q74" s="24">
        <v>7800</v>
      </c>
      <c r="R74" s="16" t="s">
        <v>251</v>
      </c>
      <c r="S74" s="13">
        <v>2016</v>
      </c>
      <c r="T74" s="13">
        <v>0.69</v>
      </c>
      <c r="U74" s="13">
        <f t="shared" si="0"/>
        <v>5382</v>
      </c>
      <c r="V74" s="25">
        <f t="shared" si="1"/>
        <v>149.5</v>
      </c>
      <c r="W74" s="15">
        <f t="shared" si="2"/>
        <v>0</v>
      </c>
      <c r="X74" s="15">
        <f t="shared" si="3"/>
        <v>0</v>
      </c>
      <c r="Y74" s="15">
        <f t="shared" si="4"/>
        <v>0</v>
      </c>
      <c r="Z74" s="13">
        <f t="shared" si="5"/>
        <v>1</v>
      </c>
      <c r="AA74" s="16">
        <f>VLOOKUP(S74,[1]CPI!$A$2:$D$67,4,0)</f>
        <v>1.1290087372451638</v>
      </c>
      <c r="AB74" s="17">
        <f t="shared" si="6"/>
        <v>6076.325023853472</v>
      </c>
      <c r="AC74" s="17">
        <f t="shared" si="7"/>
        <v>168.78680621815198</v>
      </c>
      <c r="AD74" s="16" t="s">
        <v>35</v>
      </c>
      <c r="AE74" s="29" t="s">
        <v>254</v>
      </c>
      <c r="AF74" s="27"/>
      <c r="AG74" s="27"/>
      <c r="AH74" s="27"/>
      <c r="AI74" s="27"/>
      <c r="AJ74" s="28"/>
      <c r="AK74" s="28"/>
      <c r="AL74" s="28"/>
      <c r="AM74" s="28"/>
      <c r="AN74" s="28"/>
      <c r="AO74" s="28"/>
      <c r="AP74" s="28"/>
      <c r="AQ74" s="28"/>
    </row>
    <row r="75" spans="1:43" ht="15.75" customHeight="1" x14ac:dyDescent="0.2">
      <c r="A75" s="21">
        <v>7280</v>
      </c>
      <c r="B75" s="16" t="s">
        <v>248</v>
      </c>
      <c r="C75" s="16" t="s">
        <v>255</v>
      </c>
      <c r="D75" s="22"/>
      <c r="E75" s="16" t="s">
        <v>256</v>
      </c>
      <c r="F75" s="13">
        <v>2018</v>
      </c>
      <c r="G75" s="13">
        <v>2025</v>
      </c>
      <c r="H75" s="13">
        <v>0</v>
      </c>
      <c r="I75" s="13">
        <v>9</v>
      </c>
      <c r="J75" s="23">
        <v>1</v>
      </c>
      <c r="K75" s="13">
        <v>9</v>
      </c>
      <c r="L75" s="13">
        <v>0</v>
      </c>
      <c r="M75" s="13">
        <v>0</v>
      </c>
      <c r="N75" s="13">
        <v>5</v>
      </c>
      <c r="O75" s="16"/>
      <c r="P75" s="16" t="s">
        <v>35</v>
      </c>
      <c r="Q75" s="24">
        <v>12584.4</v>
      </c>
      <c r="R75" s="16" t="s">
        <v>251</v>
      </c>
      <c r="S75" s="13">
        <v>2021</v>
      </c>
      <c r="T75" s="13">
        <v>0.69</v>
      </c>
      <c r="U75" s="13">
        <f t="shared" si="0"/>
        <v>8683.235999999999</v>
      </c>
      <c r="V75" s="25">
        <f t="shared" si="1"/>
        <v>964.80399999999986</v>
      </c>
      <c r="W75" s="15">
        <f t="shared" si="2"/>
        <v>0</v>
      </c>
      <c r="X75" s="15">
        <f t="shared" si="3"/>
        <v>0</v>
      </c>
      <c r="Y75" s="15">
        <f t="shared" si="4"/>
        <v>0</v>
      </c>
      <c r="Z75" s="13">
        <f t="shared" si="5"/>
        <v>1</v>
      </c>
      <c r="AA75" s="16">
        <f>VLOOKUP(S75,[1]CPI!$A$2:$D$67,4,0)</f>
        <v>1</v>
      </c>
      <c r="AB75" s="17">
        <f t="shared" si="6"/>
        <v>8683.235999999999</v>
      </c>
      <c r="AC75" s="17">
        <f t="shared" si="7"/>
        <v>964.80399999999986</v>
      </c>
      <c r="AD75" s="16" t="s">
        <v>35</v>
      </c>
      <c r="AE75" s="29" t="s">
        <v>257</v>
      </c>
      <c r="AF75" s="27"/>
      <c r="AG75" s="27"/>
      <c r="AH75" s="27"/>
      <c r="AI75" s="27"/>
      <c r="AJ75" s="28"/>
      <c r="AK75" s="28"/>
      <c r="AL75" s="28"/>
      <c r="AM75" s="28"/>
      <c r="AN75" s="28"/>
      <c r="AO75" s="28"/>
      <c r="AP75" s="28"/>
      <c r="AQ75" s="28"/>
    </row>
    <row r="76" spans="1:43" ht="15.75" customHeight="1" x14ac:dyDescent="0.2">
      <c r="A76" s="21">
        <v>7281</v>
      </c>
      <c r="B76" s="16" t="s">
        <v>258</v>
      </c>
      <c r="C76" s="16" t="s">
        <v>259</v>
      </c>
      <c r="D76" s="22"/>
      <c r="E76" s="16" t="s">
        <v>260</v>
      </c>
      <c r="F76" s="13">
        <v>2008</v>
      </c>
      <c r="G76" s="13">
        <v>2017</v>
      </c>
      <c r="H76" s="13">
        <v>0</v>
      </c>
      <c r="I76" s="13">
        <v>41.9</v>
      </c>
      <c r="J76" s="23">
        <v>1</v>
      </c>
      <c r="K76" s="13">
        <v>41.9</v>
      </c>
      <c r="L76" s="13">
        <v>0</v>
      </c>
      <c r="M76" s="13">
        <v>0</v>
      </c>
      <c r="N76" s="13">
        <v>34</v>
      </c>
      <c r="O76" s="16"/>
      <c r="P76" s="16" t="s">
        <v>50</v>
      </c>
      <c r="Q76" s="24">
        <v>21000</v>
      </c>
      <c r="R76" s="16" t="s">
        <v>261</v>
      </c>
      <c r="S76" s="13">
        <v>2012</v>
      </c>
      <c r="T76" s="13">
        <v>1.18</v>
      </c>
      <c r="U76" s="13">
        <f t="shared" si="0"/>
        <v>24780</v>
      </c>
      <c r="V76" s="25">
        <f t="shared" si="1"/>
        <v>591.40811455847256</v>
      </c>
      <c r="W76" s="15">
        <f t="shared" si="2"/>
        <v>0</v>
      </c>
      <c r="X76" s="15">
        <f t="shared" si="3"/>
        <v>0</v>
      </c>
      <c r="Y76" s="15">
        <f t="shared" si="4"/>
        <v>0</v>
      </c>
      <c r="Z76" s="13">
        <f t="shared" si="5"/>
        <v>1</v>
      </c>
      <c r="AA76" s="16">
        <f>VLOOKUP(S76,[1]CPI!$A$2:$D$67,4,0)</f>
        <v>1.1802137686524912</v>
      </c>
      <c r="AB76" s="17">
        <f t="shared" si="6"/>
        <v>29245.697187208731</v>
      </c>
      <c r="AC76" s="17">
        <f t="shared" si="7"/>
        <v>697.98799969471918</v>
      </c>
      <c r="AD76" s="16" t="s">
        <v>35</v>
      </c>
      <c r="AE76" s="26" t="s">
        <v>262</v>
      </c>
      <c r="AF76" s="19"/>
      <c r="AG76" s="19"/>
      <c r="AH76" s="19"/>
      <c r="AI76" s="19"/>
      <c r="AJ76" s="20"/>
      <c r="AK76" s="20"/>
      <c r="AL76" s="20"/>
      <c r="AM76" s="20"/>
      <c r="AN76" s="20"/>
      <c r="AO76" s="20"/>
      <c r="AP76" s="20"/>
      <c r="AQ76" s="20"/>
    </row>
    <row r="77" spans="1:43" ht="15.75" customHeight="1" x14ac:dyDescent="0.2">
      <c r="A77" s="21">
        <v>7282</v>
      </c>
      <c r="B77" s="16" t="s">
        <v>258</v>
      </c>
      <c r="C77" s="16" t="s">
        <v>259</v>
      </c>
      <c r="D77" s="22"/>
      <c r="E77" s="16" t="s">
        <v>263</v>
      </c>
      <c r="F77" s="13">
        <v>2014</v>
      </c>
      <c r="G77" s="13">
        <v>2024</v>
      </c>
      <c r="H77" s="13">
        <v>0</v>
      </c>
      <c r="I77" s="13">
        <v>43</v>
      </c>
      <c r="J77" s="23">
        <v>1</v>
      </c>
      <c r="K77" s="13">
        <v>43</v>
      </c>
      <c r="L77" s="13">
        <v>0</v>
      </c>
      <c r="M77" s="13">
        <v>0</v>
      </c>
      <c r="N77" s="13">
        <v>32</v>
      </c>
      <c r="O77" s="16"/>
      <c r="P77" s="16" t="s">
        <v>43</v>
      </c>
      <c r="Q77" s="24">
        <v>25000</v>
      </c>
      <c r="R77" s="16" t="s">
        <v>261</v>
      </c>
      <c r="S77" s="13">
        <v>2019</v>
      </c>
      <c r="T77" s="13">
        <v>1.1299999999999999</v>
      </c>
      <c r="U77" s="13">
        <f t="shared" si="0"/>
        <v>28249.999999999996</v>
      </c>
      <c r="V77" s="25">
        <f t="shared" si="1"/>
        <v>656.9767441860464</v>
      </c>
      <c r="W77" s="15">
        <f t="shared" si="2"/>
        <v>0</v>
      </c>
      <c r="X77" s="15">
        <f t="shared" si="3"/>
        <v>0</v>
      </c>
      <c r="Y77" s="15">
        <f t="shared" si="4"/>
        <v>0</v>
      </c>
      <c r="Z77" s="13">
        <f t="shared" si="5"/>
        <v>1</v>
      </c>
      <c r="AA77" s="16">
        <f>VLOOKUP(S77,[1]CPI!$A$2:$D$67,4,0)</f>
        <v>1.0598966584134211</v>
      </c>
      <c r="AB77" s="17">
        <f t="shared" si="6"/>
        <v>29942.080600179142</v>
      </c>
      <c r="AC77" s="17">
        <f t="shared" si="7"/>
        <v>696.32745581811957</v>
      </c>
      <c r="AD77" s="16" t="s">
        <v>43</v>
      </c>
      <c r="AE77" s="26" t="s">
        <v>264</v>
      </c>
      <c r="AF77" s="19"/>
      <c r="AG77" s="19"/>
      <c r="AH77" s="19"/>
      <c r="AI77" s="19"/>
      <c r="AJ77" s="20"/>
      <c r="AK77" s="20"/>
      <c r="AL77" s="20"/>
      <c r="AM77" s="20"/>
      <c r="AN77" s="20"/>
      <c r="AO77" s="20"/>
      <c r="AP77" s="20"/>
      <c r="AQ77" s="20"/>
    </row>
    <row r="78" spans="1:43" ht="15.75" customHeight="1" x14ac:dyDescent="0.2">
      <c r="A78" s="21">
        <v>7283</v>
      </c>
      <c r="B78" s="16" t="s">
        <v>38</v>
      </c>
      <c r="C78" s="16" t="s">
        <v>45</v>
      </c>
      <c r="D78" s="22"/>
      <c r="E78" s="16" t="s">
        <v>265</v>
      </c>
      <c r="F78" s="13">
        <v>2011</v>
      </c>
      <c r="G78" s="13">
        <v>2022</v>
      </c>
      <c r="H78" s="13">
        <v>0</v>
      </c>
      <c r="I78" s="13">
        <v>19</v>
      </c>
      <c r="J78" s="23">
        <v>0.53</v>
      </c>
      <c r="K78" s="13">
        <v>10</v>
      </c>
      <c r="L78" s="13">
        <v>0.62</v>
      </c>
      <c r="M78" s="13">
        <v>8.31</v>
      </c>
      <c r="N78" s="13">
        <v>25</v>
      </c>
      <c r="O78" s="16"/>
      <c r="P78" s="16" t="s">
        <v>35</v>
      </c>
      <c r="Q78" s="24">
        <v>5300</v>
      </c>
      <c r="R78" s="16" t="s">
        <v>42</v>
      </c>
      <c r="S78" s="13">
        <v>2016</v>
      </c>
      <c r="T78" s="13">
        <v>0.83</v>
      </c>
      <c r="U78" s="13">
        <f t="shared" si="0"/>
        <v>4399</v>
      </c>
      <c r="V78" s="25">
        <f t="shared" si="1"/>
        <v>231.52631578947367</v>
      </c>
      <c r="W78" s="15">
        <f t="shared" si="2"/>
        <v>0</v>
      </c>
      <c r="X78" s="15">
        <f t="shared" si="3"/>
        <v>0</v>
      </c>
      <c r="Y78" s="15">
        <f t="shared" si="4"/>
        <v>0</v>
      </c>
      <c r="Z78" s="13">
        <f t="shared" si="5"/>
        <v>1</v>
      </c>
      <c r="AA78" s="16">
        <f>VLOOKUP(S78,[1]CPI!$A$2:$D$67,4,0)</f>
        <v>1.1290087372451638</v>
      </c>
      <c r="AB78" s="17">
        <f t="shared" si="6"/>
        <v>4966.5094351414755</v>
      </c>
      <c r="AC78" s="17">
        <f t="shared" si="7"/>
        <v>261.39523342849873</v>
      </c>
      <c r="AD78" s="16" t="s">
        <v>73</v>
      </c>
      <c r="AE78" s="29" t="s">
        <v>266</v>
      </c>
      <c r="AF78" s="27"/>
      <c r="AG78" s="27"/>
      <c r="AH78" s="27"/>
      <c r="AI78" s="27"/>
      <c r="AJ78" s="28"/>
      <c r="AK78" s="28"/>
      <c r="AL78" s="28"/>
      <c r="AM78" s="28"/>
      <c r="AN78" s="28"/>
      <c r="AO78" s="28"/>
      <c r="AP78" s="28"/>
      <c r="AQ78" s="28"/>
    </row>
    <row r="79" spans="1:43" ht="15.75" customHeight="1" x14ac:dyDescent="0.2">
      <c r="A79" s="21">
        <v>7288</v>
      </c>
      <c r="B79" s="16" t="s">
        <v>267</v>
      </c>
      <c r="C79" s="16" t="s">
        <v>268</v>
      </c>
      <c r="D79" s="22"/>
      <c r="E79" s="16" t="s">
        <v>269</v>
      </c>
      <c r="F79" s="13">
        <v>2009</v>
      </c>
      <c r="G79" s="13">
        <v>2019</v>
      </c>
      <c r="H79" s="13">
        <v>0</v>
      </c>
      <c r="I79" s="13">
        <v>20.2</v>
      </c>
      <c r="J79" s="23">
        <v>0</v>
      </c>
      <c r="K79" s="13">
        <v>0</v>
      </c>
      <c r="L79" s="13">
        <v>0</v>
      </c>
      <c r="M79" s="13">
        <v>0</v>
      </c>
      <c r="N79" s="13">
        <v>17</v>
      </c>
      <c r="O79" s="16"/>
      <c r="P79" s="16" t="s">
        <v>35</v>
      </c>
      <c r="Q79" s="24">
        <v>30000</v>
      </c>
      <c r="R79" s="16" t="s">
        <v>270</v>
      </c>
      <c r="S79" s="13">
        <v>2014</v>
      </c>
      <c r="T79" s="13">
        <v>5.3999999999999999E-2</v>
      </c>
      <c r="U79" s="13">
        <f t="shared" si="0"/>
        <v>1620</v>
      </c>
      <c r="V79" s="25">
        <f t="shared" si="1"/>
        <v>80.198019801980195</v>
      </c>
      <c r="W79" s="15">
        <f t="shared" si="2"/>
        <v>0</v>
      </c>
      <c r="X79" s="15">
        <f t="shared" si="3"/>
        <v>0</v>
      </c>
      <c r="Y79" s="15">
        <f t="shared" si="4"/>
        <v>0</v>
      </c>
      <c r="Z79" s="13">
        <f t="shared" si="5"/>
        <v>0</v>
      </c>
      <c r="AA79" s="16">
        <f>VLOOKUP(S79,[1]CPI!$A$2:$D$67,4,0)</f>
        <v>1.1446083400919169</v>
      </c>
      <c r="AB79" s="17">
        <f t="shared" si="6"/>
        <v>1854.2655109489053</v>
      </c>
      <c r="AC79" s="17">
        <f t="shared" si="7"/>
        <v>91.795322324203241</v>
      </c>
      <c r="AD79" s="16" t="s">
        <v>43</v>
      </c>
      <c r="AE79" s="29" t="s">
        <v>271</v>
      </c>
      <c r="AF79" s="19"/>
      <c r="AG79" s="19"/>
      <c r="AH79" s="19"/>
      <c r="AI79" s="19"/>
      <c r="AJ79" s="20"/>
      <c r="AK79" s="20"/>
      <c r="AL79" s="20"/>
      <c r="AM79" s="20"/>
      <c r="AN79" s="20"/>
      <c r="AO79" s="20"/>
      <c r="AP79" s="20"/>
      <c r="AQ79" s="20"/>
    </row>
    <row r="80" spans="1:43" ht="15.75" customHeight="1" x14ac:dyDescent="0.2">
      <c r="A80" s="21">
        <v>7289</v>
      </c>
      <c r="B80" s="16" t="s">
        <v>267</v>
      </c>
      <c r="C80" s="16" t="s">
        <v>268</v>
      </c>
      <c r="D80" s="22"/>
      <c r="E80" s="16" t="s">
        <v>103</v>
      </c>
      <c r="F80" s="13">
        <v>2016</v>
      </c>
      <c r="G80" s="13">
        <v>2022</v>
      </c>
      <c r="H80" s="13">
        <v>0</v>
      </c>
      <c r="I80" s="13">
        <v>33.5</v>
      </c>
      <c r="J80" s="23">
        <v>1</v>
      </c>
      <c r="K80" s="13">
        <v>33.5</v>
      </c>
      <c r="L80" s="13">
        <v>0</v>
      </c>
      <c r="M80" s="13">
        <v>0</v>
      </c>
      <c r="N80" s="13">
        <v>27</v>
      </c>
      <c r="O80" s="16"/>
      <c r="P80" s="16" t="s">
        <v>43</v>
      </c>
      <c r="Q80" s="24">
        <v>320000</v>
      </c>
      <c r="R80" s="16" t="s">
        <v>270</v>
      </c>
      <c r="S80" s="13">
        <v>2019</v>
      </c>
      <c r="T80" s="13">
        <v>4.7E-2</v>
      </c>
      <c r="U80" s="13">
        <f t="shared" si="0"/>
        <v>15040</v>
      </c>
      <c r="V80" s="25">
        <f t="shared" si="1"/>
        <v>448.95522388059703</v>
      </c>
      <c r="W80" s="15">
        <f t="shared" si="2"/>
        <v>0</v>
      </c>
      <c r="X80" s="15">
        <f t="shared" si="3"/>
        <v>0</v>
      </c>
      <c r="Y80" s="15">
        <f t="shared" si="4"/>
        <v>0</v>
      </c>
      <c r="Z80" s="13">
        <f t="shared" si="5"/>
        <v>0</v>
      </c>
      <c r="AA80" s="16">
        <f>VLOOKUP(S80,[1]CPI!$A$2:$D$67,4,0)</f>
        <v>1.0598966584134211</v>
      </c>
      <c r="AB80" s="17">
        <f t="shared" si="6"/>
        <v>15940.845742537853</v>
      </c>
      <c r="AC80" s="17">
        <f t="shared" si="7"/>
        <v>475.84614156829412</v>
      </c>
      <c r="AD80" s="16" t="s">
        <v>73</v>
      </c>
      <c r="AE80" s="29" t="s">
        <v>272</v>
      </c>
      <c r="AF80" s="19"/>
      <c r="AG80" s="19"/>
      <c r="AH80" s="19"/>
      <c r="AI80" s="19"/>
      <c r="AJ80" s="20"/>
      <c r="AK80" s="20"/>
      <c r="AL80" s="20"/>
      <c r="AM80" s="20"/>
      <c r="AN80" s="20"/>
      <c r="AO80" s="20"/>
      <c r="AP80" s="20"/>
      <c r="AQ80" s="20"/>
    </row>
    <row r="81" spans="1:43" ht="15.75" customHeight="1" x14ac:dyDescent="0.2">
      <c r="A81" s="21">
        <v>7290</v>
      </c>
      <c r="B81" s="16" t="s">
        <v>267</v>
      </c>
      <c r="C81" s="16" t="s">
        <v>268</v>
      </c>
      <c r="D81" s="22" t="s">
        <v>99</v>
      </c>
      <c r="E81" s="16" t="s">
        <v>273</v>
      </c>
      <c r="F81" s="13">
        <v>2016</v>
      </c>
      <c r="G81" s="13">
        <v>2021</v>
      </c>
      <c r="H81" s="13">
        <v>0</v>
      </c>
      <c r="I81" s="13">
        <v>18.600000000000001</v>
      </c>
      <c r="J81" s="23">
        <v>0</v>
      </c>
      <c r="K81" s="13">
        <v>0</v>
      </c>
      <c r="L81" s="13">
        <v>17.48</v>
      </c>
      <c r="M81" s="13">
        <v>1.1200000000000001</v>
      </c>
      <c r="N81" s="13">
        <v>17</v>
      </c>
      <c r="O81" s="16"/>
      <c r="P81" s="16" t="s">
        <v>43</v>
      </c>
      <c r="Q81" s="24">
        <v>64100</v>
      </c>
      <c r="R81" s="16" t="s">
        <v>270</v>
      </c>
      <c r="S81" s="13">
        <v>2018</v>
      </c>
      <c r="T81" s="13">
        <v>4.8000000000000001E-2</v>
      </c>
      <c r="U81" s="13">
        <f t="shared" si="0"/>
        <v>3076.8</v>
      </c>
      <c r="V81" s="25">
        <f t="shared" si="1"/>
        <v>165.41935483870967</v>
      </c>
      <c r="W81" s="15">
        <f t="shared" si="2"/>
        <v>0</v>
      </c>
      <c r="X81" s="15">
        <f t="shared" si="3"/>
        <v>0</v>
      </c>
      <c r="Y81" s="15">
        <f t="shared" si="4"/>
        <v>0</v>
      </c>
      <c r="Z81" s="13">
        <f t="shared" si="5"/>
        <v>0</v>
      </c>
      <c r="AA81" s="16">
        <f>VLOOKUP(S81,[1]CPI!$A$2:$D$67,4,0)</f>
        <v>1.0791017375063221</v>
      </c>
      <c r="AB81" s="17">
        <f t="shared" si="6"/>
        <v>3320.1802259594519</v>
      </c>
      <c r="AC81" s="17">
        <f t="shared" si="7"/>
        <v>178.50431322362644</v>
      </c>
      <c r="AD81" s="16" t="s">
        <v>43</v>
      </c>
      <c r="AE81" s="29" t="s">
        <v>274</v>
      </c>
      <c r="AF81" s="19"/>
      <c r="AG81" s="19"/>
      <c r="AH81" s="19"/>
      <c r="AI81" s="19"/>
      <c r="AJ81" s="20"/>
      <c r="AK81" s="20"/>
      <c r="AL81" s="20"/>
      <c r="AM81" s="20"/>
      <c r="AN81" s="20"/>
      <c r="AO81" s="20"/>
      <c r="AP81" s="20"/>
      <c r="AQ81" s="20"/>
    </row>
    <row r="82" spans="1:43" ht="15.75" customHeight="1" x14ac:dyDescent="0.2">
      <c r="A82" s="21">
        <v>7291</v>
      </c>
      <c r="B82" s="16" t="s">
        <v>267</v>
      </c>
      <c r="C82" s="16" t="s">
        <v>268</v>
      </c>
      <c r="D82" s="22" t="s">
        <v>99</v>
      </c>
      <c r="E82" s="16" t="s">
        <v>275</v>
      </c>
      <c r="F82" s="13">
        <v>2018</v>
      </c>
      <c r="G82" s="13">
        <v>2023</v>
      </c>
      <c r="H82" s="13">
        <v>0</v>
      </c>
      <c r="I82" s="13">
        <v>23.5</v>
      </c>
      <c r="J82" s="23">
        <v>0</v>
      </c>
      <c r="K82" s="13">
        <v>0</v>
      </c>
      <c r="L82" s="13">
        <v>23.5</v>
      </c>
      <c r="M82" s="13">
        <v>0</v>
      </c>
      <c r="N82" s="13">
        <v>22</v>
      </c>
      <c r="O82" s="16"/>
      <c r="P82" s="16" t="s">
        <v>35</v>
      </c>
      <c r="Q82" s="24">
        <v>109860</v>
      </c>
      <c r="R82" s="16" t="s">
        <v>270</v>
      </c>
      <c r="S82" s="13">
        <v>2020</v>
      </c>
      <c r="T82" s="13">
        <v>4.7E-2</v>
      </c>
      <c r="U82" s="13">
        <f t="shared" si="0"/>
        <v>5163.42</v>
      </c>
      <c r="V82" s="25">
        <f t="shared" si="1"/>
        <v>219.72</v>
      </c>
      <c r="W82" s="15">
        <f t="shared" si="2"/>
        <v>0</v>
      </c>
      <c r="X82" s="15">
        <f t="shared" si="3"/>
        <v>0</v>
      </c>
      <c r="Y82" s="15">
        <f t="shared" si="4"/>
        <v>0</v>
      </c>
      <c r="Z82" s="13">
        <f t="shared" si="5"/>
        <v>0</v>
      </c>
      <c r="AA82" s="16">
        <f>VLOOKUP(S82,[1]CPI!$A$2:$D$67,4,0)</f>
        <v>1.0469802288156225</v>
      </c>
      <c r="AB82" s="17">
        <f t="shared" si="6"/>
        <v>5405.9986530711612</v>
      </c>
      <c r="AC82" s="17">
        <f t="shared" si="7"/>
        <v>230.04249587536856</v>
      </c>
      <c r="AD82" s="16" t="s">
        <v>35</v>
      </c>
      <c r="AE82" s="29" t="s">
        <v>276</v>
      </c>
      <c r="AF82" s="19"/>
      <c r="AG82" s="19"/>
      <c r="AH82" s="19"/>
      <c r="AI82" s="19"/>
      <c r="AJ82" s="20"/>
      <c r="AK82" s="20"/>
      <c r="AL82" s="20"/>
      <c r="AM82" s="20"/>
      <c r="AN82" s="20"/>
      <c r="AO82" s="20"/>
      <c r="AP82" s="20"/>
      <c r="AQ82" s="20"/>
    </row>
    <row r="83" spans="1:43" ht="15.75" customHeight="1" x14ac:dyDescent="0.2">
      <c r="A83" s="21">
        <v>7296</v>
      </c>
      <c r="B83" s="16" t="s">
        <v>267</v>
      </c>
      <c r="C83" s="16" t="s">
        <v>268</v>
      </c>
      <c r="D83" s="22" t="s">
        <v>142</v>
      </c>
      <c r="E83" s="16" t="s">
        <v>142</v>
      </c>
      <c r="F83" s="13">
        <v>2018</v>
      </c>
      <c r="G83" s="13">
        <v>2022</v>
      </c>
      <c r="H83" s="13">
        <v>0</v>
      </c>
      <c r="I83" s="13">
        <v>32.299999999999997</v>
      </c>
      <c r="J83" s="23">
        <v>0</v>
      </c>
      <c r="K83" s="13">
        <v>0</v>
      </c>
      <c r="L83" s="13">
        <v>31.71</v>
      </c>
      <c r="M83" s="13">
        <v>0.59</v>
      </c>
      <c r="N83" s="13">
        <v>32</v>
      </c>
      <c r="O83" s="16"/>
      <c r="P83" s="16" t="s">
        <v>35</v>
      </c>
      <c r="Q83" s="24">
        <v>145490</v>
      </c>
      <c r="R83" s="16" t="s">
        <v>270</v>
      </c>
      <c r="S83" s="13">
        <v>2020</v>
      </c>
      <c r="T83" s="13">
        <v>4.7E-2</v>
      </c>
      <c r="U83" s="13">
        <f t="shared" si="0"/>
        <v>6838.03</v>
      </c>
      <c r="V83" s="25">
        <f t="shared" si="1"/>
        <v>211.70371517027866</v>
      </c>
      <c r="W83" s="15">
        <f t="shared" si="2"/>
        <v>0</v>
      </c>
      <c r="X83" s="15">
        <f t="shared" si="3"/>
        <v>0</v>
      </c>
      <c r="Y83" s="15">
        <f t="shared" si="4"/>
        <v>0</v>
      </c>
      <c r="Z83" s="13">
        <f t="shared" si="5"/>
        <v>0</v>
      </c>
      <c r="AA83" s="16">
        <f>VLOOKUP(S83,[1]CPI!$A$2:$D$67,4,0)</f>
        <v>1.0469802288156225</v>
      </c>
      <c r="AB83" s="17">
        <f t="shared" si="6"/>
        <v>7159.2822140480903</v>
      </c>
      <c r="AC83" s="17">
        <f t="shared" si="7"/>
        <v>221.64960415009571</v>
      </c>
      <c r="AD83" s="16" t="s">
        <v>35</v>
      </c>
      <c r="AE83" s="26" t="s">
        <v>277</v>
      </c>
      <c r="AF83" s="19"/>
      <c r="AG83" s="19"/>
      <c r="AH83" s="19"/>
      <c r="AI83" s="19"/>
      <c r="AJ83" s="20"/>
      <c r="AK83" s="20"/>
      <c r="AL83" s="20"/>
      <c r="AM83" s="20"/>
      <c r="AN83" s="20"/>
      <c r="AO83" s="20"/>
      <c r="AP83" s="20"/>
      <c r="AQ83" s="20"/>
    </row>
    <row r="84" spans="1:43" ht="15.75" customHeight="1" x14ac:dyDescent="0.2">
      <c r="A84" s="21">
        <v>7297</v>
      </c>
      <c r="B84" s="16" t="s">
        <v>267</v>
      </c>
      <c r="C84" s="16" t="s">
        <v>268</v>
      </c>
      <c r="D84" s="22" t="s">
        <v>142</v>
      </c>
      <c r="E84" s="16" t="s">
        <v>278</v>
      </c>
      <c r="F84" s="13">
        <v>2019</v>
      </c>
      <c r="G84" s="13">
        <v>2022</v>
      </c>
      <c r="H84" s="13">
        <v>0</v>
      </c>
      <c r="I84" s="13">
        <v>2.7</v>
      </c>
      <c r="J84" s="23">
        <v>0</v>
      </c>
      <c r="K84" s="13">
        <v>0</v>
      </c>
      <c r="L84" s="13">
        <v>0</v>
      </c>
      <c r="M84" s="13">
        <v>0</v>
      </c>
      <c r="N84" s="13">
        <v>2</v>
      </c>
      <c r="O84" s="16"/>
      <c r="P84" s="16" t="s">
        <v>35</v>
      </c>
      <c r="Q84" s="24">
        <v>7860</v>
      </c>
      <c r="R84" s="16" t="s">
        <v>270</v>
      </c>
      <c r="S84" s="13">
        <v>2017</v>
      </c>
      <c r="T84" s="13">
        <v>4.8000000000000001E-2</v>
      </c>
      <c r="U84" s="13">
        <f t="shared" si="0"/>
        <v>377.28000000000003</v>
      </c>
      <c r="V84" s="25">
        <f t="shared" si="1"/>
        <v>139.73333333333335</v>
      </c>
      <c r="W84" s="15">
        <f t="shared" si="2"/>
        <v>0</v>
      </c>
      <c r="X84" s="15">
        <f t="shared" si="3"/>
        <v>0</v>
      </c>
      <c r="Y84" s="15">
        <f t="shared" si="4"/>
        <v>0</v>
      </c>
      <c r="Z84" s="13">
        <f t="shared" si="5"/>
        <v>0</v>
      </c>
      <c r="AA84" s="16">
        <f>VLOOKUP(S84,[1]CPI!$A$2:$D$67,4,0)</f>
        <v>1.1054585509138382</v>
      </c>
      <c r="AB84" s="17">
        <f t="shared" si="6"/>
        <v>417.06740208877289</v>
      </c>
      <c r="AC84" s="17">
        <f t="shared" si="7"/>
        <v>154.46940818102701</v>
      </c>
      <c r="AD84" s="16" t="s">
        <v>35</v>
      </c>
      <c r="AE84" s="26" t="s">
        <v>279</v>
      </c>
      <c r="AF84" s="19"/>
      <c r="AG84" s="19"/>
      <c r="AH84" s="19"/>
      <c r="AI84" s="19"/>
      <c r="AJ84" s="20"/>
      <c r="AK84" s="20"/>
      <c r="AL84" s="20"/>
      <c r="AM84" s="20"/>
      <c r="AN84" s="20"/>
      <c r="AO84" s="20"/>
      <c r="AP84" s="20"/>
      <c r="AQ84" s="20"/>
    </row>
    <row r="85" spans="1:43" ht="15.75" customHeight="1" x14ac:dyDescent="0.2">
      <c r="A85" s="21">
        <v>7298</v>
      </c>
      <c r="B85" s="16" t="s">
        <v>267</v>
      </c>
      <c r="C85" s="16" t="s">
        <v>268</v>
      </c>
      <c r="D85" s="22"/>
      <c r="E85" s="16" t="s">
        <v>119</v>
      </c>
      <c r="F85" s="13">
        <v>2017</v>
      </c>
      <c r="G85" s="13">
        <v>2024</v>
      </c>
      <c r="H85" s="13">
        <v>0</v>
      </c>
      <c r="I85" s="13">
        <v>24.9</v>
      </c>
      <c r="J85" s="23">
        <v>0</v>
      </c>
      <c r="K85" s="13">
        <v>0</v>
      </c>
      <c r="L85" s="13">
        <v>0</v>
      </c>
      <c r="M85" s="13">
        <v>0</v>
      </c>
      <c r="N85" s="13">
        <v>16</v>
      </c>
      <c r="O85" s="16"/>
      <c r="P85" s="16" t="s">
        <v>35</v>
      </c>
      <c r="Q85" s="24">
        <v>84165</v>
      </c>
      <c r="R85" s="16" t="s">
        <v>270</v>
      </c>
      <c r="S85" s="13">
        <v>2020</v>
      </c>
      <c r="T85" s="13">
        <v>4.7E-2</v>
      </c>
      <c r="U85" s="13">
        <f t="shared" si="0"/>
        <v>3955.7550000000001</v>
      </c>
      <c r="V85" s="25">
        <f t="shared" si="1"/>
        <v>158.86566265060242</v>
      </c>
      <c r="W85" s="15">
        <f t="shared" si="2"/>
        <v>0</v>
      </c>
      <c r="X85" s="15">
        <f t="shared" si="3"/>
        <v>0</v>
      </c>
      <c r="Y85" s="15">
        <f t="shared" si="4"/>
        <v>0</v>
      </c>
      <c r="Z85" s="13">
        <f t="shared" si="5"/>
        <v>0</v>
      </c>
      <c r="AA85" s="16">
        <f>VLOOKUP(S85,[1]CPI!$A$2:$D$67,4,0)</f>
        <v>1.0469802288156225</v>
      </c>
      <c r="AB85" s="17">
        <f t="shared" si="6"/>
        <v>4141.5972750385426</v>
      </c>
      <c r="AC85" s="17">
        <f t="shared" si="7"/>
        <v>166.32920783287321</v>
      </c>
      <c r="AD85" s="16" t="s">
        <v>35</v>
      </c>
      <c r="AE85" s="29" t="s">
        <v>280</v>
      </c>
      <c r="AF85" s="19"/>
      <c r="AG85" s="19"/>
      <c r="AH85" s="19"/>
      <c r="AI85" s="19"/>
      <c r="AJ85" s="20"/>
      <c r="AK85" s="20"/>
      <c r="AL85" s="20"/>
      <c r="AM85" s="20"/>
      <c r="AN85" s="20"/>
      <c r="AO85" s="20"/>
      <c r="AP85" s="20"/>
      <c r="AQ85" s="20"/>
    </row>
    <row r="86" spans="1:43" ht="15.75" customHeight="1" x14ac:dyDescent="0.2">
      <c r="A86" s="21">
        <v>7299</v>
      </c>
      <c r="B86" s="16" t="s">
        <v>267</v>
      </c>
      <c r="C86" s="16" t="s">
        <v>268</v>
      </c>
      <c r="D86" s="22"/>
      <c r="E86" s="16" t="s">
        <v>281</v>
      </c>
      <c r="F86" s="13">
        <v>2017</v>
      </c>
      <c r="G86" s="13">
        <v>2022</v>
      </c>
      <c r="H86" s="13">
        <v>0</v>
      </c>
      <c r="I86" s="13">
        <v>14.5</v>
      </c>
      <c r="J86" s="23">
        <v>0</v>
      </c>
      <c r="K86" s="13">
        <v>0</v>
      </c>
      <c r="L86" s="13">
        <v>14.5</v>
      </c>
      <c r="M86" s="13">
        <v>0</v>
      </c>
      <c r="N86" s="13">
        <v>13</v>
      </c>
      <c r="O86" s="16"/>
      <c r="P86" s="16" t="s">
        <v>50</v>
      </c>
      <c r="Q86" s="24">
        <v>55670</v>
      </c>
      <c r="R86" s="16" t="s">
        <v>270</v>
      </c>
      <c r="S86" s="13">
        <v>2016</v>
      </c>
      <c r="T86" s="13">
        <v>0.05</v>
      </c>
      <c r="U86" s="13">
        <f t="shared" si="0"/>
        <v>2783.5</v>
      </c>
      <c r="V86" s="25">
        <f t="shared" si="1"/>
        <v>191.9655172413793</v>
      </c>
      <c r="W86" s="15">
        <f t="shared" si="2"/>
        <v>0</v>
      </c>
      <c r="X86" s="15">
        <f t="shared" si="3"/>
        <v>0</v>
      </c>
      <c r="Y86" s="15">
        <f t="shared" si="4"/>
        <v>0</v>
      </c>
      <c r="Z86" s="13">
        <f t="shared" si="5"/>
        <v>0</v>
      </c>
      <c r="AA86" s="16">
        <f>VLOOKUP(S86,[1]CPI!$A$2:$D$67,4,0)</f>
        <v>1.1290087372451638</v>
      </c>
      <c r="AB86" s="17">
        <f t="shared" si="6"/>
        <v>3142.5958201219137</v>
      </c>
      <c r="AC86" s="17">
        <f t="shared" si="7"/>
        <v>216.73074621530438</v>
      </c>
      <c r="AD86" s="16" t="s">
        <v>43</v>
      </c>
      <c r="AE86" s="26" t="s">
        <v>282</v>
      </c>
      <c r="AF86" s="19"/>
      <c r="AG86" s="19"/>
      <c r="AH86" s="19"/>
      <c r="AI86" s="19"/>
      <c r="AJ86" s="20"/>
      <c r="AK86" s="20"/>
      <c r="AL86" s="20"/>
      <c r="AM86" s="20"/>
      <c r="AN86" s="20"/>
      <c r="AO86" s="20"/>
      <c r="AP86" s="20"/>
      <c r="AQ86" s="20"/>
    </row>
    <row r="87" spans="1:43" ht="15.75" customHeight="1" x14ac:dyDescent="0.2">
      <c r="A87" s="21">
        <v>7304</v>
      </c>
      <c r="B87" s="16" t="s">
        <v>267</v>
      </c>
      <c r="C87" s="16" t="s">
        <v>268</v>
      </c>
      <c r="D87" s="22"/>
      <c r="E87" s="16" t="s">
        <v>283</v>
      </c>
      <c r="F87" s="13">
        <v>2016</v>
      </c>
      <c r="G87" s="13">
        <v>2021</v>
      </c>
      <c r="H87" s="13">
        <v>0</v>
      </c>
      <c r="I87" s="13">
        <v>16.5</v>
      </c>
      <c r="J87" s="23">
        <v>0</v>
      </c>
      <c r="K87" s="13">
        <v>0</v>
      </c>
      <c r="L87" s="13">
        <v>15.505000000000001</v>
      </c>
      <c r="M87" s="13">
        <v>0.995</v>
      </c>
      <c r="N87" s="13">
        <v>14</v>
      </c>
      <c r="O87" s="16"/>
      <c r="P87" s="16" t="s">
        <v>50</v>
      </c>
      <c r="Q87" s="24">
        <v>62080</v>
      </c>
      <c r="R87" s="16" t="s">
        <v>270</v>
      </c>
      <c r="S87" s="13">
        <v>2018</v>
      </c>
      <c r="T87" s="13">
        <v>4.8000000000000001E-2</v>
      </c>
      <c r="U87" s="13">
        <f t="shared" si="0"/>
        <v>2979.84</v>
      </c>
      <c r="V87" s="25">
        <f t="shared" si="1"/>
        <v>180.59636363636363</v>
      </c>
      <c r="W87" s="15">
        <f t="shared" si="2"/>
        <v>0</v>
      </c>
      <c r="X87" s="15">
        <f t="shared" si="3"/>
        <v>0</v>
      </c>
      <c r="Y87" s="15">
        <f t="shared" si="4"/>
        <v>0</v>
      </c>
      <c r="Z87" s="13">
        <f t="shared" si="5"/>
        <v>0</v>
      </c>
      <c r="AA87" s="16">
        <f>VLOOKUP(S87,[1]CPI!$A$2:$D$67,4,0)</f>
        <v>1.0791017375063221</v>
      </c>
      <c r="AB87" s="17">
        <f t="shared" si="6"/>
        <v>3215.5505214908389</v>
      </c>
      <c r="AC87" s="17">
        <f t="shared" si="7"/>
        <v>194.88184978732357</v>
      </c>
      <c r="AD87" s="16" t="s">
        <v>43</v>
      </c>
      <c r="AE87" s="26" t="s">
        <v>284</v>
      </c>
      <c r="AF87" s="19"/>
      <c r="AG87" s="19"/>
      <c r="AH87" s="19"/>
      <c r="AI87" s="19"/>
      <c r="AJ87" s="20"/>
      <c r="AK87" s="20"/>
      <c r="AL87" s="20"/>
      <c r="AM87" s="20"/>
      <c r="AN87" s="20"/>
      <c r="AO87" s="20"/>
      <c r="AP87" s="20"/>
      <c r="AQ87" s="20"/>
    </row>
    <row r="88" spans="1:43" ht="15.75" customHeight="1" x14ac:dyDescent="0.2">
      <c r="A88" s="21">
        <v>7305</v>
      </c>
      <c r="B88" s="16" t="s">
        <v>267</v>
      </c>
      <c r="C88" s="16" t="s">
        <v>268</v>
      </c>
      <c r="D88" s="22"/>
      <c r="E88" s="16" t="s">
        <v>285</v>
      </c>
      <c r="F88" s="13">
        <v>2019</v>
      </c>
      <c r="G88" s="13">
        <v>2022</v>
      </c>
      <c r="H88" s="13">
        <v>0</v>
      </c>
      <c r="I88" s="13">
        <v>13.5</v>
      </c>
      <c r="J88" s="23">
        <v>0.16</v>
      </c>
      <c r="K88" s="13">
        <v>2.2000000000000002</v>
      </c>
      <c r="L88" s="13">
        <v>0</v>
      </c>
      <c r="M88" s="13">
        <v>0</v>
      </c>
      <c r="N88" s="13">
        <v>11</v>
      </c>
      <c r="O88" s="16"/>
      <c r="P88" s="16" t="s">
        <v>35</v>
      </c>
      <c r="Q88" s="24">
        <v>65180</v>
      </c>
      <c r="R88" s="16" t="s">
        <v>270</v>
      </c>
      <c r="S88" s="13">
        <v>2020</v>
      </c>
      <c r="T88" s="13">
        <v>4.7E-2</v>
      </c>
      <c r="U88" s="13">
        <f t="shared" si="0"/>
        <v>3063.46</v>
      </c>
      <c r="V88" s="25">
        <f t="shared" si="1"/>
        <v>226.92296296296297</v>
      </c>
      <c r="W88" s="15">
        <f t="shared" si="2"/>
        <v>0</v>
      </c>
      <c r="X88" s="15">
        <f t="shared" si="3"/>
        <v>0</v>
      </c>
      <c r="Y88" s="15">
        <f t="shared" si="4"/>
        <v>0</v>
      </c>
      <c r="Z88" s="13">
        <f t="shared" si="5"/>
        <v>0</v>
      </c>
      <c r="AA88" s="16">
        <f>VLOOKUP(S88,[1]CPI!$A$2:$D$67,4,0)</f>
        <v>1.0469802288156225</v>
      </c>
      <c r="AB88" s="17">
        <f t="shared" si="6"/>
        <v>3207.3820517675067</v>
      </c>
      <c r="AC88" s="17">
        <f t="shared" si="7"/>
        <v>237.583855686482</v>
      </c>
      <c r="AD88" s="16" t="s">
        <v>35</v>
      </c>
      <c r="AE88" s="26" t="s">
        <v>286</v>
      </c>
      <c r="AF88" s="19"/>
      <c r="AG88" s="19"/>
      <c r="AH88" s="19"/>
      <c r="AI88" s="19"/>
      <c r="AJ88" s="20"/>
      <c r="AK88" s="20"/>
      <c r="AL88" s="20"/>
      <c r="AM88" s="20"/>
      <c r="AN88" s="20"/>
      <c r="AO88" s="20"/>
      <c r="AP88" s="20"/>
      <c r="AQ88" s="20"/>
    </row>
    <row r="89" spans="1:43" ht="15.75" customHeight="1" x14ac:dyDescent="0.2">
      <c r="A89" s="21">
        <v>7306</v>
      </c>
      <c r="B89" s="16" t="s">
        <v>267</v>
      </c>
      <c r="C89" s="16" t="s">
        <v>268</v>
      </c>
      <c r="D89" s="22"/>
      <c r="E89" s="16" t="s">
        <v>287</v>
      </c>
      <c r="F89" s="13">
        <v>2020</v>
      </c>
      <c r="G89" s="13">
        <v>2024</v>
      </c>
      <c r="H89" s="13">
        <v>0</v>
      </c>
      <c r="I89" s="13">
        <v>9.1999999999999993</v>
      </c>
      <c r="J89" s="23">
        <v>0.08</v>
      </c>
      <c r="K89" s="13">
        <v>0.7</v>
      </c>
      <c r="L89" s="13">
        <v>0</v>
      </c>
      <c r="M89" s="13">
        <v>0</v>
      </c>
      <c r="N89" s="13">
        <v>4</v>
      </c>
      <c r="O89" s="16"/>
      <c r="P89" s="16" t="s">
        <v>35</v>
      </c>
      <c r="Q89" s="24">
        <v>38210</v>
      </c>
      <c r="R89" s="16" t="s">
        <v>270</v>
      </c>
      <c r="S89" s="13">
        <v>2018</v>
      </c>
      <c r="T89" s="13">
        <v>4.8000000000000001E-2</v>
      </c>
      <c r="U89" s="13">
        <f t="shared" si="0"/>
        <v>1834.08</v>
      </c>
      <c r="V89" s="25">
        <f t="shared" si="1"/>
        <v>199.35652173913044</v>
      </c>
      <c r="W89" s="15">
        <f t="shared" si="2"/>
        <v>0</v>
      </c>
      <c r="X89" s="15">
        <f t="shared" si="3"/>
        <v>0</v>
      </c>
      <c r="Y89" s="15">
        <f t="shared" si="4"/>
        <v>0</v>
      </c>
      <c r="Z89" s="13">
        <f t="shared" si="5"/>
        <v>0</v>
      </c>
      <c r="AA89" s="16">
        <f>VLOOKUP(S89,[1]CPI!$A$2:$D$67,4,0)</f>
        <v>1.0791017375063221</v>
      </c>
      <c r="AB89" s="17">
        <f t="shared" si="6"/>
        <v>1979.1589147255952</v>
      </c>
      <c r="AC89" s="17">
        <f t="shared" si="7"/>
        <v>215.12596899191254</v>
      </c>
      <c r="AD89" s="16" t="s">
        <v>35</v>
      </c>
      <c r="AE89" s="29" t="s">
        <v>288</v>
      </c>
      <c r="AF89" s="19"/>
      <c r="AG89" s="19"/>
      <c r="AH89" s="19"/>
      <c r="AI89" s="19"/>
      <c r="AJ89" s="20"/>
      <c r="AK89" s="20"/>
      <c r="AL89" s="20"/>
      <c r="AM89" s="20"/>
      <c r="AN89" s="20"/>
      <c r="AO89" s="20"/>
      <c r="AP89" s="20"/>
      <c r="AQ89" s="20"/>
    </row>
    <row r="90" spans="1:43" ht="15.75" customHeight="1" x14ac:dyDescent="0.2">
      <c r="A90" s="21">
        <v>7307</v>
      </c>
      <c r="B90" s="16" t="s">
        <v>267</v>
      </c>
      <c r="C90" s="16" t="s">
        <v>268</v>
      </c>
      <c r="D90" s="22"/>
      <c r="E90" s="16" t="s">
        <v>124</v>
      </c>
      <c r="F90" s="13">
        <v>2020</v>
      </c>
      <c r="G90" s="13">
        <v>2026</v>
      </c>
      <c r="H90" s="13">
        <v>0</v>
      </c>
      <c r="I90" s="13">
        <v>12.8</v>
      </c>
      <c r="J90" s="23">
        <v>0.69</v>
      </c>
      <c r="K90" s="13">
        <v>8.8000000000000007</v>
      </c>
      <c r="L90" s="13">
        <v>0</v>
      </c>
      <c r="M90" s="13">
        <v>0</v>
      </c>
      <c r="N90" s="13">
        <v>10</v>
      </c>
      <c r="O90" s="16"/>
      <c r="P90" s="16" t="s">
        <v>35</v>
      </c>
      <c r="Q90" s="24">
        <v>70850</v>
      </c>
      <c r="R90" s="16" t="s">
        <v>270</v>
      </c>
      <c r="S90" s="13">
        <v>2018</v>
      </c>
      <c r="T90" s="13">
        <v>4.8000000000000001E-2</v>
      </c>
      <c r="U90" s="13">
        <f t="shared" si="0"/>
        <v>3400.8</v>
      </c>
      <c r="V90" s="25">
        <f t="shared" si="1"/>
        <v>265.6875</v>
      </c>
      <c r="W90" s="15">
        <f t="shared" si="2"/>
        <v>0</v>
      </c>
      <c r="X90" s="15">
        <f t="shared" si="3"/>
        <v>0</v>
      </c>
      <c r="Y90" s="15">
        <f t="shared" si="4"/>
        <v>0</v>
      </c>
      <c r="Z90" s="13">
        <f t="shared" si="5"/>
        <v>0</v>
      </c>
      <c r="AA90" s="16">
        <f>VLOOKUP(S90,[1]CPI!$A$2:$D$67,4,0)</f>
        <v>1.0791017375063221</v>
      </c>
      <c r="AB90" s="17">
        <f t="shared" si="6"/>
        <v>3669.8091889115003</v>
      </c>
      <c r="AC90" s="17">
        <f t="shared" si="7"/>
        <v>286.70384288371093</v>
      </c>
      <c r="AD90" s="16" t="s">
        <v>35</v>
      </c>
      <c r="AE90" s="29" t="s">
        <v>289</v>
      </c>
      <c r="AF90" s="19"/>
      <c r="AG90" s="19"/>
      <c r="AH90" s="19"/>
      <c r="AI90" s="19"/>
      <c r="AJ90" s="20"/>
      <c r="AK90" s="20"/>
      <c r="AL90" s="20"/>
      <c r="AM90" s="20"/>
      <c r="AN90" s="20"/>
      <c r="AO90" s="20"/>
      <c r="AP90" s="20"/>
      <c r="AQ90" s="20"/>
    </row>
    <row r="91" spans="1:43" ht="15.75" customHeight="1" x14ac:dyDescent="0.2">
      <c r="A91" s="21">
        <v>7312</v>
      </c>
      <c r="B91" s="16" t="s">
        <v>267</v>
      </c>
      <c r="C91" s="16" t="s">
        <v>268</v>
      </c>
      <c r="D91" s="22"/>
      <c r="E91" s="16" t="s">
        <v>182</v>
      </c>
      <c r="F91" s="13">
        <v>2020</v>
      </c>
      <c r="G91" s="13">
        <v>2026</v>
      </c>
      <c r="H91" s="13">
        <v>0</v>
      </c>
      <c r="I91" s="13">
        <v>20.8</v>
      </c>
      <c r="J91" s="23">
        <v>0</v>
      </c>
      <c r="K91" s="13">
        <v>0</v>
      </c>
      <c r="L91" s="13">
        <v>0</v>
      </c>
      <c r="M91" s="13">
        <v>0</v>
      </c>
      <c r="N91" s="13">
        <v>17</v>
      </c>
      <c r="O91" s="16"/>
      <c r="P91" s="16" t="s">
        <v>35</v>
      </c>
      <c r="Q91" s="24">
        <v>47380</v>
      </c>
      <c r="R91" s="16" t="s">
        <v>270</v>
      </c>
      <c r="S91" s="13">
        <v>2018</v>
      </c>
      <c r="T91" s="13">
        <v>4.8000000000000001E-2</v>
      </c>
      <c r="U91" s="13">
        <f t="shared" si="0"/>
        <v>2274.2400000000002</v>
      </c>
      <c r="V91" s="25">
        <f t="shared" si="1"/>
        <v>109.33846153846154</v>
      </c>
      <c r="W91" s="15">
        <f t="shared" si="2"/>
        <v>0</v>
      </c>
      <c r="X91" s="15">
        <f t="shared" si="3"/>
        <v>0</v>
      </c>
      <c r="Y91" s="15">
        <f t="shared" si="4"/>
        <v>0</v>
      </c>
      <c r="Z91" s="13">
        <f t="shared" si="5"/>
        <v>0</v>
      </c>
      <c r="AA91" s="16">
        <f>VLOOKUP(S91,[1]CPI!$A$2:$D$67,4,0)</f>
        <v>1.0791017375063221</v>
      </c>
      <c r="AB91" s="17">
        <f t="shared" si="6"/>
        <v>2454.1363355063781</v>
      </c>
      <c r="AC91" s="17">
        <f t="shared" si="7"/>
        <v>117.98732382242203</v>
      </c>
      <c r="AD91" s="16" t="s">
        <v>35</v>
      </c>
      <c r="AE91" s="29" t="s">
        <v>290</v>
      </c>
      <c r="AF91" s="19"/>
      <c r="AG91" s="19"/>
      <c r="AH91" s="19"/>
      <c r="AI91" s="19"/>
      <c r="AJ91" s="20"/>
      <c r="AK91" s="20"/>
      <c r="AL91" s="20"/>
      <c r="AM91" s="20"/>
      <c r="AN91" s="20"/>
      <c r="AO91" s="20"/>
      <c r="AP91" s="20"/>
      <c r="AQ91" s="20"/>
    </row>
    <row r="92" spans="1:43" ht="15.75" customHeight="1" x14ac:dyDescent="0.2">
      <c r="A92" s="21">
        <v>7313</v>
      </c>
      <c r="B92" s="16" t="s">
        <v>291</v>
      </c>
      <c r="C92" s="16" t="s">
        <v>292</v>
      </c>
      <c r="D92" s="22"/>
      <c r="E92" s="16" t="s">
        <v>142</v>
      </c>
      <c r="F92" s="13">
        <v>2019</v>
      </c>
      <c r="G92" s="13">
        <v>2027</v>
      </c>
      <c r="H92" s="13">
        <v>0</v>
      </c>
      <c r="I92" s="13">
        <v>12.8</v>
      </c>
      <c r="J92" s="23">
        <v>1</v>
      </c>
      <c r="K92" s="13">
        <v>12.8</v>
      </c>
      <c r="L92" s="13">
        <v>0</v>
      </c>
      <c r="M92" s="13">
        <v>0</v>
      </c>
      <c r="N92" s="13">
        <v>15</v>
      </c>
      <c r="O92" s="16"/>
      <c r="P92" s="16" t="s">
        <v>35</v>
      </c>
      <c r="Q92" s="24">
        <v>1328</v>
      </c>
      <c r="R92" s="16" t="s">
        <v>36</v>
      </c>
      <c r="S92" s="13">
        <v>2023</v>
      </c>
      <c r="T92" s="13">
        <v>1.3</v>
      </c>
      <c r="U92" s="13">
        <f t="shared" si="0"/>
        <v>1726.4</v>
      </c>
      <c r="V92" s="25">
        <f t="shared" si="1"/>
        <v>134.875</v>
      </c>
      <c r="W92" s="15">
        <f t="shared" si="2"/>
        <v>1</v>
      </c>
      <c r="X92" s="15">
        <f t="shared" si="3"/>
        <v>12.8</v>
      </c>
      <c r="Y92" s="15">
        <f t="shared" si="4"/>
        <v>12.8</v>
      </c>
      <c r="Z92" s="13">
        <f t="shared" si="5"/>
        <v>0</v>
      </c>
      <c r="AA92" s="16">
        <f>VLOOKUP(S92,[1]CPI!$A$2:$D$67,4,0)</f>
        <v>1</v>
      </c>
      <c r="AB92" s="17">
        <f t="shared" si="6"/>
        <v>1726.4</v>
      </c>
      <c r="AC92" s="17">
        <f t="shared" si="7"/>
        <v>134.875</v>
      </c>
      <c r="AD92" s="16" t="s">
        <v>35</v>
      </c>
      <c r="AE92" s="29" t="s">
        <v>293</v>
      </c>
      <c r="AF92" s="19"/>
      <c r="AG92" s="19"/>
      <c r="AH92" s="19"/>
      <c r="AI92" s="19"/>
      <c r="AJ92" s="20"/>
      <c r="AK92" s="20"/>
      <c r="AL92" s="20"/>
      <c r="AM92" s="20"/>
      <c r="AN92" s="20"/>
      <c r="AO92" s="20"/>
      <c r="AP92" s="20"/>
      <c r="AQ92" s="20"/>
    </row>
    <row r="93" spans="1:43" ht="15.75" customHeight="1" x14ac:dyDescent="0.2">
      <c r="A93" s="21">
        <v>7314</v>
      </c>
      <c r="B93" s="16" t="s">
        <v>291</v>
      </c>
      <c r="C93" s="16" t="s">
        <v>292</v>
      </c>
      <c r="D93" s="22"/>
      <c r="E93" s="16" t="s">
        <v>294</v>
      </c>
      <c r="F93" s="13">
        <v>2012</v>
      </c>
      <c r="G93" s="13">
        <v>2021</v>
      </c>
      <c r="H93" s="13">
        <v>0</v>
      </c>
      <c r="I93" s="13">
        <v>7.6</v>
      </c>
      <c r="J93" s="23">
        <v>1</v>
      </c>
      <c r="K93" s="13">
        <v>7.6</v>
      </c>
      <c r="L93" s="13">
        <v>0</v>
      </c>
      <c r="M93" s="13">
        <v>0</v>
      </c>
      <c r="N93" s="13">
        <v>6</v>
      </c>
      <c r="O93" s="16"/>
      <c r="P93" s="16" t="s">
        <v>35</v>
      </c>
      <c r="Q93" s="24">
        <v>742</v>
      </c>
      <c r="R93" s="16" t="s">
        <v>36</v>
      </c>
      <c r="S93" s="13">
        <v>2016</v>
      </c>
      <c r="T93" s="13">
        <v>1.3</v>
      </c>
      <c r="U93" s="13">
        <f t="shared" si="0"/>
        <v>964.6</v>
      </c>
      <c r="V93" s="25">
        <f t="shared" si="1"/>
        <v>126.92105263157896</v>
      </c>
      <c r="W93" s="15">
        <f t="shared" si="2"/>
        <v>1</v>
      </c>
      <c r="X93" s="15">
        <f t="shared" si="3"/>
        <v>7.6</v>
      </c>
      <c r="Y93" s="15">
        <f t="shared" si="4"/>
        <v>7.6</v>
      </c>
      <c r="Z93" s="13">
        <f t="shared" si="5"/>
        <v>0</v>
      </c>
      <c r="AA93" s="16">
        <f>VLOOKUP(S93,[1]CPI!$A$2:$D$67,4,0)</f>
        <v>1.1290087372451638</v>
      </c>
      <c r="AB93" s="17">
        <f t="shared" si="6"/>
        <v>1089.0418279466851</v>
      </c>
      <c r="AC93" s="17">
        <f t="shared" si="7"/>
        <v>143.29497736140593</v>
      </c>
      <c r="AD93" s="16" t="s">
        <v>35</v>
      </c>
      <c r="AE93" s="26" t="s">
        <v>295</v>
      </c>
      <c r="AF93" s="19"/>
      <c r="AG93" s="19"/>
      <c r="AH93" s="19"/>
      <c r="AI93" s="19"/>
      <c r="AJ93" s="20"/>
      <c r="AK93" s="20"/>
      <c r="AL93" s="20"/>
      <c r="AM93" s="20"/>
      <c r="AN93" s="20"/>
      <c r="AO93" s="20"/>
      <c r="AP93" s="20"/>
      <c r="AQ93" s="20"/>
    </row>
    <row r="94" spans="1:43" ht="15.75" customHeight="1" x14ac:dyDescent="0.2">
      <c r="A94" s="21">
        <v>7315</v>
      </c>
      <c r="B94" s="22" t="s">
        <v>291</v>
      </c>
      <c r="C94" s="22" t="s">
        <v>296</v>
      </c>
      <c r="D94" s="22"/>
      <c r="E94" s="22" t="s">
        <v>297</v>
      </c>
      <c r="F94" s="15">
        <v>2006</v>
      </c>
      <c r="G94" s="15">
        <v>2020</v>
      </c>
      <c r="H94" s="15">
        <v>0</v>
      </c>
      <c r="I94" s="15">
        <v>9.5</v>
      </c>
      <c r="J94" s="47">
        <v>1</v>
      </c>
      <c r="K94" s="15">
        <v>9.5</v>
      </c>
      <c r="L94" s="15">
        <v>0</v>
      </c>
      <c r="M94" s="15">
        <v>0</v>
      </c>
      <c r="N94" s="15">
        <v>13</v>
      </c>
      <c r="O94" s="22"/>
      <c r="P94" s="22" t="s">
        <v>35</v>
      </c>
      <c r="Q94" s="48">
        <v>1112</v>
      </c>
      <c r="R94" s="22" t="s">
        <v>36</v>
      </c>
      <c r="S94" s="15">
        <v>2014</v>
      </c>
      <c r="T94" s="15">
        <v>1.3</v>
      </c>
      <c r="U94" s="15">
        <f t="shared" si="0"/>
        <v>1445.6000000000001</v>
      </c>
      <c r="V94" s="25">
        <f t="shared" si="1"/>
        <v>152.1684210526316</v>
      </c>
      <c r="W94" s="15">
        <f t="shared" si="2"/>
        <v>1</v>
      </c>
      <c r="X94" s="15">
        <f t="shared" si="3"/>
        <v>9.5</v>
      </c>
      <c r="Y94" s="15">
        <f t="shared" si="4"/>
        <v>9.5</v>
      </c>
      <c r="Z94" s="13">
        <f t="shared" si="5"/>
        <v>0</v>
      </c>
      <c r="AA94" s="16">
        <f>VLOOKUP(S94,[1]CPI!$A$2:$D$67,4,0)</f>
        <v>1.1446083400919169</v>
      </c>
      <c r="AB94" s="17">
        <f t="shared" si="6"/>
        <v>1654.6458164368753</v>
      </c>
      <c r="AC94" s="17">
        <f t="shared" si="7"/>
        <v>174.17324383546057</v>
      </c>
      <c r="AD94" s="22" t="s">
        <v>35</v>
      </c>
      <c r="AE94" s="49" t="s">
        <v>298</v>
      </c>
      <c r="AF94" s="19"/>
      <c r="AG94" s="19"/>
      <c r="AH94" s="19"/>
      <c r="AI94" s="19"/>
      <c r="AJ94" s="20"/>
      <c r="AK94" s="20"/>
      <c r="AL94" s="20"/>
      <c r="AM94" s="20"/>
      <c r="AN94" s="20"/>
      <c r="AO94" s="20"/>
      <c r="AP94" s="20"/>
      <c r="AQ94" s="20"/>
    </row>
    <row r="95" spans="1:43" ht="15.75" customHeight="1" x14ac:dyDescent="0.2">
      <c r="A95" s="21">
        <v>7320</v>
      </c>
      <c r="B95" s="22" t="s">
        <v>291</v>
      </c>
      <c r="C95" s="22" t="s">
        <v>296</v>
      </c>
      <c r="D95" s="22"/>
      <c r="E95" s="22" t="s">
        <v>299</v>
      </c>
      <c r="F95" s="15">
        <v>2013</v>
      </c>
      <c r="G95" s="15">
        <v>2021</v>
      </c>
      <c r="H95" s="15">
        <v>0</v>
      </c>
      <c r="I95" s="15">
        <v>4.8</v>
      </c>
      <c r="J95" s="47">
        <v>1</v>
      </c>
      <c r="K95" s="15">
        <v>4.8</v>
      </c>
      <c r="L95" s="15">
        <v>0</v>
      </c>
      <c r="M95" s="15">
        <v>0</v>
      </c>
      <c r="N95" s="15">
        <v>5</v>
      </c>
      <c r="O95" s="22"/>
      <c r="P95" s="22" t="s">
        <v>35</v>
      </c>
      <c r="Q95" s="48">
        <v>567</v>
      </c>
      <c r="R95" s="22" t="s">
        <v>36</v>
      </c>
      <c r="S95" s="15">
        <v>2017</v>
      </c>
      <c r="T95" s="15">
        <v>1.3</v>
      </c>
      <c r="U95" s="15">
        <f t="shared" si="0"/>
        <v>737.1</v>
      </c>
      <c r="V95" s="25">
        <f t="shared" si="1"/>
        <v>153.5625</v>
      </c>
      <c r="W95" s="15">
        <f t="shared" si="2"/>
        <v>1</v>
      </c>
      <c r="X95" s="15">
        <f t="shared" si="3"/>
        <v>4.8</v>
      </c>
      <c r="Y95" s="15">
        <f t="shared" si="4"/>
        <v>4.8</v>
      </c>
      <c r="Z95" s="13">
        <f t="shared" si="5"/>
        <v>0</v>
      </c>
      <c r="AA95" s="16">
        <f>VLOOKUP(S95,[1]CPI!$A$2:$D$67,4,0)</f>
        <v>1.1054585509138382</v>
      </c>
      <c r="AB95" s="17">
        <f t="shared" si="6"/>
        <v>814.83349787859015</v>
      </c>
      <c r="AC95" s="17">
        <f t="shared" si="7"/>
        <v>169.75697872470627</v>
      </c>
      <c r="AD95" s="22" t="s">
        <v>35</v>
      </c>
      <c r="AE95" s="49" t="s">
        <v>295</v>
      </c>
      <c r="AF95" s="19"/>
      <c r="AG95" s="19"/>
      <c r="AH95" s="19"/>
      <c r="AI95" s="19"/>
      <c r="AJ95" s="20"/>
      <c r="AK95" s="20"/>
      <c r="AL95" s="20"/>
      <c r="AM95" s="20"/>
      <c r="AN95" s="20"/>
      <c r="AO95" s="20"/>
      <c r="AP95" s="20"/>
      <c r="AQ95" s="20"/>
    </row>
    <row r="96" spans="1:43" ht="15.75" customHeight="1" x14ac:dyDescent="0.2">
      <c r="A96" s="21">
        <v>7321</v>
      </c>
      <c r="B96" s="16" t="s">
        <v>207</v>
      </c>
      <c r="C96" s="16" t="s">
        <v>300</v>
      </c>
      <c r="D96" s="22"/>
      <c r="E96" s="16" t="s">
        <v>133</v>
      </c>
      <c r="F96" s="13">
        <v>2009</v>
      </c>
      <c r="G96" s="13">
        <v>2017</v>
      </c>
      <c r="H96" s="13">
        <v>0</v>
      </c>
      <c r="I96" s="13">
        <v>8</v>
      </c>
      <c r="J96" s="23">
        <v>1</v>
      </c>
      <c r="K96" s="13">
        <v>8</v>
      </c>
      <c r="L96" s="13">
        <v>0</v>
      </c>
      <c r="M96" s="13">
        <v>0</v>
      </c>
      <c r="N96" s="13">
        <v>6</v>
      </c>
      <c r="O96" s="16"/>
      <c r="P96" s="16" t="s">
        <v>73</v>
      </c>
      <c r="Q96" s="24">
        <v>959000</v>
      </c>
      <c r="R96" s="16" t="s">
        <v>210</v>
      </c>
      <c r="S96" s="13">
        <v>2013</v>
      </c>
      <c r="T96" s="13">
        <v>1.15E-3</v>
      </c>
      <c r="U96" s="13">
        <f t="shared" si="0"/>
        <v>1102.8499999999999</v>
      </c>
      <c r="V96" s="25">
        <f t="shared" si="1"/>
        <v>137.85624999999999</v>
      </c>
      <c r="W96" s="15">
        <f t="shared" si="2"/>
        <v>1</v>
      </c>
      <c r="X96" s="15">
        <f t="shared" si="3"/>
        <v>8</v>
      </c>
      <c r="Y96" s="15">
        <f t="shared" si="4"/>
        <v>8</v>
      </c>
      <c r="Z96" s="13">
        <f t="shared" si="5"/>
        <v>0</v>
      </c>
      <c r="AA96" s="16">
        <f>VLOOKUP(S96,[1]CPI!$A$2:$D$67,4,0)</f>
        <v>1.16317603677932</v>
      </c>
      <c r="AB96" s="17">
        <f t="shared" si="6"/>
        <v>1282.8086921620729</v>
      </c>
      <c r="AC96" s="17">
        <f t="shared" si="7"/>
        <v>160.35108652025912</v>
      </c>
      <c r="AD96" s="16" t="s">
        <v>73</v>
      </c>
      <c r="AE96" s="29" t="s">
        <v>301</v>
      </c>
      <c r="AF96" s="19"/>
      <c r="AG96" s="19"/>
      <c r="AH96" s="19"/>
      <c r="AI96" s="19"/>
      <c r="AJ96" s="20"/>
      <c r="AK96" s="20"/>
      <c r="AL96" s="20"/>
      <c r="AM96" s="20"/>
      <c r="AN96" s="20"/>
      <c r="AO96" s="20"/>
      <c r="AP96" s="20"/>
      <c r="AQ96" s="20"/>
    </row>
    <row r="97" spans="1:43" ht="15.75" customHeight="1" x14ac:dyDescent="0.2">
      <c r="A97" s="21">
        <v>7322</v>
      </c>
      <c r="B97" s="16" t="s">
        <v>207</v>
      </c>
      <c r="C97" s="16" t="s">
        <v>208</v>
      </c>
      <c r="D97" s="22"/>
      <c r="E97" s="16" t="s">
        <v>302</v>
      </c>
      <c r="F97" s="13">
        <v>2014</v>
      </c>
      <c r="G97" s="13">
        <v>2019</v>
      </c>
      <c r="H97" s="13">
        <v>0</v>
      </c>
      <c r="I97" s="13">
        <v>23.7</v>
      </c>
      <c r="J97" s="23">
        <v>1</v>
      </c>
      <c r="K97" s="13">
        <v>23.7</v>
      </c>
      <c r="L97" s="13">
        <v>0</v>
      </c>
      <c r="M97" s="13">
        <v>0</v>
      </c>
      <c r="N97" s="13">
        <v>10</v>
      </c>
      <c r="O97" s="16"/>
      <c r="P97" s="16" t="s">
        <v>73</v>
      </c>
      <c r="Q97" s="24">
        <v>1655300</v>
      </c>
      <c r="R97" s="16" t="s">
        <v>210</v>
      </c>
      <c r="S97" s="13">
        <v>2016</v>
      </c>
      <c r="T97" s="13">
        <v>1.16E-3</v>
      </c>
      <c r="U97" s="13">
        <f t="shared" si="0"/>
        <v>1920.1479999999999</v>
      </c>
      <c r="V97" s="25">
        <f t="shared" si="1"/>
        <v>81.01890295358649</v>
      </c>
      <c r="W97" s="15">
        <f t="shared" si="2"/>
        <v>1</v>
      </c>
      <c r="X97" s="15">
        <f t="shared" si="3"/>
        <v>23.7</v>
      </c>
      <c r="Y97" s="15">
        <f t="shared" si="4"/>
        <v>23.7</v>
      </c>
      <c r="Z97" s="13">
        <f t="shared" si="5"/>
        <v>0</v>
      </c>
      <c r="AA97" s="16">
        <f>VLOOKUP(S97,[1]CPI!$A$2:$D$67,4,0)</f>
        <v>1.1290087372451638</v>
      </c>
      <c r="AB97" s="17">
        <f t="shared" si="6"/>
        <v>2167.8638688038268</v>
      </c>
      <c r="AC97" s="17">
        <f t="shared" si="7"/>
        <v>91.471049316617155</v>
      </c>
      <c r="AD97" s="16" t="s">
        <v>43</v>
      </c>
      <c r="AE97" s="26" t="s">
        <v>303</v>
      </c>
      <c r="AF97" s="19"/>
      <c r="AG97" s="19"/>
      <c r="AH97" s="19"/>
      <c r="AI97" s="19"/>
      <c r="AJ97" s="20"/>
      <c r="AK97" s="20"/>
      <c r="AL97" s="20"/>
      <c r="AM97" s="20"/>
      <c r="AN97" s="20"/>
      <c r="AO97" s="20"/>
      <c r="AP97" s="20"/>
      <c r="AQ97" s="20"/>
    </row>
    <row r="98" spans="1:43" ht="15.75" customHeight="1" x14ac:dyDescent="0.2">
      <c r="A98" s="21">
        <v>7323</v>
      </c>
      <c r="B98" s="16" t="s">
        <v>207</v>
      </c>
      <c r="C98" s="16" t="s">
        <v>208</v>
      </c>
      <c r="D98" s="22" t="s">
        <v>283</v>
      </c>
      <c r="E98" s="16" t="s">
        <v>304</v>
      </c>
      <c r="F98" s="13">
        <v>2014</v>
      </c>
      <c r="G98" s="13">
        <v>2021</v>
      </c>
      <c r="H98" s="13">
        <v>0</v>
      </c>
      <c r="I98" s="13">
        <v>3.9</v>
      </c>
      <c r="J98" s="23">
        <v>1</v>
      </c>
      <c r="K98" s="13">
        <v>3.9</v>
      </c>
      <c r="L98" s="13">
        <v>0</v>
      </c>
      <c r="M98" s="13">
        <v>0</v>
      </c>
      <c r="N98" s="13">
        <v>2</v>
      </c>
      <c r="O98" s="16"/>
      <c r="P98" s="16" t="s">
        <v>50</v>
      </c>
      <c r="Q98" s="24">
        <v>432100</v>
      </c>
      <c r="R98" s="16" t="s">
        <v>210</v>
      </c>
      <c r="S98" s="13">
        <v>2017</v>
      </c>
      <c r="T98" s="13">
        <v>1.1000000000000001E-3</v>
      </c>
      <c r="U98" s="13">
        <f t="shared" si="0"/>
        <v>475.31</v>
      </c>
      <c r="V98" s="25">
        <f t="shared" si="1"/>
        <v>121.87435897435898</v>
      </c>
      <c r="W98" s="15">
        <f t="shared" si="2"/>
        <v>1</v>
      </c>
      <c r="X98" s="15">
        <f t="shared" si="3"/>
        <v>3.9</v>
      </c>
      <c r="Y98" s="15">
        <f t="shared" si="4"/>
        <v>3.9</v>
      </c>
      <c r="Z98" s="13">
        <f t="shared" si="5"/>
        <v>0</v>
      </c>
      <c r="AA98" s="16">
        <f>VLOOKUP(S98,[1]CPI!$A$2:$D$67,4,0)</f>
        <v>1.1054585509138382</v>
      </c>
      <c r="AB98" s="17">
        <f t="shared" si="6"/>
        <v>525.43550383485638</v>
      </c>
      <c r="AC98" s="17">
        <f t="shared" si="7"/>
        <v>134.72705226534782</v>
      </c>
      <c r="AD98" s="16" t="s">
        <v>43</v>
      </c>
      <c r="AE98" s="29" t="s">
        <v>305</v>
      </c>
      <c r="AF98" s="19"/>
      <c r="AG98" s="19"/>
      <c r="AH98" s="19"/>
      <c r="AI98" s="19"/>
      <c r="AJ98" s="20"/>
      <c r="AK98" s="20"/>
      <c r="AL98" s="20"/>
      <c r="AM98" s="20"/>
      <c r="AN98" s="20"/>
      <c r="AO98" s="20"/>
      <c r="AP98" s="20"/>
      <c r="AQ98" s="20"/>
    </row>
    <row r="99" spans="1:43" ht="15.75" customHeight="1" x14ac:dyDescent="0.2">
      <c r="A99" s="21">
        <v>7328</v>
      </c>
      <c r="B99" s="16" t="s">
        <v>207</v>
      </c>
      <c r="C99" s="16" t="s">
        <v>208</v>
      </c>
      <c r="D99" s="22"/>
      <c r="E99" s="16" t="s">
        <v>306</v>
      </c>
      <c r="F99" s="13">
        <v>2020</v>
      </c>
      <c r="G99" s="13">
        <v>2028</v>
      </c>
      <c r="H99" s="13">
        <v>0</v>
      </c>
      <c r="I99" s="13">
        <v>71</v>
      </c>
      <c r="J99" s="23">
        <v>1</v>
      </c>
      <c r="K99" s="13">
        <v>71</v>
      </c>
      <c r="L99" s="13">
        <v>0</v>
      </c>
      <c r="M99" s="13">
        <v>0</v>
      </c>
      <c r="N99" s="13">
        <v>53</v>
      </c>
      <c r="O99" s="16"/>
      <c r="P99" s="16" t="s">
        <v>43</v>
      </c>
      <c r="Q99" s="24">
        <v>7230200</v>
      </c>
      <c r="R99" s="16" t="s">
        <v>210</v>
      </c>
      <c r="S99" s="13">
        <v>2024</v>
      </c>
      <c r="T99" s="13">
        <v>1.1000000000000001E-3</v>
      </c>
      <c r="U99" s="13">
        <f t="shared" si="0"/>
        <v>7953.22</v>
      </c>
      <c r="V99" s="25">
        <f t="shared" si="1"/>
        <v>112.01718309859156</v>
      </c>
      <c r="W99" s="15">
        <f t="shared" si="2"/>
        <v>1</v>
      </c>
      <c r="X99" s="15">
        <f t="shared" si="3"/>
        <v>71</v>
      </c>
      <c r="Y99" s="15">
        <f t="shared" si="4"/>
        <v>71</v>
      </c>
      <c r="Z99" s="13">
        <f t="shared" si="5"/>
        <v>0</v>
      </c>
      <c r="AA99" s="16">
        <f>VLOOKUP(S99,[1]CPI!$A$2:$D$67,4,0)</f>
        <v>1</v>
      </c>
      <c r="AB99" s="17">
        <f t="shared" si="6"/>
        <v>7953.22</v>
      </c>
      <c r="AC99" s="17">
        <f t="shared" si="7"/>
        <v>112.01718309859156</v>
      </c>
      <c r="AD99" s="16" t="s">
        <v>43</v>
      </c>
      <c r="AE99" s="26" t="s">
        <v>307</v>
      </c>
      <c r="AF99" s="19"/>
      <c r="AG99" s="19"/>
      <c r="AH99" s="19"/>
      <c r="AI99" s="19"/>
      <c r="AJ99" s="20"/>
      <c r="AK99" s="20"/>
      <c r="AL99" s="20"/>
      <c r="AM99" s="20"/>
      <c r="AN99" s="20"/>
      <c r="AO99" s="20"/>
      <c r="AP99" s="20"/>
      <c r="AQ99" s="20"/>
    </row>
    <row r="100" spans="1:43" ht="15.75" customHeight="1" x14ac:dyDescent="0.2">
      <c r="A100" s="21">
        <v>7329</v>
      </c>
      <c r="B100" s="16" t="s">
        <v>258</v>
      </c>
      <c r="C100" s="16" t="s">
        <v>259</v>
      </c>
      <c r="D100" s="22" t="s">
        <v>308</v>
      </c>
      <c r="E100" s="16" t="s">
        <v>309</v>
      </c>
      <c r="F100" s="13">
        <v>2017</v>
      </c>
      <c r="G100" s="13">
        <v>2025</v>
      </c>
      <c r="H100" s="13">
        <v>0</v>
      </c>
      <c r="I100" s="13">
        <v>4</v>
      </c>
      <c r="J100" s="23">
        <v>1</v>
      </c>
      <c r="K100" s="13">
        <v>4</v>
      </c>
      <c r="L100" s="13">
        <v>0</v>
      </c>
      <c r="M100" s="13">
        <v>0</v>
      </c>
      <c r="N100" s="13">
        <v>3</v>
      </c>
      <c r="O100" s="16"/>
      <c r="P100" s="16" t="s">
        <v>43</v>
      </c>
      <c r="Q100" s="24">
        <v>4850</v>
      </c>
      <c r="R100" s="16" t="s">
        <v>261</v>
      </c>
      <c r="S100" s="13">
        <v>2021</v>
      </c>
      <c r="T100" s="13">
        <v>1.1299999999999999</v>
      </c>
      <c r="U100" s="13">
        <f t="shared" si="0"/>
        <v>5480.4999999999991</v>
      </c>
      <c r="V100" s="25">
        <f t="shared" si="1"/>
        <v>1370.1249999999998</v>
      </c>
      <c r="W100" s="15">
        <f t="shared" si="2"/>
        <v>0</v>
      </c>
      <c r="X100" s="15">
        <f t="shared" si="3"/>
        <v>0</v>
      </c>
      <c r="Y100" s="15">
        <f t="shared" si="4"/>
        <v>0</v>
      </c>
      <c r="Z100" s="13">
        <f t="shared" si="5"/>
        <v>1</v>
      </c>
      <c r="AA100" s="16">
        <f>VLOOKUP(S100,[1]CPI!$A$2:$D$67,4,0)</f>
        <v>1</v>
      </c>
      <c r="AB100" s="17">
        <f t="shared" si="6"/>
        <v>5480.4999999999991</v>
      </c>
      <c r="AC100" s="17">
        <f t="shared" si="7"/>
        <v>1370.1249999999998</v>
      </c>
      <c r="AD100" s="16" t="s">
        <v>43</v>
      </c>
      <c r="AE100" s="29" t="s">
        <v>310</v>
      </c>
      <c r="AF100" s="19"/>
      <c r="AG100" s="19"/>
      <c r="AH100" s="19"/>
      <c r="AI100" s="19"/>
      <c r="AJ100" s="20"/>
      <c r="AK100" s="20"/>
      <c r="AL100" s="20"/>
      <c r="AM100" s="20"/>
      <c r="AN100" s="20"/>
      <c r="AO100" s="20"/>
      <c r="AP100" s="20"/>
      <c r="AQ100" s="20"/>
    </row>
    <row r="101" spans="1:43" ht="15.75" customHeight="1" x14ac:dyDescent="0.2">
      <c r="A101" s="21">
        <v>7330</v>
      </c>
      <c r="B101" s="16" t="s">
        <v>145</v>
      </c>
      <c r="C101" s="16" t="s">
        <v>197</v>
      </c>
      <c r="D101" s="22" t="s">
        <v>182</v>
      </c>
      <c r="E101" s="16" t="s">
        <v>311</v>
      </c>
      <c r="F101" s="13">
        <v>2012</v>
      </c>
      <c r="G101" s="13">
        <v>2021</v>
      </c>
      <c r="H101" s="13">
        <v>0</v>
      </c>
      <c r="I101" s="13">
        <v>1.7</v>
      </c>
      <c r="J101" s="23">
        <v>1</v>
      </c>
      <c r="K101" s="13">
        <v>1.7</v>
      </c>
      <c r="L101" s="13">
        <v>0</v>
      </c>
      <c r="M101" s="13">
        <v>0</v>
      </c>
      <c r="N101" s="13">
        <v>2</v>
      </c>
      <c r="O101" s="16"/>
      <c r="P101" s="16" t="s">
        <v>35</v>
      </c>
      <c r="Q101" s="24">
        <v>175.1</v>
      </c>
      <c r="R101" s="16" t="s">
        <v>36</v>
      </c>
      <c r="S101" s="13">
        <v>2006</v>
      </c>
      <c r="T101" s="13">
        <v>1.25</v>
      </c>
      <c r="U101" s="13">
        <f t="shared" si="0"/>
        <v>218.875</v>
      </c>
      <c r="V101" s="25">
        <f t="shared" si="1"/>
        <v>128.75</v>
      </c>
      <c r="W101" s="15">
        <f t="shared" si="2"/>
        <v>0</v>
      </c>
      <c r="X101" s="15">
        <f t="shared" si="3"/>
        <v>0</v>
      </c>
      <c r="Y101" s="15">
        <f t="shared" si="4"/>
        <v>0</v>
      </c>
      <c r="Z101" s="13">
        <f t="shared" si="5"/>
        <v>0</v>
      </c>
      <c r="AA101" s="16">
        <f>VLOOKUP(S101,[1]CPI!$A$2:$D$67,4,0)</f>
        <v>1.3440972222222225</v>
      </c>
      <c r="AB101" s="17">
        <f t="shared" si="6"/>
        <v>294.18927951388895</v>
      </c>
      <c r="AC101" s="17">
        <f t="shared" si="7"/>
        <v>173.05251736111114</v>
      </c>
      <c r="AD101" s="16" t="s">
        <v>35</v>
      </c>
      <c r="AE101" s="26" t="s">
        <v>312</v>
      </c>
      <c r="AF101" s="19"/>
      <c r="AG101" s="19"/>
      <c r="AH101" s="19"/>
      <c r="AI101" s="19"/>
      <c r="AJ101" s="20"/>
      <c r="AK101" s="20"/>
      <c r="AL101" s="20"/>
      <c r="AM101" s="20"/>
      <c r="AN101" s="20"/>
      <c r="AO101" s="20"/>
      <c r="AP101" s="20"/>
      <c r="AQ101" s="20"/>
    </row>
    <row r="102" spans="1:43" ht="15.75" customHeight="1" x14ac:dyDescent="0.2">
      <c r="A102" s="21">
        <v>7331</v>
      </c>
      <c r="B102" s="16" t="s">
        <v>145</v>
      </c>
      <c r="C102" s="16" t="s">
        <v>197</v>
      </c>
      <c r="D102" s="22"/>
      <c r="E102" s="16" t="s">
        <v>133</v>
      </c>
      <c r="F102" s="13">
        <v>2021</v>
      </c>
      <c r="G102" s="13">
        <v>2030</v>
      </c>
      <c r="H102" s="13">
        <v>0</v>
      </c>
      <c r="I102" s="13">
        <v>4.9000000000000004</v>
      </c>
      <c r="J102" s="23">
        <v>1</v>
      </c>
      <c r="K102" s="13">
        <v>4.9000000000000004</v>
      </c>
      <c r="L102" s="13">
        <v>0</v>
      </c>
      <c r="M102" s="13">
        <v>0</v>
      </c>
      <c r="N102" s="13">
        <v>3</v>
      </c>
      <c r="O102" s="16"/>
      <c r="P102" s="16" t="s">
        <v>35</v>
      </c>
      <c r="Q102" s="24">
        <v>1385</v>
      </c>
      <c r="R102" s="16" t="s">
        <v>36</v>
      </c>
      <c r="S102" s="13">
        <v>2017</v>
      </c>
      <c r="T102" s="13">
        <v>1.3</v>
      </c>
      <c r="U102" s="13">
        <f t="shared" si="0"/>
        <v>1800.5</v>
      </c>
      <c r="V102" s="25">
        <f t="shared" si="1"/>
        <v>367.44897959183669</v>
      </c>
      <c r="W102" s="15">
        <f t="shared" si="2"/>
        <v>0</v>
      </c>
      <c r="X102" s="15">
        <f t="shared" si="3"/>
        <v>0</v>
      </c>
      <c r="Y102" s="15">
        <f t="shared" si="4"/>
        <v>0</v>
      </c>
      <c r="Z102" s="13">
        <f t="shared" si="5"/>
        <v>0</v>
      </c>
      <c r="AA102" s="16">
        <f>VLOOKUP(S102,[1]CPI!$A$2:$D$67,4,0)</f>
        <v>1.1054585509138382</v>
      </c>
      <c r="AB102" s="17">
        <f t="shared" si="6"/>
        <v>1990.3781209203655</v>
      </c>
      <c r="AC102" s="17">
        <f t="shared" si="7"/>
        <v>406.19961651436029</v>
      </c>
      <c r="AD102" s="16" t="s">
        <v>43</v>
      </c>
      <c r="AE102" s="29" t="s">
        <v>313</v>
      </c>
      <c r="AF102" s="19"/>
      <c r="AG102" s="19"/>
      <c r="AH102" s="19"/>
      <c r="AI102" s="19"/>
      <c r="AJ102" s="20"/>
      <c r="AK102" s="20"/>
      <c r="AL102" s="20"/>
      <c r="AM102" s="20"/>
      <c r="AN102" s="20"/>
      <c r="AO102" s="20"/>
      <c r="AP102" s="20"/>
      <c r="AQ102" s="20"/>
    </row>
    <row r="103" spans="1:43" ht="15.75" customHeight="1" x14ac:dyDescent="0.2">
      <c r="A103" s="21">
        <v>7336</v>
      </c>
      <c r="B103" s="16" t="s">
        <v>175</v>
      </c>
      <c r="C103" s="16" t="s">
        <v>176</v>
      </c>
      <c r="D103" s="22"/>
      <c r="E103" s="16" t="s">
        <v>314</v>
      </c>
      <c r="F103" s="13">
        <v>1993</v>
      </c>
      <c r="G103" s="13">
        <v>1999</v>
      </c>
      <c r="H103" s="13">
        <v>0</v>
      </c>
      <c r="I103" s="13">
        <v>16</v>
      </c>
      <c r="J103" s="23">
        <v>0.8</v>
      </c>
      <c r="K103" s="13">
        <v>12.8</v>
      </c>
      <c r="L103" s="13">
        <v>0</v>
      </c>
      <c r="M103" s="13">
        <v>0</v>
      </c>
      <c r="N103" s="13">
        <v>11</v>
      </c>
      <c r="O103" s="16"/>
      <c r="P103" s="16" t="s">
        <v>50</v>
      </c>
      <c r="Q103" s="24">
        <v>3500</v>
      </c>
      <c r="R103" s="16" t="s">
        <v>178</v>
      </c>
      <c r="S103" s="13">
        <v>1996</v>
      </c>
      <c r="T103" s="13">
        <v>1.4</v>
      </c>
      <c r="U103" s="13">
        <f t="shared" si="0"/>
        <v>4900</v>
      </c>
      <c r="V103" s="25">
        <f t="shared" si="1"/>
        <v>306.25</v>
      </c>
      <c r="W103" s="15">
        <f t="shared" si="2"/>
        <v>0</v>
      </c>
      <c r="X103" s="15">
        <f t="shared" si="3"/>
        <v>0</v>
      </c>
      <c r="Y103" s="15">
        <f t="shared" si="4"/>
        <v>0</v>
      </c>
      <c r="Z103" s="13">
        <f t="shared" si="5"/>
        <v>1</v>
      </c>
      <c r="AA103" s="16">
        <f>VLOOKUP(S103,[1]CPI!$A$2:$D$67,4,0)</f>
        <v>1.7270235818992989</v>
      </c>
      <c r="AB103" s="17">
        <f t="shared" si="6"/>
        <v>8462.4155513065652</v>
      </c>
      <c r="AC103" s="17">
        <f t="shared" si="7"/>
        <v>528.90097195666033</v>
      </c>
      <c r="AD103" s="16" t="s">
        <v>43</v>
      </c>
      <c r="AE103" s="29" t="s">
        <v>315</v>
      </c>
      <c r="AF103" s="9"/>
      <c r="AG103" s="9"/>
      <c r="AH103" s="9"/>
      <c r="AI103" s="9"/>
      <c r="AJ103" s="9"/>
      <c r="AK103" s="9"/>
      <c r="AL103" s="9"/>
      <c r="AM103" s="9"/>
      <c r="AN103" s="9"/>
      <c r="AO103" s="9"/>
      <c r="AP103" s="9"/>
      <c r="AQ103" s="9"/>
    </row>
    <row r="104" spans="1:43" ht="15.75" customHeight="1" x14ac:dyDescent="0.2">
      <c r="A104" s="21">
        <v>7337</v>
      </c>
      <c r="B104" s="16" t="s">
        <v>316</v>
      </c>
      <c r="C104" s="16" t="s">
        <v>317</v>
      </c>
      <c r="D104" s="22"/>
      <c r="E104" s="16" t="s">
        <v>283</v>
      </c>
      <c r="F104" s="13">
        <v>2021</v>
      </c>
      <c r="G104" s="13">
        <v>2026</v>
      </c>
      <c r="H104" s="13">
        <v>0</v>
      </c>
      <c r="I104" s="13">
        <v>24.8</v>
      </c>
      <c r="J104" s="23">
        <v>1</v>
      </c>
      <c r="K104" s="13">
        <v>24.8</v>
      </c>
      <c r="L104" s="13">
        <v>0</v>
      </c>
      <c r="M104" s="13">
        <v>0</v>
      </c>
      <c r="N104" s="13">
        <v>21</v>
      </c>
      <c r="O104" s="16"/>
      <c r="P104" s="16" t="s">
        <v>35</v>
      </c>
      <c r="Q104" s="24">
        <v>2900</v>
      </c>
      <c r="R104" s="16" t="s">
        <v>66</v>
      </c>
      <c r="S104" s="13">
        <v>2022</v>
      </c>
      <c r="T104" s="13">
        <v>1.7</v>
      </c>
      <c r="U104" s="13">
        <f t="shared" si="0"/>
        <v>4930</v>
      </c>
      <c r="V104" s="25">
        <f t="shared" si="1"/>
        <v>198.79032258064515</v>
      </c>
      <c r="W104" s="15">
        <f t="shared" si="2"/>
        <v>0</v>
      </c>
      <c r="X104" s="15">
        <f t="shared" si="3"/>
        <v>0</v>
      </c>
      <c r="Y104" s="15">
        <f t="shared" si="4"/>
        <v>0</v>
      </c>
      <c r="Z104" s="13">
        <f t="shared" si="5"/>
        <v>0</v>
      </c>
      <c r="AA104" s="16">
        <f>VLOOKUP(S104,[1]CPI!$A$2:$D$67,4,0)</f>
        <v>1</v>
      </c>
      <c r="AB104" s="17">
        <f t="shared" si="6"/>
        <v>4930</v>
      </c>
      <c r="AC104" s="17">
        <f t="shared" si="7"/>
        <v>198.79032258064515</v>
      </c>
      <c r="AD104" s="16" t="s">
        <v>73</v>
      </c>
      <c r="AE104" s="29" t="s">
        <v>318</v>
      </c>
      <c r="AF104" s="27"/>
      <c r="AG104" s="27"/>
      <c r="AH104" s="27"/>
      <c r="AI104" s="27"/>
      <c r="AJ104" s="28"/>
      <c r="AK104" s="28"/>
      <c r="AL104" s="28"/>
      <c r="AM104" s="28"/>
      <c r="AN104" s="28"/>
      <c r="AO104" s="28"/>
      <c r="AP104" s="28"/>
      <c r="AQ104" s="28"/>
    </row>
    <row r="105" spans="1:43" ht="15.75" customHeight="1" x14ac:dyDescent="0.2">
      <c r="A105" s="21">
        <v>7338</v>
      </c>
      <c r="B105" s="16" t="s">
        <v>316</v>
      </c>
      <c r="C105" s="16" t="s">
        <v>317</v>
      </c>
      <c r="D105" s="22"/>
      <c r="E105" s="16" t="s">
        <v>319</v>
      </c>
      <c r="F105" s="13">
        <v>2013</v>
      </c>
      <c r="G105" s="13">
        <v>2019</v>
      </c>
      <c r="H105" s="13">
        <v>0</v>
      </c>
      <c r="I105" s="13">
        <v>37</v>
      </c>
      <c r="J105" s="23">
        <v>1</v>
      </c>
      <c r="K105" s="13">
        <v>37</v>
      </c>
      <c r="L105" s="13">
        <v>0</v>
      </c>
      <c r="M105" s="13">
        <v>0</v>
      </c>
      <c r="N105" s="13">
        <v>28</v>
      </c>
      <c r="O105" s="16"/>
      <c r="P105" s="16" t="s">
        <v>35</v>
      </c>
      <c r="Q105" s="24">
        <v>3000</v>
      </c>
      <c r="R105" s="16" t="s">
        <v>66</v>
      </c>
      <c r="S105" s="13">
        <v>2016</v>
      </c>
      <c r="T105" s="13">
        <v>1.7</v>
      </c>
      <c r="U105" s="13">
        <f t="shared" si="0"/>
        <v>5100</v>
      </c>
      <c r="V105" s="25">
        <f t="shared" si="1"/>
        <v>137.83783783783784</v>
      </c>
      <c r="W105" s="15">
        <f t="shared" si="2"/>
        <v>0</v>
      </c>
      <c r="X105" s="15">
        <f t="shared" si="3"/>
        <v>0</v>
      </c>
      <c r="Y105" s="15">
        <f t="shared" si="4"/>
        <v>0</v>
      </c>
      <c r="Z105" s="13">
        <f t="shared" si="5"/>
        <v>0</v>
      </c>
      <c r="AA105" s="16">
        <f>VLOOKUP(S105,[1]CPI!$A$2:$D$67,4,0)</f>
        <v>1.1290087372451638</v>
      </c>
      <c r="AB105" s="17">
        <f t="shared" si="6"/>
        <v>5757.9445599503351</v>
      </c>
      <c r="AC105" s="17">
        <f t="shared" si="7"/>
        <v>155.62012324190096</v>
      </c>
      <c r="AD105" s="16" t="s">
        <v>35</v>
      </c>
      <c r="AE105" s="29" t="s">
        <v>320</v>
      </c>
      <c r="AF105" s="27"/>
      <c r="AG105" s="27"/>
      <c r="AH105" s="27"/>
      <c r="AI105" s="27"/>
      <c r="AJ105" s="28"/>
      <c r="AK105" s="28"/>
      <c r="AL105" s="28"/>
      <c r="AM105" s="28"/>
      <c r="AN105" s="28"/>
      <c r="AO105" s="28"/>
      <c r="AP105" s="28"/>
      <c r="AQ105" s="28"/>
    </row>
    <row r="106" spans="1:43" ht="15.75" customHeight="1" x14ac:dyDescent="0.2">
      <c r="A106" s="21">
        <v>7339</v>
      </c>
      <c r="B106" s="16" t="s">
        <v>321</v>
      </c>
      <c r="C106" s="16" t="s">
        <v>322</v>
      </c>
      <c r="D106" s="22"/>
      <c r="E106" s="16" t="s">
        <v>131</v>
      </c>
      <c r="F106" s="13">
        <v>2010</v>
      </c>
      <c r="G106" s="13">
        <v>2019</v>
      </c>
      <c r="H106" s="13">
        <v>0</v>
      </c>
      <c r="I106" s="13">
        <v>12</v>
      </c>
      <c r="J106" s="23">
        <v>1</v>
      </c>
      <c r="K106" s="13">
        <v>12</v>
      </c>
      <c r="L106" s="13">
        <v>0</v>
      </c>
      <c r="M106" s="13">
        <v>0</v>
      </c>
      <c r="N106" s="13">
        <v>11</v>
      </c>
      <c r="O106" s="16"/>
      <c r="P106" s="16" t="s">
        <v>50</v>
      </c>
      <c r="Q106" s="24">
        <v>6900</v>
      </c>
      <c r="R106" s="16" t="s">
        <v>323</v>
      </c>
      <c r="S106" s="13">
        <v>2014</v>
      </c>
      <c r="T106" s="13">
        <v>0.55000000000000004</v>
      </c>
      <c r="U106" s="13">
        <f t="shared" si="0"/>
        <v>3795.0000000000005</v>
      </c>
      <c r="V106" s="25">
        <f t="shared" si="1"/>
        <v>316.25000000000006</v>
      </c>
      <c r="W106" s="15">
        <f t="shared" si="2"/>
        <v>0</v>
      </c>
      <c r="X106" s="15">
        <f t="shared" si="3"/>
        <v>0</v>
      </c>
      <c r="Y106" s="15">
        <f t="shared" si="4"/>
        <v>0</v>
      </c>
      <c r="Z106" s="13">
        <f t="shared" si="5"/>
        <v>0</v>
      </c>
      <c r="AA106" s="16">
        <f>VLOOKUP(S106,[1]CPI!$A$2:$D$67,4,0)</f>
        <v>1.1446083400919169</v>
      </c>
      <c r="AB106" s="17">
        <f t="shared" si="6"/>
        <v>4343.7886506488248</v>
      </c>
      <c r="AC106" s="17">
        <f t="shared" si="7"/>
        <v>361.98238755406879</v>
      </c>
      <c r="AD106" s="16" t="s">
        <v>73</v>
      </c>
      <c r="AE106" s="26" t="s">
        <v>324</v>
      </c>
      <c r="AF106" s="27"/>
      <c r="AG106" s="27"/>
      <c r="AH106" s="27"/>
      <c r="AI106" s="27"/>
      <c r="AJ106" s="28"/>
      <c r="AK106" s="28"/>
      <c r="AL106" s="28"/>
      <c r="AM106" s="28"/>
      <c r="AN106" s="28"/>
      <c r="AO106" s="28"/>
      <c r="AP106" s="28"/>
      <c r="AQ106" s="28"/>
    </row>
    <row r="107" spans="1:43" ht="15.75" customHeight="1" x14ac:dyDescent="0.2">
      <c r="A107" s="21">
        <v>7344</v>
      </c>
      <c r="B107" s="16" t="s">
        <v>321</v>
      </c>
      <c r="C107" s="16" t="s">
        <v>325</v>
      </c>
      <c r="D107" s="22"/>
      <c r="E107" s="16" t="s">
        <v>326</v>
      </c>
      <c r="F107" s="13">
        <v>2000</v>
      </c>
      <c r="G107" s="13">
        <v>2017</v>
      </c>
      <c r="H107" s="13">
        <v>0</v>
      </c>
      <c r="I107" s="13">
        <v>33</v>
      </c>
      <c r="J107" s="23">
        <v>0.04</v>
      </c>
      <c r="K107" s="13">
        <v>1.4</v>
      </c>
      <c r="L107" s="13">
        <v>10.935</v>
      </c>
      <c r="M107" s="13">
        <v>20.745000000000001</v>
      </c>
      <c r="N107" s="13">
        <v>20</v>
      </c>
      <c r="O107" s="16"/>
      <c r="P107" s="16" t="s">
        <v>50</v>
      </c>
      <c r="Q107" s="24">
        <v>4800</v>
      </c>
      <c r="R107" s="16" t="s">
        <v>323</v>
      </c>
      <c r="S107" s="13">
        <v>2012</v>
      </c>
      <c r="T107" s="13">
        <v>0.62</v>
      </c>
      <c r="U107" s="13">
        <f t="shared" si="0"/>
        <v>2976</v>
      </c>
      <c r="V107" s="25">
        <f t="shared" si="1"/>
        <v>90.181818181818187</v>
      </c>
      <c r="W107" s="15">
        <f t="shared" si="2"/>
        <v>0</v>
      </c>
      <c r="X107" s="15">
        <f t="shared" si="3"/>
        <v>0</v>
      </c>
      <c r="Y107" s="15">
        <f t="shared" si="4"/>
        <v>0</v>
      </c>
      <c r="Z107" s="13">
        <f t="shared" si="5"/>
        <v>0</v>
      </c>
      <c r="AA107" s="16">
        <f>VLOOKUP(S107,[1]CPI!$A$2:$D$67,4,0)</f>
        <v>1.1802137686524912</v>
      </c>
      <c r="AB107" s="17">
        <f t="shared" si="6"/>
        <v>3512.3161755098135</v>
      </c>
      <c r="AC107" s="17">
        <f t="shared" si="7"/>
        <v>106.43382350029739</v>
      </c>
      <c r="AD107" s="16" t="s">
        <v>43</v>
      </c>
      <c r="AE107" s="26" t="s">
        <v>327</v>
      </c>
      <c r="AF107" s="27"/>
      <c r="AG107" s="27"/>
      <c r="AH107" s="27"/>
      <c r="AI107" s="27"/>
      <c r="AJ107" s="28"/>
      <c r="AK107" s="28"/>
      <c r="AL107" s="28"/>
      <c r="AM107" s="28"/>
      <c r="AN107" s="28"/>
      <c r="AO107" s="28"/>
      <c r="AP107" s="28"/>
      <c r="AQ107" s="28"/>
    </row>
    <row r="108" spans="1:43" ht="15.75" customHeight="1" x14ac:dyDescent="0.2">
      <c r="A108" s="21">
        <v>7345</v>
      </c>
      <c r="B108" s="16" t="s">
        <v>328</v>
      </c>
      <c r="C108" s="16" t="s">
        <v>329</v>
      </c>
      <c r="D108" s="22"/>
      <c r="E108" s="16" t="s">
        <v>92</v>
      </c>
      <c r="F108" s="13">
        <v>2010</v>
      </c>
      <c r="G108" s="13">
        <v>2014</v>
      </c>
      <c r="H108" s="13">
        <v>0</v>
      </c>
      <c r="I108" s="13">
        <v>13.7</v>
      </c>
      <c r="J108" s="23">
        <v>0.53</v>
      </c>
      <c r="K108" s="13">
        <v>7.3</v>
      </c>
      <c r="L108" s="13">
        <v>4.6900000000000004</v>
      </c>
      <c r="M108" s="13">
        <v>1.7490000000000001</v>
      </c>
      <c r="N108" s="13">
        <v>12</v>
      </c>
      <c r="O108" s="16"/>
      <c r="P108" s="16" t="s">
        <v>50</v>
      </c>
      <c r="Q108" s="24">
        <v>2009</v>
      </c>
      <c r="R108" s="16" t="s">
        <v>66</v>
      </c>
      <c r="S108" s="13">
        <v>2012</v>
      </c>
      <c r="T108" s="13">
        <v>1.74</v>
      </c>
      <c r="U108" s="13">
        <f t="shared" si="0"/>
        <v>3495.66</v>
      </c>
      <c r="V108" s="25">
        <f t="shared" si="1"/>
        <v>255.15766423357664</v>
      </c>
      <c r="W108" s="15">
        <f t="shared" si="2"/>
        <v>0</v>
      </c>
      <c r="X108" s="15">
        <f t="shared" si="3"/>
        <v>0</v>
      </c>
      <c r="Y108" s="15">
        <f t="shared" si="4"/>
        <v>0</v>
      </c>
      <c r="Z108" s="13">
        <f t="shared" si="5"/>
        <v>0</v>
      </c>
      <c r="AA108" s="16">
        <f>VLOOKUP(S108,[1]CPI!$A$2:$D$67,4,0)</f>
        <v>1.1802137686524912</v>
      </c>
      <c r="AB108" s="17">
        <f t="shared" si="6"/>
        <v>4125.6260625277673</v>
      </c>
      <c r="AC108" s="17">
        <f t="shared" si="7"/>
        <v>301.14058850567642</v>
      </c>
      <c r="AD108" s="16" t="s">
        <v>43</v>
      </c>
      <c r="AE108" s="29" t="s">
        <v>330</v>
      </c>
      <c r="AF108" s="19"/>
      <c r="AG108" s="19"/>
      <c r="AH108" s="19"/>
      <c r="AI108" s="19"/>
      <c r="AJ108" s="20"/>
      <c r="AK108" s="20"/>
      <c r="AL108" s="20"/>
      <c r="AM108" s="20"/>
      <c r="AN108" s="20"/>
      <c r="AO108" s="20"/>
      <c r="AP108" s="20"/>
      <c r="AQ108" s="20"/>
    </row>
    <row r="109" spans="1:43" ht="15.75" customHeight="1" x14ac:dyDescent="0.2">
      <c r="A109" s="21">
        <v>7346</v>
      </c>
      <c r="B109" s="16" t="s">
        <v>328</v>
      </c>
      <c r="C109" s="16" t="s">
        <v>329</v>
      </c>
      <c r="D109" s="22"/>
      <c r="E109" s="16" t="s">
        <v>99</v>
      </c>
      <c r="F109" s="13">
        <v>2015</v>
      </c>
      <c r="G109" s="13">
        <v>2019</v>
      </c>
      <c r="H109" s="13">
        <v>0</v>
      </c>
      <c r="I109" s="13">
        <v>21</v>
      </c>
      <c r="J109" s="23">
        <v>0</v>
      </c>
      <c r="K109" s="13">
        <v>0</v>
      </c>
      <c r="L109" s="13">
        <v>21</v>
      </c>
      <c r="M109" s="13">
        <v>0</v>
      </c>
      <c r="N109" s="13">
        <v>16</v>
      </c>
      <c r="O109" s="16"/>
      <c r="P109" s="16" t="s">
        <v>73</v>
      </c>
      <c r="Q109" s="24">
        <v>2130</v>
      </c>
      <c r="R109" s="16" t="s">
        <v>66</v>
      </c>
      <c r="S109" s="13">
        <v>2017</v>
      </c>
      <c r="T109" s="13">
        <v>2.0099999999999998</v>
      </c>
      <c r="U109" s="13">
        <f t="shared" si="0"/>
        <v>4281.2999999999993</v>
      </c>
      <c r="V109" s="25">
        <f t="shared" si="1"/>
        <v>203.87142857142854</v>
      </c>
      <c r="W109" s="15">
        <f t="shared" si="2"/>
        <v>0</v>
      </c>
      <c r="X109" s="15">
        <f t="shared" si="3"/>
        <v>0</v>
      </c>
      <c r="Y109" s="15">
        <f t="shared" si="4"/>
        <v>0</v>
      </c>
      <c r="Z109" s="13">
        <f t="shared" si="5"/>
        <v>0</v>
      </c>
      <c r="AA109" s="16">
        <f>VLOOKUP(S109,[1]CPI!$A$2:$D$67,4,0)</f>
        <v>1.1054585509138382</v>
      </c>
      <c r="AB109" s="17">
        <f t="shared" si="6"/>
        <v>4732.7996940274143</v>
      </c>
      <c r="AC109" s="17">
        <f t="shared" si="7"/>
        <v>225.37141400130545</v>
      </c>
      <c r="AD109" s="16" t="s">
        <v>73</v>
      </c>
      <c r="AE109" s="29" t="s">
        <v>331</v>
      </c>
      <c r="AF109" s="19"/>
      <c r="AG109" s="19"/>
      <c r="AH109" s="19"/>
      <c r="AI109" s="19"/>
      <c r="AJ109" s="20"/>
      <c r="AK109" s="20"/>
      <c r="AL109" s="20"/>
      <c r="AM109" s="20"/>
      <c r="AN109" s="20"/>
      <c r="AO109" s="20"/>
      <c r="AP109" s="20"/>
      <c r="AQ109" s="20"/>
    </row>
    <row r="110" spans="1:43" ht="15.75" customHeight="1" x14ac:dyDescent="0.2">
      <c r="A110" s="21">
        <v>7347</v>
      </c>
      <c r="B110" s="16" t="s">
        <v>328</v>
      </c>
      <c r="C110" s="16" t="s">
        <v>329</v>
      </c>
      <c r="D110" s="22"/>
      <c r="E110" s="16" t="s">
        <v>103</v>
      </c>
      <c r="F110" s="13">
        <v>2020</v>
      </c>
      <c r="G110" s="13">
        <v>2024</v>
      </c>
      <c r="H110" s="13">
        <v>0</v>
      </c>
      <c r="I110" s="13">
        <v>26.7</v>
      </c>
      <c r="J110" s="23">
        <v>0</v>
      </c>
      <c r="K110" s="13">
        <v>0</v>
      </c>
      <c r="L110" s="13">
        <v>0</v>
      </c>
      <c r="M110" s="13">
        <v>0</v>
      </c>
      <c r="N110" s="13">
        <v>14</v>
      </c>
      <c r="O110" s="16"/>
      <c r="P110" s="16" t="s">
        <v>73</v>
      </c>
      <c r="Q110" s="24">
        <v>2507</v>
      </c>
      <c r="R110" s="16" t="s">
        <v>66</v>
      </c>
      <c r="S110" s="13">
        <v>2020</v>
      </c>
      <c r="T110" s="13">
        <v>2.08</v>
      </c>
      <c r="U110" s="13">
        <f t="shared" si="0"/>
        <v>5214.5600000000004</v>
      </c>
      <c r="V110" s="25">
        <f t="shared" si="1"/>
        <v>195.30187265917604</v>
      </c>
      <c r="W110" s="15">
        <f t="shared" si="2"/>
        <v>0</v>
      </c>
      <c r="X110" s="15">
        <f t="shared" si="3"/>
        <v>0</v>
      </c>
      <c r="Y110" s="15">
        <f t="shared" si="4"/>
        <v>0</v>
      </c>
      <c r="Z110" s="13">
        <f t="shared" si="5"/>
        <v>0</v>
      </c>
      <c r="AA110" s="16">
        <f>VLOOKUP(S110,[1]CPI!$A$2:$D$67,4,0)</f>
        <v>1.0469802288156225</v>
      </c>
      <c r="AB110" s="17">
        <f t="shared" si="6"/>
        <v>5459.5412219727923</v>
      </c>
      <c r="AC110" s="17">
        <f t="shared" si="7"/>
        <v>204.47719932482369</v>
      </c>
      <c r="AD110" s="16" t="s">
        <v>73</v>
      </c>
      <c r="AE110" s="29" t="s">
        <v>332</v>
      </c>
      <c r="AF110" s="19"/>
      <c r="AG110" s="19"/>
      <c r="AH110" s="19"/>
      <c r="AI110" s="19"/>
      <c r="AJ110" s="20"/>
      <c r="AK110" s="20"/>
      <c r="AL110" s="20"/>
      <c r="AM110" s="20"/>
      <c r="AN110" s="20"/>
      <c r="AO110" s="20"/>
      <c r="AP110" s="20"/>
      <c r="AQ110" s="20"/>
    </row>
    <row r="111" spans="1:43" ht="15.75" customHeight="1" x14ac:dyDescent="0.2">
      <c r="A111" s="21">
        <v>7352</v>
      </c>
      <c r="B111" s="16" t="s">
        <v>333</v>
      </c>
      <c r="C111" s="16" t="s">
        <v>334</v>
      </c>
      <c r="D111" s="22"/>
      <c r="E111" s="16" t="s">
        <v>335</v>
      </c>
      <c r="F111" s="13">
        <v>2019</v>
      </c>
      <c r="G111" s="13">
        <v>2025</v>
      </c>
      <c r="H111" s="13">
        <v>0</v>
      </c>
      <c r="I111" s="13">
        <v>28.3</v>
      </c>
      <c r="J111" s="23">
        <v>1</v>
      </c>
      <c r="K111" s="13">
        <v>28.3</v>
      </c>
      <c r="L111" s="13">
        <v>0</v>
      </c>
      <c r="M111" s="13">
        <v>0</v>
      </c>
      <c r="N111" s="13">
        <v>13</v>
      </c>
      <c r="O111" s="16"/>
      <c r="P111" s="16" t="s">
        <v>43</v>
      </c>
      <c r="Q111" s="24">
        <v>356960</v>
      </c>
      <c r="R111" s="16" t="s">
        <v>336</v>
      </c>
      <c r="S111" s="13">
        <v>2022</v>
      </c>
      <c r="T111" s="13">
        <v>5.5E-2</v>
      </c>
      <c r="U111" s="13">
        <f t="shared" si="0"/>
        <v>19632.8</v>
      </c>
      <c r="V111" s="25">
        <f t="shared" si="1"/>
        <v>693.73851590106005</v>
      </c>
      <c r="W111" s="15">
        <f t="shared" si="2"/>
        <v>0</v>
      </c>
      <c r="X111" s="15">
        <f t="shared" si="3"/>
        <v>0</v>
      </c>
      <c r="Y111" s="15">
        <f t="shared" si="4"/>
        <v>0</v>
      </c>
      <c r="Z111" s="13">
        <f t="shared" si="5"/>
        <v>0</v>
      </c>
      <c r="AA111" s="16">
        <f>VLOOKUP(S111,[1]CPI!$A$2:$D$67,4,0)</f>
        <v>1</v>
      </c>
      <c r="AB111" s="17">
        <f t="shared" si="6"/>
        <v>19632.8</v>
      </c>
      <c r="AC111" s="17">
        <f t="shared" si="7"/>
        <v>693.73851590106005</v>
      </c>
      <c r="AD111" s="16" t="s">
        <v>43</v>
      </c>
      <c r="AE111" s="29" t="s">
        <v>337</v>
      </c>
      <c r="AF111" s="19"/>
      <c r="AG111" s="19"/>
      <c r="AH111" s="19"/>
      <c r="AI111" s="19"/>
      <c r="AJ111" s="20"/>
      <c r="AK111" s="20"/>
      <c r="AL111" s="20"/>
      <c r="AM111" s="20"/>
      <c r="AN111" s="20"/>
      <c r="AO111" s="20"/>
      <c r="AP111" s="20"/>
      <c r="AQ111" s="20"/>
    </row>
    <row r="112" spans="1:43" ht="15.75" customHeight="1" x14ac:dyDescent="0.2">
      <c r="A112" s="21">
        <v>7353</v>
      </c>
      <c r="B112" s="16" t="s">
        <v>333</v>
      </c>
      <c r="C112" s="16" t="s">
        <v>334</v>
      </c>
      <c r="D112" s="22"/>
      <c r="E112" s="16" t="s">
        <v>283</v>
      </c>
      <c r="F112" s="13">
        <v>2015</v>
      </c>
      <c r="G112" s="13">
        <v>2021</v>
      </c>
      <c r="H112" s="13">
        <v>0</v>
      </c>
      <c r="I112" s="13">
        <v>22.8</v>
      </c>
      <c r="J112" s="23">
        <v>0.15</v>
      </c>
      <c r="K112" s="13">
        <v>3.4</v>
      </c>
      <c r="L112" s="13">
        <v>0</v>
      </c>
      <c r="M112" s="13">
        <v>0</v>
      </c>
      <c r="N112" s="13">
        <v>14</v>
      </c>
      <c r="O112" s="16"/>
      <c r="P112" s="16" t="s">
        <v>94</v>
      </c>
      <c r="Q112" s="24">
        <v>69300</v>
      </c>
      <c r="R112" s="16" t="s">
        <v>336</v>
      </c>
      <c r="S112" s="13">
        <v>2018</v>
      </c>
      <c r="T112" s="13">
        <v>5.5E-2</v>
      </c>
      <c r="U112" s="13">
        <f t="shared" si="0"/>
        <v>3811.5</v>
      </c>
      <c r="V112" s="25">
        <f t="shared" si="1"/>
        <v>167.17105263157893</v>
      </c>
      <c r="W112" s="15">
        <f t="shared" si="2"/>
        <v>0</v>
      </c>
      <c r="X112" s="15">
        <f t="shared" si="3"/>
        <v>0</v>
      </c>
      <c r="Y112" s="15">
        <f t="shared" si="4"/>
        <v>0</v>
      </c>
      <c r="Z112" s="13">
        <f t="shared" si="5"/>
        <v>0</v>
      </c>
      <c r="AA112" s="16">
        <f>VLOOKUP(S112,[1]CPI!$A$2:$D$67,4,0)</f>
        <v>1.0791017375063221</v>
      </c>
      <c r="AB112" s="17">
        <f t="shared" si="6"/>
        <v>4112.9962725053465</v>
      </c>
      <c r="AC112" s="17">
        <f t="shared" si="7"/>
        <v>180.39457335549764</v>
      </c>
      <c r="AD112" s="16" t="s">
        <v>73</v>
      </c>
      <c r="AE112" s="26" t="s">
        <v>338</v>
      </c>
      <c r="AF112" s="19"/>
      <c r="AG112" s="19"/>
      <c r="AH112" s="19"/>
      <c r="AI112" s="19"/>
      <c r="AJ112" s="20"/>
      <c r="AK112" s="20"/>
      <c r="AL112" s="20"/>
      <c r="AM112" s="20"/>
      <c r="AN112" s="20"/>
      <c r="AO112" s="20"/>
      <c r="AP112" s="20"/>
      <c r="AQ112" s="20"/>
    </row>
    <row r="113" spans="1:43" ht="15.75" customHeight="1" x14ac:dyDescent="0.2">
      <c r="A113" s="21">
        <v>7354</v>
      </c>
      <c r="B113" s="16" t="s">
        <v>333</v>
      </c>
      <c r="C113" s="16" t="s">
        <v>334</v>
      </c>
      <c r="D113" s="22"/>
      <c r="E113" s="16" t="s">
        <v>119</v>
      </c>
      <c r="F113" s="13">
        <v>2019</v>
      </c>
      <c r="G113" s="13">
        <v>2025</v>
      </c>
      <c r="H113" s="13">
        <v>0</v>
      </c>
      <c r="I113" s="13">
        <v>11</v>
      </c>
      <c r="J113" s="23">
        <v>1</v>
      </c>
      <c r="K113" s="13">
        <v>11</v>
      </c>
      <c r="L113" s="13">
        <v>0</v>
      </c>
      <c r="M113" s="13">
        <v>0</v>
      </c>
      <c r="N113" s="13">
        <v>10</v>
      </c>
      <c r="O113" s="16"/>
      <c r="P113" s="16" t="s">
        <v>43</v>
      </c>
      <c r="Q113" s="24">
        <v>2500</v>
      </c>
      <c r="R113" s="16" t="s">
        <v>66</v>
      </c>
      <c r="S113" s="13">
        <v>2022</v>
      </c>
      <c r="T113" s="13">
        <v>2.66</v>
      </c>
      <c r="U113" s="13">
        <f t="shared" si="0"/>
        <v>6650</v>
      </c>
      <c r="V113" s="25">
        <f t="shared" si="1"/>
        <v>604.5454545454545</v>
      </c>
      <c r="W113" s="15">
        <f t="shared" si="2"/>
        <v>0</v>
      </c>
      <c r="X113" s="15">
        <f t="shared" si="3"/>
        <v>0</v>
      </c>
      <c r="Y113" s="15">
        <f t="shared" si="4"/>
        <v>0</v>
      </c>
      <c r="Z113" s="13">
        <f t="shared" si="5"/>
        <v>0</v>
      </c>
      <c r="AA113" s="16">
        <f>VLOOKUP(S113,[1]CPI!$A$2:$D$67,4,0)</f>
        <v>1</v>
      </c>
      <c r="AB113" s="17">
        <f t="shared" si="6"/>
        <v>6650</v>
      </c>
      <c r="AC113" s="17">
        <f t="shared" si="7"/>
        <v>604.5454545454545</v>
      </c>
      <c r="AD113" s="16" t="s">
        <v>43</v>
      </c>
      <c r="AE113" s="26" t="s">
        <v>339</v>
      </c>
      <c r="AF113" s="19"/>
      <c r="AG113" s="19"/>
      <c r="AH113" s="19"/>
      <c r="AI113" s="19"/>
      <c r="AJ113" s="20"/>
      <c r="AK113" s="20"/>
      <c r="AL113" s="20"/>
      <c r="AM113" s="20"/>
      <c r="AN113" s="20"/>
      <c r="AO113" s="20"/>
      <c r="AP113" s="20"/>
      <c r="AQ113" s="20"/>
    </row>
    <row r="114" spans="1:43" ht="15.75" customHeight="1" x14ac:dyDescent="0.2">
      <c r="A114" s="21">
        <v>7355</v>
      </c>
      <c r="B114" s="16" t="s">
        <v>333</v>
      </c>
      <c r="C114" s="16" t="s">
        <v>334</v>
      </c>
      <c r="D114" s="22"/>
      <c r="E114" s="16" t="s">
        <v>142</v>
      </c>
      <c r="F114" s="13">
        <v>2021</v>
      </c>
      <c r="G114" s="13">
        <v>2025</v>
      </c>
      <c r="H114" s="13">
        <v>0</v>
      </c>
      <c r="I114" s="13">
        <v>15.6</v>
      </c>
      <c r="J114" s="23">
        <v>0</v>
      </c>
      <c r="K114" s="13">
        <v>0</v>
      </c>
      <c r="L114" s="13">
        <v>0</v>
      </c>
      <c r="M114" s="13">
        <v>0</v>
      </c>
      <c r="N114" s="13">
        <v>11</v>
      </c>
      <c r="O114" s="16"/>
      <c r="P114" s="16" t="s">
        <v>50</v>
      </c>
      <c r="Q114" s="24">
        <v>59300</v>
      </c>
      <c r="R114" s="16" t="s">
        <v>336</v>
      </c>
      <c r="S114" s="13">
        <v>2023</v>
      </c>
      <c r="T114" s="13">
        <v>5.5E-2</v>
      </c>
      <c r="U114" s="13">
        <f t="shared" si="0"/>
        <v>3261.5</v>
      </c>
      <c r="V114" s="25">
        <f t="shared" si="1"/>
        <v>209.07051282051282</v>
      </c>
      <c r="W114" s="15">
        <f t="shared" si="2"/>
        <v>0</v>
      </c>
      <c r="X114" s="15">
        <f t="shared" si="3"/>
        <v>0</v>
      </c>
      <c r="Y114" s="15">
        <f t="shared" si="4"/>
        <v>0</v>
      </c>
      <c r="Z114" s="13">
        <f t="shared" si="5"/>
        <v>0</v>
      </c>
      <c r="AA114" s="16">
        <f>VLOOKUP(S114,[1]CPI!$A$2:$D$67,4,0)</f>
        <v>1</v>
      </c>
      <c r="AB114" s="17">
        <f t="shared" si="6"/>
        <v>3261.5</v>
      </c>
      <c r="AC114" s="17">
        <f t="shared" si="7"/>
        <v>209.07051282051282</v>
      </c>
      <c r="AD114" s="16" t="s">
        <v>43</v>
      </c>
      <c r="AE114" s="26" t="s">
        <v>340</v>
      </c>
      <c r="AF114" s="19"/>
      <c r="AG114" s="19"/>
      <c r="AH114" s="19"/>
      <c r="AI114" s="19"/>
      <c r="AJ114" s="20"/>
      <c r="AK114" s="20"/>
      <c r="AL114" s="20"/>
      <c r="AM114" s="20"/>
      <c r="AN114" s="20"/>
      <c r="AO114" s="20"/>
      <c r="AP114" s="20"/>
      <c r="AQ114" s="20"/>
    </row>
    <row r="115" spans="1:43" ht="15.75" customHeight="1" x14ac:dyDescent="0.2">
      <c r="A115" s="21">
        <v>7360</v>
      </c>
      <c r="B115" s="16" t="s">
        <v>341</v>
      </c>
      <c r="C115" s="16" t="s">
        <v>342</v>
      </c>
      <c r="D115" s="22"/>
      <c r="E115" s="16" t="s">
        <v>101</v>
      </c>
      <c r="F115" s="13">
        <v>2010</v>
      </c>
      <c r="G115" s="13">
        <v>2013</v>
      </c>
      <c r="H115" s="13">
        <v>0</v>
      </c>
      <c r="I115" s="13">
        <v>4.2</v>
      </c>
      <c r="J115" s="23">
        <v>0</v>
      </c>
      <c r="K115" s="13">
        <v>0</v>
      </c>
      <c r="L115" s="13">
        <v>2.63</v>
      </c>
      <c r="M115" s="13">
        <v>1.57</v>
      </c>
      <c r="N115" s="13">
        <v>3</v>
      </c>
      <c r="O115" s="16"/>
      <c r="P115" s="16" t="s">
        <v>43</v>
      </c>
      <c r="Q115" s="24">
        <v>320</v>
      </c>
      <c r="R115" s="16" t="s">
        <v>36</v>
      </c>
      <c r="S115" s="13">
        <v>2012</v>
      </c>
      <c r="T115" s="13">
        <v>1.3</v>
      </c>
      <c r="U115" s="13">
        <f t="shared" si="0"/>
        <v>416</v>
      </c>
      <c r="V115" s="25">
        <f t="shared" si="1"/>
        <v>99.047619047619037</v>
      </c>
      <c r="W115" s="15">
        <f t="shared" si="2"/>
        <v>0</v>
      </c>
      <c r="X115" s="15">
        <f t="shared" si="3"/>
        <v>0</v>
      </c>
      <c r="Y115" s="15">
        <f t="shared" si="4"/>
        <v>0</v>
      </c>
      <c r="Z115" s="13">
        <f t="shared" si="5"/>
        <v>0</v>
      </c>
      <c r="AA115" s="16">
        <f>VLOOKUP(S115,[1]CPI!$A$2:$D$67,4,0)</f>
        <v>1.1802137686524912</v>
      </c>
      <c r="AB115" s="17">
        <f t="shared" si="6"/>
        <v>490.96892775943633</v>
      </c>
      <c r="AC115" s="17">
        <f t="shared" si="7"/>
        <v>116.89736375224673</v>
      </c>
      <c r="AD115" s="16" t="s">
        <v>43</v>
      </c>
      <c r="AE115" s="29" t="s">
        <v>343</v>
      </c>
      <c r="AF115" s="27"/>
      <c r="AG115" s="27"/>
      <c r="AH115" s="27"/>
      <c r="AI115" s="27"/>
      <c r="AJ115" s="28"/>
      <c r="AK115" s="28"/>
      <c r="AL115" s="28"/>
      <c r="AM115" s="28"/>
      <c r="AN115" s="28"/>
      <c r="AO115" s="28"/>
      <c r="AP115" s="28"/>
      <c r="AQ115" s="28"/>
    </row>
    <row r="116" spans="1:43" ht="15.75" customHeight="1" x14ac:dyDescent="0.2">
      <c r="A116" s="21">
        <v>7361</v>
      </c>
      <c r="B116" s="16" t="s">
        <v>341</v>
      </c>
      <c r="C116" s="16" t="s">
        <v>342</v>
      </c>
      <c r="D116" s="22"/>
      <c r="E116" s="16" t="s">
        <v>133</v>
      </c>
      <c r="F116" s="13">
        <v>2012</v>
      </c>
      <c r="G116" s="13">
        <v>2017</v>
      </c>
      <c r="H116" s="13">
        <v>0</v>
      </c>
      <c r="I116" s="13">
        <v>4.7</v>
      </c>
      <c r="J116" s="23">
        <v>0.56999999999999995</v>
      </c>
      <c r="K116" s="13">
        <v>2.7</v>
      </c>
      <c r="L116" s="13">
        <v>0.06</v>
      </c>
      <c r="M116" s="13">
        <v>2.008</v>
      </c>
      <c r="N116" s="13">
        <v>5</v>
      </c>
      <c r="O116" s="16"/>
      <c r="P116" s="16" t="s">
        <v>94</v>
      </c>
      <c r="Q116" s="24">
        <v>600</v>
      </c>
      <c r="R116" s="16" t="s">
        <v>36</v>
      </c>
      <c r="S116" s="13">
        <v>2015</v>
      </c>
      <c r="T116" s="13">
        <v>1.3</v>
      </c>
      <c r="U116" s="13">
        <f t="shared" si="0"/>
        <v>780</v>
      </c>
      <c r="V116" s="25">
        <f t="shared" si="1"/>
        <v>165.95744680851064</v>
      </c>
      <c r="W116" s="15">
        <f t="shared" si="2"/>
        <v>0</v>
      </c>
      <c r="X116" s="15">
        <f t="shared" si="3"/>
        <v>0</v>
      </c>
      <c r="Y116" s="15">
        <f t="shared" si="4"/>
        <v>0</v>
      </c>
      <c r="Z116" s="13">
        <f t="shared" si="5"/>
        <v>0</v>
      </c>
      <c r="AA116" s="16">
        <f>VLOOKUP(S116,[1]CPI!$A$2:$D$67,4,0)</f>
        <v>1.143251327963817</v>
      </c>
      <c r="AB116" s="17">
        <f t="shared" si="6"/>
        <v>891.73603581177724</v>
      </c>
      <c r="AC116" s="17">
        <f t="shared" si="7"/>
        <v>189.7310714493143</v>
      </c>
      <c r="AD116" s="16" t="s">
        <v>35</v>
      </c>
      <c r="AE116" s="29" t="s">
        <v>344</v>
      </c>
      <c r="AF116" s="27"/>
      <c r="AG116" s="27"/>
      <c r="AH116" s="27"/>
      <c r="AI116" s="27"/>
      <c r="AJ116" s="28"/>
      <c r="AK116" s="28"/>
      <c r="AL116" s="28"/>
      <c r="AM116" s="28"/>
      <c r="AN116" s="28"/>
      <c r="AO116" s="28"/>
      <c r="AP116" s="28"/>
      <c r="AQ116" s="28"/>
    </row>
    <row r="117" spans="1:43" ht="15.75" customHeight="1" x14ac:dyDescent="0.2">
      <c r="A117" s="21">
        <v>7362</v>
      </c>
      <c r="B117" s="16" t="s">
        <v>341</v>
      </c>
      <c r="C117" s="16" t="s">
        <v>342</v>
      </c>
      <c r="D117" s="22"/>
      <c r="E117" s="16" t="s">
        <v>345</v>
      </c>
      <c r="F117" s="13">
        <v>2019</v>
      </c>
      <c r="G117" s="13">
        <v>2029</v>
      </c>
      <c r="H117" s="13">
        <v>0</v>
      </c>
      <c r="I117" s="13">
        <v>9</v>
      </c>
      <c r="J117" s="23">
        <v>1</v>
      </c>
      <c r="K117" s="13">
        <v>9</v>
      </c>
      <c r="L117" s="13">
        <v>0</v>
      </c>
      <c r="M117" s="13">
        <v>0</v>
      </c>
      <c r="N117" s="13">
        <v>11</v>
      </c>
      <c r="O117" s="16"/>
      <c r="P117" s="16" t="s">
        <v>35</v>
      </c>
      <c r="Q117" s="24">
        <v>2200</v>
      </c>
      <c r="R117" s="16" t="s">
        <v>36</v>
      </c>
      <c r="S117" s="13">
        <v>2023</v>
      </c>
      <c r="T117" s="13">
        <v>1.3</v>
      </c>
      <c r="U117" s="13">
        <f t="shared" si="0"/>
        <v>2860</v>
      </c>
      <c r="V117" s="25">
        <f t="shared" si="1"/>
        <v>317.77777777777777</v>
      </c>
      <c r="W117" s="15">
        <f t="shared" si="2"/>
        <v>0</v>
      </c>
      <c r="X117" s="15">
        <f t="shared" si="3"/>
        <v>0</v>
      </c>
      <c r="Y117" s="15">
        <f t="shared" si="4"/>
        <v>0</v>
      </c>
      <c r="Z117" s="13">
        <f t="shared" si="5"/>
        <v>0</v>
      </c>
      <c r="AA117" s="16">
        <f>VLOOKUP(S117,[1]CPI!$A$2:$D$67,4,0)</f>
        <v>1</v>
      </c>
      <c r="AB117" s="17">
        <f t="shared" si="6"/>
        <v>2860</v>
      </c>
      <c r="AC117" s="17">
        <f t="shared" si="7"/>
        <v>317.77777777777777</v>
      </c>
      <c r="AD117" s="16" t="s">
        <v>43</v>
      </c>
      <c r="AE117" s="29" t="s">
        <v>346</v>
      </c>
      <c r="AF117" s="27"/>
      <c r="AG117" s="27"/>
      <c r="AH117" s="27"/>
      <c r="AI117" s="27"/>
      <c r="AJ117" s="28"/>
      <c r="AK117" s="28"/>
      <c r="AL117" s="28"/>
      <c r="AM117" s="28"/>
      <c r="AN117" s="28"/>
      <c r="AO117" s="28"/>
      <c r="AP117" s="28"/>
      <c r="AQ117" s="28"/>
    </row>
    <row r="118" spans="1:43" ht="15.75" customHeight="1" x14ac:dyDescent="0.2">
      <c r="A118" s="21">
        <v>7363</v>
      </c>
      <c r="B118" s="16" t="s">
        <v>267</v>
      </c>
      <c r="C118" s="16" t="s">
        <v>347</v>
      </c>
      <c r="D118" s="22"/>
      <c r="E118" s="16" t="s">
        <v>348</v>
      </c>
      <c r="F118" s="13">
        <v>2013</v>
      </c>
      <c r="G118" s="13">
        <v>2017</v>
      </c>
      <c r="H118" s="13">
        <v>0</v>
      </c>
      <c r="I118" s="13">
        <v>13</v>
      </c>
      <c r="J118" s="23">
        <v>0</v>
      </c>
      <c r="K118" s="13">
        <v>0</v>
      </c>
      <c r="L118" s="13">
        <v>0</v>
      </c>
      <c r="M118" s="13">
        <v>0</v>
      </c>
      <c r="N118" s="13">
        <v>11</v>
      </c>
      <c r="O118" s="16"/>
      <c r="P118" s="16" t="s">
        <v>35</v>
      </c>
      <c r="Q118" s="24">
        <v>51810</v>
      </c>
      <c r="R118" s="16" t="s">
        <v>270</v>
      </c>
      <c r="S118" s="13">
        <v>2015</v>
      </c>
      <c r="T118" s="13">
        <v>5.1999999999999998E-2</v>
      </c>
      <c r="U118" s="13">
        <f t="shared" si="0"/>
        <v>2694.12</v>
      </c>
      <c r="V118" s="25">
        <f t="shared" si="1"/>
        <v>207.23999999999998</v>
      </c>
      <c r="W118" s="15">
        <f t="shared" si="2"/>
        <v>0</v>
      </c>
      <c r="X118" s="15">
        <f t="shared" si="3"/>
        <v>0</v>
      </c>
      <c r="Y118" s="15">
        <f t="shared" si="4"/>
        <v>0</v>
      </c>
      <c r="Z118" s="13">
        <f t="shared" si="5"/>
        <v>0</v>
      </c>
      <c r="AA118" s="16">
        <f>VLOOKUP(S118,[1]CPI!$A$2:$D$67,4,0)</f>
        <v>1.143251327963817</v>
      </c>
      <c r="AB118" s="17">
        <f t="shared" si="6"/>
        <v>3080.0562676938785</v>
      </c>
      <c r="AC118" s="17">
        <f t="shared" si="7"/>
        <v>236.92740520722143</v>
      </c>
      <c r="AD118" s="16" t="s">
        <v>35</v>
      </c>
      <c r="AE118" s="26" t="s">
        <v>349</v>
      </c>
      <c r="AF118" s="19"/>
      <c r="AG118" s="19"/>
      <c r="AH118" s="19"/>
      <c r="AI118" s="19"/>
      <c r="AJ118" s="20"/>
      <c r="AK118" s="20"/>
      <c r="AL118" s="20"/>
      <c r="AM118" s="20"/>
      <c r="AN118" s="20"/>
      <c r="AO118" s="20"/>
      <c r="AP118" s="20"/>
      <c r="AQ118" s="20"/>
    </row>
    <row r="119" spans="1:43" ht="15.75" customHeight="1" x14ac:dyDescent="0.2">
      <c r="A119" s="21">
        <v>7368</v>
      </c>
      <c r="B119" s="16" t="s">
        <v>267</v>
      </c>
      <c r="C119" s="16" t="s">
        <v>350</v>
      </c>
      <c r="D119" s="22"/>
      <c r="E119" s="16" t="s">
        <v>351</v>
      </c>
      <c r="F119" s="13">
        <v>2012</v>
      </c>
      <c r="G119" s="13">
        <v>2020</v>
      </c>
      <c r="H119" s="13">
        <v>0</v>
      </c>
      <c r="I119" s="13">
        <v>160.6</v>
      </c>
      <c r="J119" s="23">
        <v>0.33</v>
      </c>
      <c r="K119" s="13">
        <v>53</v>
      </c>
      <c r="L119" s="13">
        <v>0</v>
      </c>
      <c r="M119" s="13">
        <v>0</v>
      </c>
      <c r="N119" s="13">
        <v>109</v>
      </c>
      <c r="O119" s="16"/>
      <c r="P119" s="16" t="s">
        <v>50</v>
      </c>
      <c r="Q119" s="24">
        <v>410790</v>
      </c>
      <c r="R119" s="16" t="s">
        <v>270</v>
      </c>
      <c r="S119" s="13">
        <v>2016</v>
      </c>
      <c r="T119" s="13">
        <v>0.05</v>
      </c>
      <c r="U119" s="13">
        <f t="shared" si="0"/>
        <v>20539.5</v>
      </c>
      <c r="V119" s="25">
        <f t="shared" si="1"/>
        <v>127.8922789539228</v>
      </c>
      <c r="W119" s="15">
        <f t="shared" si="2"/>
        <v>0</v>
      </c>
      <c r="X119" s="15">
        <f t="shared" si="3"/>
        <v>0</v>
      </c>
      <c r="Y119" s="15">
        <f t="shared" si="4"/>
        <v>0</v>
      </c>
      <c r="Z119" s="13">
        <f t="shared" si="5"/>
        <v>0</v>
      </c>
      <c r="AA119" s="16">
        <f>VLOOKUP(S119,[1]CPI!$A$2:$D$67,4,0)</f>
        <v>1.1290087372451638</v>
      </c>
      <c r="AB119" s="17">
        <f t="shared" si="6"/>
        <v>23189.274958647042</v>
      </c>
      <c r="AC119" s="17">
        <f t="shared" si="7"/>
        <v>144.39150036517461</v>
      </c>
      <c r="AD119" s="16" t="s">
        <v>35</v>
      </c>
      <c r="AE119" s="26" t="s">
        <v>352</v>
      </c>
      <c r="AF119" s="19"/>
      <c r="AG119" s="19"/>
      <c r="AH119" s="19"/>
      <c r="AI119" s="19"/>
      <c r="AJ119" s="20"/>
      <c r="AK119" s="20"/>
      <c r="AL119" s="20"/>
      <c r="AM119" s="20"/>
      <c r="AN119" s="20"/>
      <c r="AO119" s="20"/>
      <c r="AP119" s="20"/>
      <c r="AQ119" s="20"/>
    </row>
    <row r="120" spans="1:43" ht="15.75" customHeight="1" x14ac:dyDescent="0.2">
      <c r="A120" s="21">
        <v>7369</v>
      </c>
      <c r="B120" s="16" t="s">
        <v>267</v>
      </c>
      <c r="C120" s="16" t="s">
        <v>350</v>
      </c>
      <c r="D120" s="22" t="s">
        <v>353</v>
      </c>
      <c r="E120" s="16" t="s">
        <v>354</v>
      </c>
      <c r="F120" s="13">
        <v>2019</v>
      </c>
      <c r="G120" s="13">
        <v>2025</v>
      </c>
      <c r="H120" s="13">
        <v>0</v>
      </c>
      <c r="I120" s="13">
        <v>61.7</v>
      </c>
      <c r="J120" s="23">
        <v>0.36</v>
      </c>
      <c r="K120" s="13">
        <v>22.3</v>
      </c>
      <c r="L120" s="13">
        <v>0</v>
      </c>
      <c r="M120" s="13">
        <v>0</v>
      </c>
      <c r="N120" s="13">
        <v>46</v>
      </c>
      <c r="O120" s="16"/>
      <c r="P120" s="16" t="s">
        <v>43</v>
      </c>
      <c r="Q120" s="24">
        <v>249486.5</v>
      </c>
      <c r="R120" s="16" t="s">
        <v>270</v>
      </c>
      <c r="S120" s="13">
        <v>2022</v>
      </c>
      <c r="T120" s="13">
        <v>4.7E-2</v>
      </c>
      <c r="U120" s="13">
        <f t="shared" si="0"/>
        <v>11725.8655</v>
      </c>
      <c r="V120" s="25">
        <f t="shared" si="1"/>
        <v>190.04644246353323</v>
      </c>
      <c r="W120" s="15">
        <f t="shared" si="2"/>
        <v>0</v>
      </c>
      <c r="X120" s="15">
        <f t="shared" si="3"/>
        <v>0</v>
      </c>
      <c r="Y120" s="15">
        <f t="shared" si="4"/>
        <v>0</v>
      </c>
      <c r="Z120" s="13">
        <f t="shared" si="5"/>
        <v>0</v>
      </c>
      <c r="AA120" s="16">
        <f>VLOOKUP(S120,[1]CPI!$A$2:$D$67,4,0)</f>
        <v>1</v>
      </c>
      <c r="AB120" s="17">
        <f t="shared" si="6"/>
        <v>11725.8655</v>
      </c>
      <c r="AC120" s="17">
        <f t="shared" si="7"/>
        <v>190.04644246353323</v>
      </c>
      <c r="AD120" s="16" t="s">
        <v>43</v>
      </c>
      <c r="AE120" s="29" t="s">
        <v>355</v>
      </c>
      <c r="AF120" s="19"/>
      <c r="AG120" s="19"/>
      <c r="AH120" s="19"/>
      <c r="AI120" s="19"/>
      <c r="AJ120" s="20"/>
      <c r="AK120" s="20"/>
      <c r="AL120" s="20"/>
      <c r="AM120" s="20"/>
      <c r="AN120" s="20"/>
      <c r="AO120" s="20"/>
      <c r="AP120" s="20"/>
      <c r="AQ120" s="20"/>
    </row>
    <row r="121" spans="1:43" ht="15.75" customHeight="1" x14ac:dyDescent="0.2">
      <c r="A121" s="21">
        <v>7370</v>
      </c>
      <c r="B121" s="16" t="s">
        <v>267</v>
      </c>
      <c r="C121" s="16" t="s">
        <v>350</v>
      </c>
      <c r="D121" s="22" t="s">
        <v>353</v>
      </c>
      <c r="E121" s="16" t="s">
        <v>356</v>
      </c>
      <c r="F121" s="13">
        <v>2019</v>
      </c>
      <c r="G121" s="13">
        <v>2025</v>
      </c>
      <c r="H121" s="13">
        <v>0</v>
      </c>
      <c r="I121" s="13">
        <v>42.3</v>
      </c>
      <c r="J121" s="23">
        <v>0.35</v>
      </c>
      <c r="K121" s="13">
        <v>14.7</v>
      </c>
      <c r="L121" s="13">
        <v>0</v>
      </c>
      <c r="M121" s="13">
        <v>0</v>
      </c>
      <c r="N121" s="13">
        <v>43</v>
      </c>
      <c r="O121" s="16"/>
      <c r="P121" s="16" t="s">
        <v>43</v>
      </c>
      <c r="Q121" s="24">
        <v>215363.5</v>
      </c>
      <c r="R121" s="16" t="s">
        <v>270</v>
      </c>
      <c r="S121" s="13">
        <v>2022</v>
      </c>
      <c r="T121" s="13">
        <v>4.7E-2</v>
      </c>
      <c r="U121" s="13">
        <f t="shared" si="0"/>
        <v>10122.084500000001</v>
      </c>
      <c r="V121" s="25">
        <f t="shared" si="1"/>
        <v>239.29277777777781</v>
      </c>
      <c r="W121" s="15">
        <f t="shared" si="2"/>
        <v>0</v>
      </c>
      <c r="X121" s="15">
        <f t="shared" si="3"/>
        <v>0</v>
      </c>
      <c r="Y121" s="15">
        <f t="shared" si="4"/>
        <v>0</v>
      </c>
      <c r="Z121" s="13">
        <f t="shared" si="5"/>
        <v>0</v>
      </c>
      <c r="AA121" s="16">
        <f>VLOOKUP(S121,[1]CPI!$A$2:$D$67,4,0)</f>
        <v>1</v>
      </c>
      <c r="AB121" s="17">
        <f t="shared" si="6"/>
        <v>10122.084500000001</v>
      </c>
      <c r="AC121" s="17">
        <f t="shared" si="7"/>
        <v>239.29277777777781</v>
      </c>
      <c r="AD121" s="16" t="s">
        <v>43</v>
      </c>
      <c r="AE121" s="29" t="s">
        <v>357</v>
      </c>
      <c r="AF121" s="19"/>
      <c r="AG121" s="19"/>
      <c r="AH121" s="19"/>
      <c r="AI121" s="19"/>
      <c r="AJ121" s="20"/>
      <c r="AK121" s="20"/>
      <c r="AL121" s="20"/>
      <c r="AM121" s="20"/>
      <c r="AN121" s="20"/>
      <c r="AO121" s="20"/>
      <c r="AP121" s="20"/>
      <c r="AQ121" s="20"/>
    </row>
    <row r="122" spans="1:43" ht="15.75" customHeight="1" x14ac:dyDescent="0.2">
      <c r="A122" s="21">
        <v>7371</v>
      </c>
      <c r="B122" s="16" t="s">
        <v>358</v>
      </c>
      <c r="C122" s="16" t="s">
        <v>359</v>
      </c>
      <c r="D122" s="22"/>
      <c r="E122" s="16" t="s">
        <v>360</v>
      </c>
      <c r="F122" s="13">
        <v>2012</v>
      </c>
      <c r="G122" s="13">
        <v>2014</v>
      </c>
      <c r="H122" s="13">
        <v>0</v>
      </c>
      <c r="I122" s="13">
        <v>12</v>
      </c>
      <c r="J122" s="23">
        <v>1</v>
      </c>
      <c r="K122" s="13">
        <v>12</v>
      </c>
      <c r="L122" s="13">
        <v>0</v>
      </c>
      <c r="M122" s="13">
        <v>0</v>
      </c>
      <c r="N122" s="13">
        <v>11</v>
      </c>
      <c r="O122" s="16"/>
      <c r="P122" s="16" t="s">
        <v>73</v>
      </c>
      <c r="Q122" s="24">
        <v>20000000</v>
      </c>
      <c r="R122" s="16" t="s">
        <v>361</v>
      </c>
      <c r="S122" s="13">
        <v>2013</v>
      </c>
      <c r="T122" s="13">
        <v>1.2E-4</v>
      </c>
      <c r="U122" s="13">
        <f t="shared" si="0"/>
        <v>2400</v>
      </c>
      <c r="V122" s="25">
        <f t="shared" si="1"/>
        <v>200</v>
      </c>
      <c r="W122" s="15">
        <f t="shared" si="2"/>
        <v>0</v>
      </c>
      <c r="X122" s="15">
        <f t="shared" si="3"/>
        <v>0</v>
      </c>
      <c r="Y122" s="15">
        <f t="shared" si="4"/>
        <v>0</v>
      </c>
      <c r="Z122" s="13">
        <f t="shared" si="5"/>
        <v>0</v>
      </c>
      <c r="AA122" s="16">
        <f>VLOOKUP(S122,[1]CPI!$A$2:$D$67,4,0)</f>
        <v>1.16317603677932</v>
      </c>
      <c r="AB122" s="17">
        <f t="shared" si="6"/>
        <v>2791.6224882703682</v>
      </c>
      <c r="AC122" s="17">
        <f t="shared" si="7"/>
        <v>232.635207355864</v>
      </c>
      <c r="AD122" s="16" t="s">
        <v>73</v>
      </c>
      <c r="AE122" s="29" t="s">
        <v>362</v>
      </c>
      <c r="AF122" s="19"/>
      <c r="AG122" s="19"/>
      <c r="AH122" s="19"/>
      <c r="AI122" s="19"/>
      <c r="AJ122" s="20"/>
      <c r="AK122" s="20"/>
      <c r="AL122" s="20"/>
      <c r="AM122" s="20"/>
      <c r="AN122" s="20"/>
      <c r="AO122" s="20"/>
      <c r="AP122" s="20"/>
      <c r="AQ122" s="20"/>
    </row>
    <row r="123" spans="1:43" ht="15.75" customHeight="1" x14ac:dyDescent="0.2">
      <c r="A123" s="21">
        <v>7376</v>
      </c>
      <c r="B123" s="16" t="s">
        <v>358</v>
      </c>
      <c r="C123" s="16" t="s">
        <v>359</v>
      </c>
      <c r="D123" s="22"/>
      <c r="E123" s="16" t="s">
        <v>281</v>
      </c>
      <c r="F123" s="16"/>
      <c r="G123" s="13">
        <v>2020</v>
      </c>
      <c r="H123" s="13">
        <v>0</v>
      </c>
      <c r="I123" s="13">
        <v>31</v>
      </c>
      <c r="J123" s="23">
        <v>1</v>
      </c>
      <c r="K123" s="13">
        <v>31</v>
      </c>
      <c r="L123" s="13">
        <v>0</v>
      </c>
      <c r="M123" s="13">
        <v>0</v>
      </c>
      <c r="N123" s="13">
        <v>29</v>
      </c>
      <c r="O123" s="16"/>
      <c r="P123" s="16" t="s">
        <v>43</v>
      </c>
      <c r="Q123" s="24">
        <v>90000000</v>
      </c>
      <c r="R123" s="16" t="s">
        <v>361</v>
      </c>
      <c r="S123" s="13">
        <v>2017</v>
      </c>
      <c r="T123" s="13">
        <v>6.3999999999999997E-5</v>
      </c>
      <c r="U123" s="13">
        <f t="shared" si="0"/>
        <v>5760</v>
      </c>
      <c r="V123" s="25">
        <f t="shared" si="1"/>
        <v>185.80645161290323</v>
      </c>
      <c r="W123" s="15">
        <f t="shared" si="2"/>
        <v>0</v>
      </c>
      <c r="X123" s="15">
        <f t="shared" si="3"/>
        <v>0</v>
      </c>
      <c r="Y123" s="15">
        <f t="shared" si="4"/>
        <v>0</v>
      </c>
      <c r="Z123" s="13">
        <f t="shared" si="5"/>
        <v>0</v>
      </c>
      <c r="AA123" s="16">
        <f>VLOOKUP(S123,[1]CPI!$A$2:$D$67,4,0)</f>
        <v>1.1054585509138382</v>
      </c>
      <c r="AB123" s="17">
        <f t="shared" si="6"/>
        <v>6367.4412532637079</v>
      </c>
      <c r="AC123" s="17">
        <f t="shared" si="7"/>
        <v>205.40133075044218</v>
      </c>
      <c r="AD123" s="16" t="s">
        <v>43</v>
      </c>
      <c r="AE123" s="29" t="s">
        <v>363</v>
      </c>
      <c r="AF123" s="19"/>
      <c r="AG123" s="19"/>
      <c r="AH123" s="19"/>
      <c r="AI123" s="19"/>
      <c r="AJ123" s="20"/>
      <c r="AK123" s="20"/>
      <c r="AL123" s="20"/>
      <c r="AM123" s="20"/>
      <c r="AN123" s="20"/>
      <c r="AO123" s="20"/>
      <c r="AP123" s="20"/>
      <c r="AQ123" s="20"/>
    </row>
    <row r="124" spans="1:43" ht="15.75" customHeight="1" x14ac:dyDescent="0.2">
      <c r="A124" s="21">
        <v>7377</v>
      </c>
      <c r="B124" s="16" t="s">
        <v>358</v>
      </c>
      <c r="C124" s="16" t="s">
        <v>359</v>
      </c>
      <c r="D124" s="22"/>
      <c r="E124" s="16" t="s">
        <v>283</v>
      </c>
      <c r="F124" s="16"/>
      <c r="G124" s="13">
        <v>2019</v>
      </c>
      <c r="H124" s="13">
        <v>0</v>
      </c>
      <c r="I124" s="13">
        <v>27</v>
      </c>
      <c r="J124" s="23">
        <v>1</v>
      </c>
      <c r="K124" s="13">
        <v>27</v>
      </c>
      <c r="L124" s="13">
        <v>0</v>
      </c>
      <c r="M124" s="13">
        <v>0</v>
      </c>
      <c r="N124" s="13">
        <v>25</v>
      </c>
      <c r="O124" s="16"/>
      <c r="P124" s="16" t="s">
        <v>43</v>
      </c>
      <c r="Q124" s="24">
        <v>90000000</v>
      </c>
      <c r="R124" s="16" t="s">
        <v>361</v>
      </c>
      <c r="S124" s="13">
        <v>2017</v>
      </c>
      <c r="T124" s="13">
        <v>6.3999999999999997E-5</v>
      </c>
      <c r="U124" s="13">
        <f t="shared" si="0"/>
        <v>5760</v>
      </c>
      <c r="V124" s="25">
        <f t="shared" si="1"/>
        <v>213.33333333333334</v>
      </c>
      <c r="W124" s="15">
        <f t="shared" si="2"/>
        <v>0</v>
      </c>
      <c r="X124" s="15">
        <f t="shared" si="3"/>
        <v>0</v>
      </c>
      <c r="Y124" s="15">
        <f t="shared" si="4"/>
        <v>0</v>
      </c>
      <c r="Z124" s="13">
        <f t="shared" si="5"/>
        <v>0</v>
      </c>
      <c r="AA124" s="16">
        <f>VLOOKUP(S124,[1]CPI!$A$2:$D$67,4,0)</f>
        <v>1.1054585509138382</v>
      </c>
      <c r="AB124" s="17">
        <f t="shared" si="6"/>
        <v>6367.4412532637079</v>
      </c>
      <c r="AC124" s="17">
        <f t="shared" si="7"/>
        <v>235.83115752828547</v>
      </c>
      <c r="AD124" s="16" t="s">
        <v>43</v>
      </c>
      <c r="AE124" s="29" t="s">
        <v>363</v>
      </c>
      <c r="AF124" s="19"/>
      <c r="AG124" s="19"/>
      <c r="AH124" s="19"/>
      <c r="AI124" s="19"/>
      <c r="AJ124" s="20"/>
      <c r="AK124" s="20"/>
      <c r="AL124" s="20"/>
      <c r="AM124" s="20"/>
      <c r="AN124" s="20"/>
      <c r="AO124" s="20"/>
      <c r="AP124" s="20"/>
      <c r="AQ124" s="20"/>
    </row>
    <row r="125" spans="1:43" ht="15.75" customHeight="1" x14ac:dyDescent="0.2">
      <c r="A125" s="21">
        <v>7378</v>
      </c>
      <c r="B125" s="16" t="s">
        <v>364</v>
      </c>
      <c r="C125" s="16" t="s">
        <v>365</v>
      </c>
      <c r="D125" s="22"/>
      <c r="E125" s="16" t="s">
        <v>366</v>
      </c>
      <c r="F125" s="13">
        <v>1995</v>
      </c>
      <c r="G125" s="13">
        <v>1998</v>
      </c>
      <c r="H125" s="13">
        <v>0</v>
      </c>
      <c r="I125" s="13">
        <v>56</v>
      </c>
      <c r="J125" s="23">
        <v>0.68</v>
      </c>
      <c r="K125" s="13">
        <v>38</v>
      </c>
      <c r="L125" s="13">
        <v>0</v>
      </c>
      <c r="M125" s="13">
        <v>0</v>
      </c>
      <c r="N125" s="13">
        <v>37</v>
      </c>
      <c r="O125" s="16"/>
      <c r="P125" s="16" t="s">
        <v>73</v>
      </c>
      <c r="Q125" s="24">
        <v>1579</v>
      </c>
      <c r="R125" s="16" t="s">
        <v>36</v>
      </c>
      <c r="S125" s="13">
        <v>1997</v>
      </c>
      <c r="T125" s="13">
        <v>1.25</v>
      </c>
      <c r="U125" s="13">
        <f t="shared" si="0"/>
        <v>1973.75</v>
      </c>
      <c r="V125" s="25">
        <f t="shared" si="1"/>
        <v>35.245535714285715</v>
      </c>
      <c r="W125" s="15">
        <f t="shared" si="2"/>
        <v>1</v>
      </c>
      <c r="X125" s="15">
        <f t="shared" si="3"/>
        <v>56</v>
      </c>
      <c r="Y125" s="15">
        <f t="shared" si="4"/>
        <v>38</v>
      </c>
      <c r="Z125" s="13">
        <f t="shared" si="5"/>
        <v>0</v>
      </c>
      <c r="AA125" s="16">
        <f>VLOOKUP(S125,[1]CPI!$A$2:$D$67,4,0)</f>
        <v>1.6882866043613709</v>
      </c>
      <c r="AB125" s="17">
        <f t="shared" si="6"/>
        <v>3332.255685358256</v>
      </c>
      <c r="AC125" s="17">
        <f t="shared" si="7"/>
        <v>59.504565809968852</v>
      </c>
      <c r="AD125" s="16" t="s">
        <v>73</v>
      </c>
      <c r="AE125" s="26" t="s">
        <v>367</v>
      </c>
      <c r="AF125" s="19"/>
      <c r="AG125" s="19"/>
      <c r="AH125" s="19"/>
      <c r="AI125" s="19"/>
      <c r="AJ125" s="20"/>
      <c r="AK125" s="20"/>
      <c r="AL125" s="20"/>
      <c r="AM125" s="20"/>
      <c r="AN125" s="20"/>
      <c r="AO125" s="20"/>
      <c r="AP125" s="20"/>
      <c r="AQ125" s="20"/>
    </row>
    <row r="126" spans="1:43" ht="15.75" customHeight="1" x14ac:dyDescent="0.2">
      <c r="A126" s="21">
        <v>7379</v>
      </c>
      <c r="B126" s="16" t="s">
        <v>364</v>
      </c>
      <c r="C126" s="16" t="s">
        <v>365</v>
      </c>
      <c r="D126" s="22"/>
      <c r="E126" s="16" t="s">
        <v>368</v>
      </c>
      <c r="F126" s="13">
        <v>1999</v>
      </c>
      <c r="G126" s="13">
        <v>2003</v>
      </c>
      <c r="H126" s="13">
        <v>0</v>
      </c>
      <c r="I126" s="13">
        <v>75</v>
      </c>
      <c r="J126" s="23">
        <v>0.77</v>
      </c>
      <c r="K126" s="13">
        <v>58</v>
      </c>
      <c r="L126" s="13">
        <v>0</v>
      </c>
      <c r="M126" s="13">
        <v>0</v>
      </c>
      <c r="N126" s="13">
        <v>39</v>
      </c>
      <c r="O126" s="16"/>
      <c r="P126" s="16" t="s">
        <v>73</v>
      </c>
      <c r="Q126" s="24">
        <v>3157</v>
      </c>
      <c r="R126" s="16" t="s">
        <v>36</v>
      </c>
      <c r="S126" s="13">
        <v>2001</v>
      </c>
      <c r="T126" s="13">
        <v>1.25</v>
      </c>
      <c r="U126" s="13">
        <f t="shared" si="0"/>
        <v>3946.25</v>
      </c>
      <c r="V126" s="25">
        <f t="shared" si="1"/>
        <v>52.616666666666667</v>
      </c>
      <c r="W126" s="15">
        <f t="shared" si="2"/>
        <v>1</v>
      </c>
      <c r="X126" s="15">
        <f t="shared" si="3"/>
        <v>75</v>
      </c>
      <c r="Y126" s="15">
        <f t="shared" si="4"/>
        <v>58</v>
      </c>
      <c r="Z126" s="13">
        <f t="shared" si="5"/>
        <v>0</v>
      </c>
      <c r="AA126" s="16">
        <f>VLOOKUP(S126,[1]CPI!$A$2:$D$67,4,0)</f>
        <v>1.5300395256916999</v>
      </c>
      <c r="AB126" s="17">
        <f t="shared" si="6"/>
        <v>6037.9184782608709</v>
      </c>
      <c r="AC126" s="17">
        <f t="shared" si="7"/>
        <v>80.505579710144943</v>
      </c>
      <c r="AD126" s="16" t="s">
        <v>73</v>
      </c>
      <c r="AE126" s="26" t="s">
        <v>367</v>
      </c>
      <c r="AF126" s="19"/>
      <c r="AG126" s="19"/>
      <c r="AH126" s="19"/>
      <c r="AI126" s="19"/>
      <c r="AJ126" s="20"/>
      <c r="AK126" s="20"/>
      <c r="AL126" s="20"/>
      <c r="AM126" s="20"/>
      <c r="AN126" s="20"/>
      <c r="AO126" s="20"/>
      <c r="AP126" s="20"/>
      <c r="AQ126" s="20"/>
    </row>
    <row r="127" spans="1:43" ht="15.75" customHeight="1" x14ac:dyDescent="0.2">
      <c r="A127" s="21">
        <v>7384</v>
      </c>
      <c r="B127" s="16" t="s">
        <v>369</v>
      </c>
      <c r="C127" s="16" t="s">
        <v>370</v>
      </c>
      <c r="D127" s="22"/>
      <c r="E127" s="16" t="s">
        <v>371</v>
      </c>
      <c r="F127" s="13">
        <v>2021</v>
      </c>
      <c r="G127" s="13">
        <v>2023</v>
      </c>
      <c r="H127" s="13">
        <v>0</v>
      </c>
      <c r="I127" s="13">
        <v>2</v>
      </c>
      <c r="J127" s="23">
        <v>1</v>
      </c>
      <c r="K127" s="13">
        <v>2</v>
      </c>
      <c r="L127" s="13">
        <v>0</v>
      </c>
      <c r="M127" s="13">
        <v>0</v>
      </c>
      <c r="N127" s="13">
        <v>2</v>
      </c>
      <c r="O127" s="16"/>
      <c r="P127" s="16" t="s">
        <v>43</v>
      </c>
      <c r="Q127" s="24">
        <v>216</v>
      </c>
      <c r="R127" s="16" t="s">
        <v>36</v>
      </c>
      <c r="S127" s="13">
        <v>2021</v>
      </c>
      <c r="T127" s="13">
        <v>1.3</v>
      </c>
      <c r="U127" s="13">
        <f t="shared" si="0"/>
        <v>280.8</v>
      </c>
      <c r="V127" s="25">
        <f t="shared" si="1"/>
        <v>140.4</v>
      </c>
      <c r="W127" s="15">
        <f t="shared" si="2"/>
        <v>1</v>
      </c>
      <c r="X127" s="15">
        <f t="shared" si="3"/>
        <v>2</v>
      </c>
      <c r="Y127" s="15">
        <f t="shared" si="4"/>
        <v>2</v>
      </c>
      <c r="Z127" s="13">
        <f t="shared" si="5"/>
        <v>0</v>
      </c>
      <c r="AA127" s="16">
        <f>VLOOKUP(S127,[1]CPI!$A$2:$D$67,4,0)</f>
        <v>1</v>
      </c>
      <c r="AB127" s="17">
        <f t="shared" si="6"/>
        <v>280.8</v>
      </c>
      <c r="AC127" s="17">
        <f t="shared" si="7"/>
        <v>140.4</v>
      </c>
      <c r="AD127" s="16" t="s">
        <v>73</v>
      </c>
      <c r="AE127" s="29" t="s">
        <v>372</v>
      </c>
      <c r="AF127" s="19"/>
      <c r="AG127" s="19"/>
      <c r="AH127" s="19"/>
      <c r="AI127" s="19"/>
      <c r="AJ127" s="20"/>
      <c r="AK127" s="20"/>
      <c r="AL127" s="20"/>
      <c r="AM127" s="20"/>
      <c r="AN127" s="20"/>
      <c r="AO127" s="20"/>
      <c r="AP127" s="20"/>
      <c r="AQ127" s="20"/>
    </row>
    <row r="128" spans="1:43" ht="15.75" customHeight="1" x14ac:dyDescent="0.2">
      <c r="A128" s="21">
        <v>7385</v>
      </c>
      <c r="B128" s="16" t="s">
        <v>369</v>
      </c>
      <c r="C128" s="16" t="s">
        <v>373</v>
      </c>
      <c r="D128" s="22"/>
      <c r="E128" s="16" t="s">
        <v>374</v>
      </c>
      <c r="F128" s="13">
        <v>2019</v>
      </c>
      <c r="G128" s="13">
        <v>2023</v>
      </c>
      <c r="H128" s="13">
        <v>0</v>
      </c>
      <c r="I128" s="13">
        <v>6</v>
      </c>
      <c r="J128" s="23">
        <v>0.47</v>
      </c>
      <c r="K128" s="13">
        <v>2.8</v>
      </c>
      <c r="L128" s="13">
        <v>0</v>
      </c>
      <c r="M128" s="13">
        <v>0</v>
      </c>
      <c r="N128" s="13">
        <v>7</v>
      </c>
      <c r="O128" s="16"/>
      <c r="P128" s="16" t="s">
        <v>43</v>
      </c>
      <c r="Q128" s="24">
        <v>308</v>
      </c>
      <c r="R128" s="16" t="s">
        <v>36</v>
      </c>
      <c r="S128" s="13">
        <v>2021</v>
      </c>
      <c r="T128" s="13">
        <v>1.3</v>
      </c>
      <c r="U128" s="13">
        <f t="shared" si="0"/>
        <v>400.40000000000003</v>
      </c>
      <c r="V128" s="25">
        <f t="shared" si="1"/>
        <v>66.733333333333334</v>
      </c>
      <c r="W128" s="15">
        <f t="shared" si="2"/>
        <v>1</v>
      </c>
      <c r="X128" s="15">
        <f t="shared" si="3"/>
        <v>6</v>
      </c>
      <c r="Y128" s="15">
        <f t="shared" si="4"/>
        <v>2.8</v>
      </c>
      <c r="Z128" s="13">
        <f t="shared" si="5"/>
        <v>0</v>
      </c>
      <c r="AA128" s="16">
        <f>VLOOKUP(S128,[1]CPI!$A$2:$D$67,4,0)</f>
        <v>1</v>
      </c>
      <c r="AB128" s="17">
        <f t="shared" si="6"/>
        <v>400.40000000000003</v>
      </c>
      <c r="AC128" s="17">
        <f t="shared" si="7"/>
        <v>66.733333333333334</v>
      </c>
      <c r="AD128" s="16" t="s">
        <v>43</v>
      </c>
      <c r="AE128" s="29" t="s">
        <v>375</v>
      </c>
      <c r="AF128" s="19"/>
      <c r="AG128" s="19"/>
      <c r="AH128" s="19"/>
      <c r="AI128" s="19"/>
      <c r="AJ128" s="20"/>
      <c r="AK128" s="20"/>
      <c r="AL128" s="20"/>
      <c r="AM128" s="20"/>
      <c r="AN128" s="20"/>
      <c r="AO128" s="20"/>
      <c r="AP128" s="20"/>
      <c r="AQ128" s="20"/>
    </row>
    <row r="129" spans="1:43" ht="15.75" customHeight="1" x14ac:dyDescent="0.2">
      <c r="A129" s="21">
        <v>7386</v>
      </c>
      <c r="B129" s="22" t="s">
        <v>364</v>
      </c>
      <c r="C129" s="22" t="s">
        <v>365</v>
      </c>
      <c r="D129" s="22"/>
      <c r="E129" s="22" t="s">
        <v>376</v>
      </c>
      <c r="F129" s="15">
        <v>2020</v>
      </c>
      <c r="G129" s="15">
        <v>2028</v>
      </c>
      <c r="H129" s="15">
        <v>1</v>
      </c>
      <c r="I129" s="15">
        <v>10.5</v>
      </c>
      <c r="J129" s="47">
        <v>1</v>
      </c>
      <c r="K129" s="15">
        <v>10.5</v>
      </c>
      <c r="L129" s="15">
        <v>0</v>
      </c>
      <c r="M129" s="15">
        <v>0</v>
      </c>
      <c r="N129" s="15">
        <v>4</v>
      </c>
      <c r="O129" s="22"/>
      <c r="P129" s="22" t="s">
        <v>94</v>
      </c>
      <c r="Q129" s="48">
        <v>760</v>
      </c>
      <c r="R129" s="22" t="s">
        <v>36</v>
      </c>
      <c r="S129" s="15">
        <v>2024</v>
      </c>
      <c r="T129" s="15">
        <v>1.3</v>
      </c>
      <c r="U129" s="15">
        <f t="shared" si="0"/>
        <v>988</v>
      </c>
      <c r="V129" s="25">
        <f t="shared" si="1"/>
        <v>94.095238095238102</v>
      </c>
      <c r="W129" s="15">
        <f t="shared" si="2"/>
        <v>1</v>
      </c>
      <c r="X129" s="15">
        <f t="shared" si="3"/>
        <v>10.5</v>
      </c>
      <c r="Y129" s="15">
        <f t="shared" si="4"/>
        <v>10.5</v>
      </c>
      <c r="Z129" s="13">
        <f t="shared" si="5"/>
        <v>0</v>
      </c>
      <c r="AA129" s="16">
        <f>VLOOKUP(S129,[1]CPI!$A$2:$D$67,4,0)</f>
        <v>1</v>
      </c>
      <c r="AB129" s="17">
        <f t="shared" si="6"/>
        <v>988</v>
      </c>
      <c r="AC129" s="17">
        <f t="shared" si="7"/>
        <v>94.095238095238102</v>
      </c>
      <c r="AD129" s="22" t="s">
        <v>35</v>
      </c>
      <c r="AE129" s="50" t="s">
        <v>377</v>
      </c>
      <c r="AF129" s="19"/>
      <c r="AG129" s="19"/>
      <c r="AH129" s="19"/>
      <c r="AI129" s="19"/>
      <c r="AJ129" s="20"/>
      <c r="AK129" s="20"/>
      <c r="AL129" s="20"/>
      <c r="AM129" s="20"/>
      <c r="AN129" s="20"/>
      <c r="AO129" s="20"/>
      <c r="AP129" s="20"/>
      <c r="AQ129" s="20"/>
    </row>
    <row r="130" spans="1:43" ht="15.75" customHeight="1" x14ac:dyDescent="0.2">
      <c r="A130" s="21">
        <v>7387</v>
      </c>
      <c r="B130" s="16" t="s">
        <v>364</v>
      </c>
      <c r="C130" s="16" t="s">
        <v>365</v>
      </c>
      <c r="D130" s="22"/>
      <c r="E130" s="16" t="s">
        <v>101</v>
      </c>
      <c r="F130" s="13">
        <v>2008</v>
      </c>
      <c r="G130" s="13">
        <v>2011</v>
      </c>
      <c r="H130" s="13">
        <v>0</v>
      </c>
      <c r="I130" s="13">
        <v>4.5999999999999996</v>
      </c>
      <c r="J130" s="23">
        <v>1</v>
      </c>
      <c r="K130" s="13">
        <v>4.5999999999999996</v>
      </c>
      <c r="L130" s="13">
        <v>0</v>
      </c>
      <c r="M130" s="13">
        <v>0</v>
      </c>
      <c r="N130" s="13">
        <v>4</v>
      </c>
      <c r="O130" s="16"/>
      <c r="P130" s="16" t="s">
        <v>73</v>
      </c>
      <c r="Q130" s="24">
        <v>315</v>
      </c>
      <c r="R130" s="16" t="s">
        <v>36</v>
      </c>
      <c r="S130" s="13">
        <v>2010</v>
      </c>
      <c r="T130" s="13">
        <v>1.3</v>
      </c>
      <c r="U130" s="13">
        <f t="shared" si="0"/>
        <v>409.5</v>
      </c>
      <c r="V130" s="25">
        <f t="shared" si="1"/>
        <v>89.021739130434796</v>
      </c>
      <c r="W130" s="15">
        <f t="shared" si="2"/>
        <v>1</v>
      </c>
      <c r="X130" s="15">
        <f t="shared" si="3"/>
        <v>4.5999999999999996</v>
      </c>
      <c r="Y130" s="15">
        <f t="shared" si="4"/>
        <v>4.5999999999999996</v>
      </c>
      <c r="Z130" s="13">
        <f t="shared" si="5"/>
        <v>0</v>
      </c>
      <c r="AA130" s="16">
        <f>VLOOKUP(S130,[1]CPI!$A$2:$D$67,4,0)</f>
        <v>1.2426624353377114</v>
      </c>
      <c r="AB130" s="17">
        <f t="shared" si="6"/>
        <v>508.87026727079279</v>
      </c>
      <c r="AC130" s="17">
        <f t="shared" si="7"/>
        <v>110.62397114582454</v>
      </c>
      <c r="AD130" s="16" t="s">
        <v>73</v>
      </c>
      <c r="AE130" s="26" t="s">
        <v>378</v>
      </c>
      <c r="AF130" s="19"/>
      <c r="AG130" s="19"/>
      <c r="AH130" s="19"/>
      <c r="AI130" s="19"/>
      <c r="AJ130" s="20"/>
      <c r="AK130" s="20"/>
      <c r="AL130" s="20"/>
      <c r="AM130" s="20"/>
      <c r="AN130" s="20"/>
      <c r="AO130" s="20"/>
      <c r="AP130" s="20"/>
      <c r="AQ130" s="20"/>
    </row>
    <row r="131" spans="1:43" ht="15.75" customHeight="1" x14ac:dyDescent="0.2">
      <c r="A131" s="21">
        <v>7392</v>
      </c>
      <c r="B131" s="16" t="s">
        <v>364</v>
      </c>
      <c r="C131" s="16" t="s">
        <v>365</v>
      </c>
      <c r="D131" s="22"/>
      <c r="E131" s="16" t="s">
        <v>379</v>
      </c>
      <c r="F131" s="13">
        <v>2009</v>
      </c>
      <c r="G131" s="13">
        <v>2015</v>
      </c>
      <c r="H131" s="13">
        <v>0</v>
      </c>
      <c r="I131" s="13">
        <v>3</v>
      </c>
      <c r="J131" s="23">
        <v>1</v>
      </c>
      <c r="K131" s="13">
        <v>3</v>
      </c>
      <c r="L131" s="13">
        <v>0</v>
      </c>
      <c r="M131" s="13">
        <v>0</v>
      </c>
      <c r="N131" s="13">
        <v>2</v>
      </c>
      <c r="O131" s="16"/>
      <c r="P131" s="16" t="s">
        <v>35</v>
      </c>
      <c r="Q131" s="24">
        <v>191</v>
      </c>
      <c r="R131" s="16" t="s">
        <v>36</v>
      </c>
      <c r="S131" s="13">
        <v>2012</v>
      </c>
      <c r="T131" s="13">
        <v>1.3</v>
      </c>
      <c r="U131" s="13">
        <f t="shared" si="0"/>
        <v>248.3</v>
      </c>
      <c r="V131" s="25">
        <f t="shared" si="1"/>
        <v>82.766666666666666</v>
      </c>
      <c r="W131" s="15">
        <f t="shared" si="2"/>
        <v>1</v>
      </c>
      <c r="X131" s="15">
        <f t="shared" si="3"/>
        <v>3</v>
      </c>
      <c r="Y131" s="15">
        <f t="shared" si="4"/>
        <v>3</v>
      </c>
      <c r="Z131" s="13">
        <f t="shared" si="5"/>
        <v>0</v>
      </c>
      <c r="AA131" s="16">
        <f>VLOOKUP(S131,[1]CPI!$A$2:$D$67,4,0)</f>
        <v>1.1802137686524912</v>
      </c>
      <c r="AB131" s="17">
        <f t="shared" si="6"/>
        <v>293.04707875641355</v>
      </c>
      <c r="AC131" s="17">
        <f t="shared" si="7"/>
        <v>97.68235958547119</v>
      </c>
      <c r="AD131" s="16" t="s">
        <v>35</v>
      </c>
      <c r="AE131" s="29" t="s">
        <v>380</v>
      </c>
      <c r="AF131" s="19"/>
      <c r="AG131" s="19"/>
      <c r="AH131" s="19"/>
      <c r="AI131" s="19"/>
      <c r="AJ131" s="20"/>
      <c r="AK131" s="20"/>
      <c r="AL131" s="20"/>
      <c r="AM131" s="20"/>
      <c r="AN131" s="20"/>
      <c r="AO131" s="20"/>
      <c r="AP131" s="20"/>
      <c r="AQ131" s="20"/>
    </row>
    <row r="132" spans="1:43" ht="15.75" customHeight="1" x14ac:dyDescent="0.2">
      <c r="A132" s="21">
        <v>7393</v>
      </c>
      <c r="B132" s="16" t="s">
        <v>381</v>
      </c>
      <c r="C132" s="16" t="s">
        <v>382</v>
      </c>
      <c r="D132" s="22"/>
      <c r="E132" s="16" t="s">
        <v>348</v>
      </c>
      <c r="F132" s="13">
        <v>2012</v>
      </c>
      <c r="G132" s="13">
        <v>2019</v>
      </c>
      <c r="H132" s="13">
        <v>0</v>
      </c>
      <c r="I132" s="13">
        <v>22.9</v>
      </c>
      <c r="J132" s="23">
        <v>1</v>
      </c>
      <c r="K132" s="13">
        <v>22.9</v>
      </c>
      <c r="L132" s="13">
        <v>0</v>
      </c>
      <c r="M132" s="13">
        <v>0</v>
      </c>
      <c r="N132" s="13">
        <v>15</v>
      </c>
      <c r="O132" s="16"/>
      <c r="P132" s="16" t="s">
        <v>50</v>
      </c>
      <c r="Q132" s="24">
        <v>2010</v>
      </c>
      <c r="R132" s="16" t="s">
        <v>66</v>
      </c>
      <c r="S132" s="13">
        <v>2016</v>
      </c>
      <c r="T132" s="13">
        <v>1.9</v>
      </c>
      <c r="U132" s="13">
        <f t="shared" si="0"/>
        <v>3819</v>
      </c>
      <c r="V132" s="25">
        <f t="shared" si="1"/>
        <v>166.76855895196508</v>
      </c>
      <c r="W132" s="15">
        <f t="shared" si="2"/>
        <v>0</v>
      </c>
      <c r="X132" s="15">
        <f t="shared" si="3"/>
        <v>0</v>
      </c>
      <c r="Y132" s="15">
        <f t="shared" si="4"/>
        <v>0</v>
      </c>
      <c r="Z132" s="13">
        <f t="shared" si="5"/>
        <v>0</v>
      </c>
      <c r="AA132" s="16">
        <f>VLOOKUP(S132,[1]CPI!$A$2:$D$67,4,0)</f>
        <v>1.1290087372451638</v>
      </c>
      <c r="AB132" s="17">
        <f t="shared" si="6"/>
        <v>4311.6843675392802</v>
      </c>
      <c r="AC132" s="17">
        <f t="shared" si="7"/>
        <v>188.28316015455374</v>
      </c>
      <c r="AD132" s="16" t="s">
        <v>35</v>
      </c>
      <c r="AE132" s="26" t="s">
        <v>383</v>
      </c>
      <c r="AF132" s="19"/>
      <c r="AG132" s="19"/>
      <c r="AH132" s="19"/>
      <c r="AI132" s="19"/>
      <c r="AJ132" s="20"/>
      <c r="AK132" s="20"/>
      <c r="AL132" s="20"/>
      <c r="AM132" s="20"/>
      <c r="AN132" s="20"/>
      <c r="AO132" s="20"/>
      <c r="AP132" s="20"/>
      <c r="AQ132" s="20"/>
    </row>
    <row r="133" spans="1:43" ht="15.75" customHeight="1" x14ac:dyDescent="0.2">
      <c r="A133" s="21">
        <v>7394</v>
      </c>
      <c r="B133" s="16" t="s">
        <v>364</v>
      </c>
      <c r="C133" s="16" t="s">
        <v>365</v>
      </c>
      <c r="D133" s="22"/>
      <c r="E133" s="16" t="s">
        <v>384</v>
      </c>
      <c r="F133" s="13">
        <v>2003</v>
      </c>
      <c r="G133" s="13">
        <v>2008</v>
      </c>
      <c r="H133" s="13">
        <v>1</v>
      </c>
      <c r="I133" s="13">
        <v>7.5</v>
      </c>
      <c r="J133" s="23">
        <v>1</v>
      </c>
      <c r="K133" s="13">
        <v>7.5</v>
      </c>
      <c r="L133" s="13">
        <v>0</v>
      </c>
      <c r="M133" s="13">
        <v>0</v>
      </c>
      <c r="N133" s="13">
        <v>3</v>
      </c>
      <c r="O133" s="16"/>
      <c r="P133" s="16" t="s">
        <v>50</v>
      </c>
      <c r="Q133" s="24">
        <v>550</v>
      </c>
      <c r="R133" s="16" t="s">
        <v>36</v>
      </c>
      <c r="S133" s="13">
        <v>2006</v>
      </c>
      <c r="T133" s="13">
        <v>1.25</v>
      </c>
      <c r="U133" s="13">
        <f t="shared" si="0"/>
        <v>687.5</v>
      </c>
      <c r="V133" s="25">
        <f t="shared" si="1"/>
        <v>91.666666666666671</v>
      </c>
      <c r="W133" s="15">
        <f t="shared" si="2"/>
        <v>1</v>
      </c>
      <c r="X133" s="15">
        <f t="shared" si="3"/>
        <v>7.5</v>
      </c>
      <c r="Y133" s="15">
        <f t="shared" si="4"/>
        <v>7.5</v>
      </c>
      <c r="Z133" s="13">
        <f t="shared" si="5"/>
        <v>0</v>
      </c>
      <c r="AA133" s="16">
        <f>VLOOKUP(S133,[1]CPI!$A$2:$D$67,4,0)</f>
        <v>1.3440972222222225</v>
      </c>
      <c r="AB133" s="17">
        <f t="shared" si="6"/>
        <v>924.06684027777794</v>
      </c>
      <c r="AC133" s="17">
        <f t="shared" si="7"/>
        <v>123.20891203703707</v>
      </c>
      <c r="AD133" s="16" t="s">
        <v>43</v>
      </c>
      <c r="AE133" s="29" t="s">
        <v>385</v>
      </c>
      <c r="AF133" s="19"/>
      <c r="AG133" s="19"/>
      <c r="AH133" s="19"/>
      <c r="AI133" s="19"/>
      <c r="AJ133" s="20"/>
      <c r="AK133" s="20"/>
      <c r="AL133" s="20"/>
      <c r="AM133" s="20"/>
      <c r="AN133" s="20"/>
      <c r="AO133" s="20"/>
      <c r="AP133" s="20"/>
      <c r="AQ133" s="20"/>
    </row>
    <row r="134" spans="1:43" ht="15.75" customHeight="1" x14ac:dyDescent="0.2">
      <c r="A134" s="21">
        <v>7395</v>
      </c>
      <c r="B134" s="16" t="s">
        <v>145</v>
      </c>
      <c r="C134" s="16" t="s">
        <v>197</v>
      </c>
      <c r="D134" s="22"/>
      <c r="E134" s="16" t="s">
        <v>386</v>
      </c>
      <c r="F134" s="13">
        <v>1993</v>
      </c>
      <c r="G134" s="13">
        <v>2007</v>
      </c>
      <c r="H134" s="13">
        <v>0</v>
      </c>
      <c r="I134" s="13">
        <v>9.1999999999999993</v>
      </c>
      <c r="J134" s="23">
        <v>1</v>
      </c>
      <c r="K134" s="13">
        <v>9.1999999999999993</v>
      </c>
      <c r="L134" s="13">
        <v>0</v>
      </c>
      <c r="M134" s="13">
        <v>0</v>
      </c>
      <c r="N134" s="13">
        <v>9</v>
      </c>
      <c r="O134" s="16"/>
      <c r="P134" s="16" t="s">
        <v>50</v>
      </c>
      <c r="Q134" s="24">
        <v>1211.2</v>
      </c>
      <c r="R134" s="16" t="s">
        <v>36</v>
      </c>
      <c r="S134" s="13">
        <v>2004</v>
      </c>
      <c r="T134" s="13">
        <v>1.25</v>
      </c>
      <c r="U134" s="13">
        <f t="shared" si="0"/>
        <v>1514</v>
      </c>
      <c r="V134" s="25">
        <f t="shared" si="1"/>
        <v>164.56521739130437</v>
      </c>
      <c r="W134" s="15">
        <f t="shared" si="2"/>
        <v>0</v>
      </c>
      <c r="X134" s="15">
        <f t="shared" si="3"/>
        <v>0</v>
      </c>
      <c r="Y134" s="15">
        <f t="shared" si="4"/>
        <v>0</v>
      </c>
      <c r="Z134" s="13">
        <f t="shared" si="5"/>
        <v>0</v>
      </c>
      <c r="AA134" s="16">
        <f>VLOOKUP(S134,[1]CPI!$A$2:$D$67,4,0)</f>
        <v>1.4344626786659609</v>
      </c>
      <c r="AB134" s="17">
        <f t="shared" si="6"/>
        <v>2171.7764955002649</v>
      </c>
      <c r="AC134" s="17">
        <f t="shared" si="7"/>
        <v>236.06266255437663</v>
      </c>
      <c r="AD134" s="16" t="s">
        <v>73</v>
      </c>
      <c r="AE134" s="29" t="s">
        <v>387</v>
      </c>
      <c r="AF134" s="19"/>
      <c r="AG134" s="19"/>
      <c r="AH134" s="19"/>
      <c r="AI134" s="19"/>
      <c r="AJ134" s="20"/>
      <c r="AK134" s="20"/>
      <c r="AL134" s="20"/>
      <c r="AM134" s="20"/>
      <c r="AN134" s="20"/>
      <c r="AO134" s="20"/>
      <c r="AP134" s="20"/>
      <c r="AQ134" s="20"/>
    </row>
    <row r="135" spans="1:43" ht="15.75" customHeight="1" x14ac:dyDescent="0.2">
      <c r="A135" s="21">
        <v>7400</v>
      </c>
      <c r="B135" s="16" t="s">
        <v>38</v>
      </c>
      <c r="C135" s="16" t="s">
        <v>45</v>
      </c>
      <c r="D135" s="22"/>
      <c r="E135" s="16" t="s">
        <v>388</v>
      </c>
      <c r="F135" s="13">
        <v>1994</v>
      </c>
      <c r="G135" s="13">
        <v>2002</v>
      </c>
      <c r="H135" s="13">
        <v>0</v>
      </c>
      <c r="I135" s="13">
        <v>5.5</v>
      </c>
      <c r="J135" s="23">
        <v>1</v>
      </c>
      <c r="K135" s="13">
        <v>5.5</v>
      </c>
      <c r="L135" s="13">
        <v>0</v>
      </c>
      <c r="M135" s="13">
        <v>0</v>
      </c>
      <c r="N135" s="13">
        <v>5</v>
      </c>
      <c r="O135" s="16"/>
      <c r="P135" s="16" t="s">
        <v>43</v>
      </c>
      <c r="Q135" s="24">
        <v>1000</v>
      </c>
      <c r="R135" s="16" t="s">
        <v>42</v>
      </c>
      <c r="S135" s="13">
        <v>1998</v>
      </c>
      <c r="T135" s="13">
        <v>0.81</v>
      </c>
      <c r="U135" s="13">
        <f t="shared" si="0"/>
        <v>810</v>
      </c>
      <c r="V135" s="25">
        <f t="shared" si="1"/>
        <v>147.27272727272728</v>
      </c>
      <c r="W135" s="15">
        <f t="shared" si="2"/>
        <v>0</v>
      </c>
      <c r="X135" s="15">
        <f t="shared" si="3"/>
        <v>0</v>
      </c>
      <c r="Y135" s="15">
        <f t="shared" si="4"/>
        <v>0</v>
      </c>
      <c r="Z135" s="13">
        <f t="shared" si="5"/>
        <v>1</v>
      </c>
      <c r="AA135" s="16">
        <f>VLOOKUP(S135,[1]CPI!$A$2:$D$67,4,0)</f>
        <v>1.6623926380368099</v>
      </c>
      <c r="AB135" s="17">
        <f t="shared" si="6"/>
        <v>1346.538036809816</v>
      </c>
      <c r="AC135" s="17">
        <f t="shared" si="7"/>
        <v>244.82509760178473</v>
      </c>
      <c r="AD135" s="16" t="s">
        <v>43</v>
      </c>
      <c r="AE135" s="29" t="s">
        <v>389</v>
      </c>
      <c r="AF135" s="27"/>
      <c r="AG135" s="27"/>
      <c r="AH135" s="27"/>
      <c r="AI135" s="27"/>
      <c r="AJ135" s="28"/>
      <c r="AK135" s="28"/>
      <c r="AL135" s="28"/>
      <c r="AM135" s="28"/>
      <c r="AN135" s="28"/>
      <c r="AO135" s="28"/>
      <c r="AP135" s="28"/>
      <c r="AQ135" s="28"/>
    </row>
    <row r="136" spans="1:43" ht="15.75" customHeight="1" x14ac:dyDescent="0.2">
      <c r="A136" s="21">
        <v>7401</v>
      </c>
      <c r="B136" s="16" t="s">
        <v>38</v>
      </c>
      <c r="C136" s="16" t="s">
        <v>60</v>
      </c>
      <c r="D136" s="22"/>
      <c r="E136" s="16" t="s">
        <v>390</v>
      </c>
      <c r="F136" s="13">
        <v>2001</v>
      </c>
      <c r="G136" s="13">
        <v>2007</v>
      </c>
      <c r="H136" s="13">
        <v>0</v>
      </c>
      <c r="I136" s="13">
        <v>5.2</v>
      </c>
      <c r="J136" s="23">
        <v>1</v>
      </c>
      <c r="K136" s="13">
        <v>5.2</v>
      </c>
      <c r="L136" s="13">
        <v>0</v>
      </c>
      <c r="M136" s="13">
        <v>0</v>
      </c>
      <c r="N136" s="13">
        <v>3</v>
      </c>
      <c r="O136" s="16"/>
      <c r="P136" s="16" t="s">
        <v>50</v>
      </c>
      <c r="Q136" s="24">
        <v>745</v>
      </c>
      <c r="R136" s="16" t="s">
        <v>42</v>
      </c>
      <c r="S136" s="13">
        <v>2004</v>
      </c>
      <c r="T136" s="13">
        <v>0.81</v>
      </c>
      <c r="U136" s="13">
        <f t="shared" si="0"/>
        <v>603.45000000000005</v>
      </c>
      <c r="V136" s="25">
        <f t="shared" si="1"/>
        <v>116.04807692307693</v>
      </c>
      <c r="W136" s="15">
        <f t="shared" si="2"/>
        <v>0</v>
      </c>
      <c r="X136" s="15">
        <f t="shared" si="3"/>
        <v>0</v>
      </c>
      <c r="Y136" s="15">
        <f t="shared" si="4"/>
        <v>0</v>
      </c>
      <c r="Z136" s="13">
        <f t="shared" si="5"/>
        <v>1</v>
      </c>
      <c r="AA136" s="16">
        <f>VLOOKUP(S136,[1]CPI!$A$2:$D$67,4,0)</f>
        <v>1.4344626786659609</v>
      </c>
      <c r="AB136" s="17">
        <f t="shared" si="6"/>
        <v>865.62650344097415</v>
      </c>
      <c r="AC136" s="17">
        <f t="shared" si="7"/>
        <v>166.46663527711041</v>
      </c>
      <c r="AD136" s="16" t="s">
        <v>43</v>
      </c>
      <c r="AE136" s="29" t="s">
        <v>391</v>
      </c>
      <c r="AF136" s="51"/>
      <c r="AG136" s="51"/>
      <c r="AH136" s="51"/>
      <c r="AI136" s="51"/>
      <c r="AJ136" s="52"/>
      <c r="AK136" s="52"/>
      <c r="AL136" s="52"/>
      <c r="AM136" s="52"/>
      <c r="AN136" s="52"/>
      <c r="AO136" s="52"/>
      <c r="AP136" s="52"/>
      <c r="AQ136" s="52"/>
    </row>
    <row r="137" spans="1:43" ht="15.75" customHeight="1" x14ac:dyDescent="0.2">
      <c r="A137" s="21">
        <v>7402</v>
      </c>
      <c r="B137" s="16" t="s">
        <v>216</v>
      </c>
      <c r="C137" s="16" t="s">
        <v>392</v>
      </c>
      <c r="D137" s="22"/>
      <c r="E137" s="16" t="s">
        <v>393</v>
      </c>
      <c r="F137" s="13">
        <v>2010</v>
      </c>
      <c r="G137" s="13">
        <v>2021</v>
      </c>
      <c r="H137" s="13">
        <v>1</v>
      </c>
      <c r="I137" s="13">
        <v>4.8</v>
      </c>
      <c r="J137" s="23">
        <v>1</v>
      </c>
      <c r="K137" s="13">
        <v>4.8</v>
      </c>
      <c r="L137" s="13">
        <v>0</v>
      </c>
      <c r="M137" s="13">
        <v>0</v>
      </c>
      <c r="N137" s="13">
        <v>6</v>
      </c>
      <c r="O137" s="16"/>
      <c r="P137" s="16" t="s">
        <v>35</v>
      </c>
      <c r="Q137" s="24">
        <v>1457.3</v>
      </c>
      <c r="R137" s="16" t="s">
        <v>36</v>
      </c>
      <c r="S137" s="13">
        <v>2016</v>
      </c>
      <c r="T137" s="13">
        <v>1.3</v>
      </c>
      <c r="U137" s="13">
        <f t="shared" si="0"/>
        <v>1894.49</v>
      </c>
      <c r="V137" s="25">
        <f t="shared" si="1"/>
        <v>394.6854166666667</v>
      </c>
      <c r="W137" s="15">
        <f t="shared" si="2"/>
        <v>0</v>
      </c>
      <c r="X137" s="15">
        <f t="shared" si="3"/>
        <v>0</v>
      </c>
      <c r="Y137" s="15">
        <f t="shared" si="4"/>
        <v>0</v>
      </c>
      <c r="Z137" s="13">
        <f t="shared" si="5"/>
        <v>0</v>
      </c>
      <c r="AA137" s="16">
        <f>VLOOKUP(S137,[1]CPI!$A$2:$D$67,4,0)</f>
        <v>1.1290087372451638</v>
      </c>
      <c r="AB137" s="17">
        <f t="shared" si="6"/>
        <v>2138.8957626235906</v>
      </c>
      <c r="AC137" s="17">
        <f t="shared" si="7"/>
        <v>445.60328387991473</v>
      </c>
      <c r="AD137" s="16" t="s">
        <v>35</v>
      </c>
      <c r="AE137" s="29" t="s">
        <v>394</v>
      </c>
      <c r="AF137" s="19"/>
      <c r="AG137" s="19"/>
      <c r="AH137" s="19"/>
      <c r="AI137" s="19"/>
      <c r="AJ137" s="20"/>
      <c r="AK137" s="20"/>
      <c r="AL137" s="20"/>
      <c r="AM137" s="20"/>
      <c r="AN137" s="20"/>
      <c r="AO137" s="20"/>
      <c r="AP137" s="20"/>
      <c r="AQ137" s="20"/>
    </row>
    <row r="138" spans="1:43" ht="15.75" customHeight="1" x14ac:dyDescent="0.2">
      <c r="A138" s="21">
        <v>7403</v>
      </c>
      <c r="B138" s="16" t="s">
        <v>216</v>
      </c>
      <c r="C138" s="16" t="s">
        <v>395</v>
      </c>
      <c r="D138" s="22"/>
      <c r="E138" s="16" t="s">
        <v>396</v>
      </c>
      <c r="F138" s="13">
        <v>2007</v>
      </c>
      <c r="G138" s="13">
        <v>2016</v>
      </c>
      <c r="H138" s="13">
        <v>0</v>
      </c>
      <c r="I138" s="13">
        <v>3.4</v>
      </c>
      <c r="J138" s="23">
        <v>1</v>
      </c>
      <c r="K138" s="13">
        <v>3.4</v>
      </c>
      <c r="L138" s="13">
        <v>0</v>
      </c>
      <c r="M138" s="13">
        <v>0</v>
      </c>
      <c r="N138" s="13">
        <v>6</v>
      </c>
      <c r="O138" s="16"/>
      <c r="P138" s="16" t="s">
        <v>50</v>
      </c>
      <c r="Q138" s="24">
        <v>929</v>
      </c>
      <c r="R138" s="16" t="s">
        <v>36</v>
      </c>
      <c r="S138" s="13">
        <v>2012</v>
      </c>
      <c r="T138" s="13">
        <v>1.3</v>
      </c>
      <c r="U138" s="13">
        <f t="shared" si="0"/>
        <v>1207.7</v>
      </c>
      <c r="V138" s="25">
        <f t="shared" si="1"/>
        <v>355.20588235294122</v>
      </c>
      <c r="W138" s="15">
        <f t="shared" si="2"/>
        <v>0</v>
      </c>
      <c r="X138" s="15">
        <f t="shared" si="3"/>
        <v>0</v>
      </c>
      <c r="Y138" s="15">
        <f t="shared" si="4"/>
        <v>0</v>
      </c>
      <c r="Z138" s="13">
        <f t="shared" si="5"/>
        <v>0</v>
      </c>
      <c r="AA138" s="16">
        <f>VLOOKUP(S138,[1]CPI!$A$2:$D$67,4,0)</f>
        <v>1.1802137686524912</v>
      </c>
      <c r="AB138" s="17">
        <f t="shared" si="6"/>
        <v>1425.3441684016136</v>
      </c>
      <c r="AC138" s="17">
        <f t="shared" si="7"/>
        <v>419.21887305929818</v>
      </c>
      <c r="AD138" s="16" t="s">
        <v>43</v>
      </c>
      <c r="AE138" s="26" t="s">
        <v>397</v>
      </c>
      <c r="AF138" s="19"/>
      <c r="AG138" s="19"/>
      <c r="AH138" s="19"/>
      <c r="AI138" s="19"/>
      <c r="AJ138" s="20"/>
      <c r="AK138" s="20"/>
      <c r="AL138" s="20"/>
      <c r="AM138" s="20"/>
      <c r="AN138" s="20"/>
      <c r="AO138" s="20"/>
      <c r="AP138" s="20"/>
      <c r="AQ138" s="20"/>
    </row>
    <row r="139" spans="1:43" ht="15.75" customHeight="1" x14ac:dyDescent="0.2">
      <c r="A139" s="21">
        <v>7408</v>
      </c>
      <c r="B139" s="16" t="s">
        <v>63</v>
      </c>
      <c r="C139" s="16" t="s">
        <v>398</v>
      </c>
      <c r="D139" s="22"/>
      <c r="E139" s="16" t="s">
        <v>399</v>
      </c>
      <c r="F139" s="13">
        <v>2007</v>
      </c>
      <c r="G139" s="13">
        <v>2014</v>
      </c>
      <c r="H139" s="13">
        <v>0</v>
      </c>
      <c r="I139" s="13">
        <v>1.6</v>
      </c>
      <c r="J139" s="23">
        <v>1</v>
      </c>
      <c r="K139" s="13">
        <v>1.6</v>
      </c>
      <c r="L139" s="13">
        <v>0</v>
      </c>
      <c r="M139" s="13">
        <v>0</v>
      </c>
      <c r="N139" s="13">
        <v>1</v>
      </c>
      <c r="O139" s="16"/>
      <c r="P139" s="16" t="s">
        <v>94</v>
      </c>
      <c r="Q139" s="24">
        <v>2400</v>
      </c>
      <c r="R139" s="16" t="s">
        <v>66</v>
      </c>
      <c r="S139" s="13">
        <v>2010</v>
      </c>
      <c r="T139" s="13">
        <v>1</v>
      </c>
      <c r="U139" s="13">
        <f t="shared" si="0"/>
        <v>2400</v>
      </c>
      <c r="V139" s="25">
        <f t="shared" si="1"/>
        <v>1500</v>
      </c>
      <c r="W139" s="15">
        <f t="shared" si="2"/>
        <v>0</v>
      </c>
      <c r="X139" s="15">
        <f t="shared" si="3"/>
        <v>0</v>
      </c>
      <c r="Y139" s="15">
        <f t="shared" si="4"/>
        <v>0</v>
      </c>
      <c r="Z139" s="13">
        <f t="shared" si="5"/>
        <v>1</v>
      </c>
      <c r="AA139" s="16">
        <f>VLOOKUP(S139,[1]CPI!$A$2:$D$67,4,0)</f>
        <v>1.2426624353377114</v>
      </c>
      <c r="AB139" s="17">
        <f t="shared" si="6"/>
        <v>2982.3898448105074</v>
      </c>
      <c r="AC139" s="17">
        <f t="shared" si="7"/>
        <v>1863.993653006567</v>
      </c>
      <c r="AD139" s="16" t="s">
        <v>35</v>
      </c>
      <c r="AE139" s="29" t="s">
        <v>400</v>
      </c>
      <c r="AF139" s="9"/>
      <c r="AG139" s="9"/>
      <c r="AH139" s="9"/>
      <c r="AI139" s="9"/>
      <c r="AJ139" s="30"/>
      <c r="AK139" s="30"/>
      <c r="AL139" s="30"/>
      <c r="AM139" s="9"/>
      <c r="AN139" s="9"/>
      <c r="AO139" s="9"/>
      <c r="AP139" s="9"/>
      <c r="AQ139" s="9"/>
    </row>
    <row r="140" spans="1:43" ht="15.75" customHeight="1" x14ac:dyDescent="0.2">
      <c r="A140" s="21">
        <v>7409</v>
      </c>
      <c r="B140" s="16" t="s">
        <v>63</v>
      </c>
      <c r="C140" s="16" t="s">
        <v>398</v>
      </c>
      <c r="D140" s="22" t="s">
        <v>401</v>
      </c>
      <c r="E140" s="16" t="s">
        <v>402</v>
      </c>
      <c r="F140" s="13">
        <v>2007</v>
      </c>
      <c r="G140" s="13">
        <v>2016</v>
      </c>
      <c r="H140" s="13">
        <v>0</v>
      </c>
      <c r="I140" s="13">
        <v>2.7</v>
      </c>
      <c r="J140" s="23">
        <v>1</v>
      </c>
      <c r="K140" s="13">
        <v>2.7</v>
      </c>
      <c r="L140" s="13">
        <v>0</v>
      </c>
      <c r="M140" s="13">
        <v>0</v>
      </c>
      <c r="N140" s="13">
        <v>3</v>
      </c>
      <c r="O140" s="16">
        <v>187</v>
      </c>
      <c r="P140" s="16" t="s">
        <v>94</v>
      </c>
      <c r="Q140" s="24">
        <v>4601</v>
      </c>
      <c r="R140" s="16" t="s">
        <v>66</v>
      </c>
      <c r="S140" s="13">
        <v>2011</v>
      </c>
      <c r="T140" s="13">
        <v>1</v>
      </c>
      <c r="U140" s="13">
        <f t="shared" si="0"/>
        <v>4601</v>
      </c>
      <c r="V140" s="25">
        <f t="shared" si="1"/>
        <v>1704.0740740740739</v>
      </c>
      <c r="W140" s="15">
        <f t="shared" si="2"/>
        <v>0</v>
      </c>
      <c r="X140" s="15">
        <f t="shared" si="3"/>
        <v>0</v>
      </c>
      <c r="Y140" s="15">
        <f t="shared" si="4"/>
        <v>0</v>
      </c>
      <c r="Z140" s="13">
        <f t="shared" si="5"/>
        <v>1</v>
      </c>
      <c r="AA140" s="16">
        <f>VLOOKUP(S140,[1]CPI!$A$2:$D$67,4,0)</f>
        <v>1.2046377017769263</v>
      </c>
      <c r="AB140" s="17">
        <f t="shared" si="6"/>
        <v>5542.5380658756376</v>
      </c>
      <c r="AC140" s="17">
        <f t="shared" si="7"/>
        <v>2052.7918762502359</v>
      </c>
      <c r="AD140" s="16" t="s">
        <v>43</v>
      </c>
      <c r="AE140" s="26" t="s">
        <v>403</v>
      </c>
      <c r="AF140" s="9"/>
      <c r="AG140" s="9"/>
      <c r="AH140" s="9"/>
      <c r="AI140" s="9"/>
      <c r="AJ140" s="30"/>
      <c r="AK140" s="30"/>
      <c r="AL140" s="30"/>
      <c r="AM140" s="9"/>
      <c r="AN140" s="9"/>
      <c r="AO140" s="9"/>
      <c r="AP140" s="9"/>
      <c r="AQ140" s="9"/>
    </row>
    <row r="141" spans="1:43" ht="15.75" customHeight="1" x14ac:dyDescent="0.2">
      <c r="A141" s="21">
        <v>7410</v>
      </c>
      <c r="B141" s="16" t="s">
        <v>63</v>
      </c>
      <c r="C141" s="16" t="s">
        <v>398</v>
      </c>
      <c r="D141" s="22" t="s">
        <v>401</v>
      </c>
      <c r="E141" s="16" t="s">
        <v>404</v>
      </c>
      <c r="F141" s="13">
        <v>2019</v>
      </c>
      <c r="G141" s="13">
        <v>2029</v>
      </c>
      <c r="H141" s="13">
        <v>0</v>
      </c>
      <c r="I141" s="13">
        <v>2.6</v>
      </c>
      <c r="J141" s="23">
        <v>1</v>
      </c>
      <c r="K141" s="13">
        <v>2.6</v>
      </c>
      <c r="L141" s="13">
        <v>0</v>
      </c>
      <c r="M141" s="13">
        <v>0</v>
      </c>
      <c r="N141" s="13">
        <v>3</v>
      </c>
      <c r="O141" s="16">
        <v>187</v>
      </c>
      <c r="P141" s="16" t="s">
        <v>94</v>
      </c>
      <c r="Q141" s="24">
        <v>6949</v>
      </c>
      <c r="R141" s="16" t="s">
        <v>66</v>
      </c>
      <c r="S141" s="13">
        <v>2024</v>
      </c>
      <c r="T141" s="13">
        <v>1</v>
      </c>
      <c r="U141" s="13">
        <f t="shared" si="0"/>
        <v>6949</v>
      </c>
      <c r="V141" s="25">
        <f t="shared" si="1"/>
        <v>2672.6923076923076</v>
      </c>
      <c r="W141" s="15">
        <f t="shared" si="2"/>
        <v>0</v>
      </c>
      <c r="X141" s="15">
        <f t="shared" si="3"/>
        <v>0</v>
      </c>
      <c r="Y141" s="15">
        <f t="shared" si="4"/>
        <v>0</v>
      </c>
      <c r="Z141" s="13">
        <f t="shared" si="5"/>
        <v>1</v>
      </c>
      <c r="AA141" s="16">
        <f>VLOOKUP(S141,[1]CPI!$A$2:$D$67,4,0)</f>
        <v>1</v>
      </c>
      <c r="AB141" s="17">
        <f t="shared" si="6"/>
        <v>6949</v>
      </c>
      <c r="AC141" s="17">
        <f t="shared" si="7"/>
        <v>2672.6923076923076</v>
      </c>
      <c r="AD141" s="16" t="s">
        <v>73</v>
      </c>
      <c r="AE141" s="26" t="s">
        <v>405</v>
      </c>
      <c r="AF141" s="51"/>
      <c r="AG141" s="51"/>
      <c r="AH141" s="51"/>
      <c r="AI141" s="51"/>
      <c r="AJ141" s="51"/>
      <c r="AK141" s="51"/>
      <c r="AL141" s="51"/>
      <c r="AM141" s="9"/>
      <c r="AN141" s="9"/>
      <c r="AO141" s="9"/>
      <c r="AP141" s="9"/>
      <c r="AQ141" s="9"/>
    </row>
    <row r="142" spans="1:43" ht="15.75" customHeight="1" x14ac:dyDescent="0.2">
      <c r="A142" s="21">
        <v>7411</v>
      </c>
      <c r="B142" s="16" t="s">
        <v>63</v>
      </c>
      <c r="C142" s="16" t="s">
        <v>398</v>
      </c>
      <c r="D142" s="22"/>
      <c r="E142" s="16" t="s">
        <v>406</v>
      </c>
      <c r="F142" s="13">
        <v>2007</v>
      </c>
      <c r="G142" s="13">
        <v>2022</v>
      </c>
      <c r="H142" s="13">
        <v>1</v>
      </c>
      <c r="I142" s="13">
        <v>2.8</v>
      </c>
      <c r="J142" s="23">
        <v>1</v>
      </c>
      <c r="K142" s="13">
        <v>2.8</v>
      </c>
      <c r="L142" s="13">
        <v>0</v>
      </c>
      <c r="M142" s="13">
        <v>0</v>
      </c>
      <c r="N142" s="13">
        <v>1</v>
      </c>
      <c r="O142" s="16"/>
      <c r="P142" s="16" t="s">
        <v>94</v>
      </c>
      <c r="Q142" s="24">
        <v>11000</v>
      </c>
      <c r="R142" s="16" t="s">
        <v>66</v>
      </c>
      <c r="S142" s="13">
        <v>2015</v>
      </c>
      <c r="T142" s="13">
        <v>1</v>
      </c>
      <c r="U142" s="13">
        <f t="shared" si="0"/>
        <v>11000</v>
      </c>
      <c r="V142" s="25">
        <f t="shared" si="1"/>
        <v>3928.5714285714289</v>
      </c>
      <c r="W142" s="15">
        <f t="shared" si="2"/>
        <v>0</v>
      </c>
      <c r="X142" s="15">
        <f t="shared" si="3"/>
        <v>0</v>
      </c>
      <c r="Y142" s="15">
        <f t="shared" si="4"/>
        <v>0</v>
      </c>
      <c r="Z142" s="13">
        <f t="shared" si="5"/>
        <v>1</v>
      </c>
      <c r="AA142" s="16">
        <f>VLOOKUP(S142,[1]CPI!$A$2:$D$67,4,0)</f>
        <v>1.143251327963817</v>
      </c>
      <c r="AB142" s="17">
        <f t="shared" si="6"/>
        <v>12575.764607601986</v>
      </c>
      <c r="AC142" s="17">
        <f t="shared" si="7"/>
        <v>4491.3445027149955</v>
      </c>
      <c r="AD142" s="16" t="s">
        <v>43</v>
      </c>
      <c r="AE142" s="29" t="s">
        <v>407</v>
      </c>
      <c r="AF142" s="51"/>
      <c r="AG142" s="51"/>
      <c r="AH142" s="51"/>
      <c r="AI142" s="51"/>
      <c r="AJ142" s="51"/>
      <c r="AK142" s="51"/>
      <c r="AL142" s="51"/>
      <c r="AM142" s="9"/>
      <c r="AN142" s="9"/>
      <c r="AO142" s="9"/>
      <c r="AP142" s="9"/>
      <c r="AQ142" s="9"/>
    </row>
    <row r="143" spans="1:43" ht="15.75" customHeight="1" x14ac:dyDescent="0.2">
      <c r="A143" s="21">
        <v>7416</v>
      </c>
      <c r="B143" s="16" t="s">
        <v>63</v>
      </c>
      <c r="C143" s="16" t="s">
        <v>398</v>
      </c>
      <c r="D143" s="22"/>
      <c r="E143" s="16" t="s">
        <v>408</v>
      </c>
      <c r="F143" s="13">
        <v>2019</v>
      </c>
      <c r="G143" s="13">
        <v>2026</v>
      </c>
      <c r="H143" s="13">
        <v>1</v>
      </c>
      <c r="I143" s="13">
        <v>5.3</v>
      </c>
      <c r="J143" s="23">
        <v>1</v>
      </c>
      <c r="K143" s="13">
        <v>5.3</v>
      </c>
      <c r="L143" s="13">
        <v>0</v>
      </c>
      <c r="M143" s="13">
        <v>0</v>
      </c>
      <c r="N143" s="13">
        <v>0</v>
      </c>
      <c r="O143" s="16"/>
      <c r="P143" s="16" t="s">
        <v>94</v>
      </c>
      <c r="Q143" s="24">
        <v>9500</v>
      </c>
      <c r="R143" s="16" t="s">
        <v>66</v>
      </c>
      <c r="S143" s="13">
        <v>2023</v>
      </c>
      <c r="T143" s="13">
        <v>1</v>
      </c>
      <c r="U143" s="13">
        <f t="shared" si="0"/>
        <v>9500</v>
      </c>
      <c r="V143" s="25">
        <f t="shared" si="1"/>
        <v>1792.4528301886794</v>
      </c>
      <c r="W143" s="15">
        <f t="shared" si="2"/>
        <v>0</v>
      </c>
      <c r="X143" s="15">
        <f t="shared" si="3"/>
        <v>0</v>
      </c>
      <c r="Y143" s="15">
        <f t="shared" si="4"/>
        <v>0</v>
      </c>
      <c r="Z143" s="13">
        <f t="shared" si="5"/>
        <v>1</v>
      </c>
      <c r="AA143" s="16">
        <f>VLOOKUP(S143,[1]CPI!$A$2:$D$67,4,0)</f>
        <v>1</v>
      </c>
      <c r="AB143" s="17">
        <f t="shared" si="6"/>
        <v>9500</v>
      </c>
      <c r="AC143" s="17">
        <f t="shared" si="7"/>
        <v>1792.4528301886794</v>
      </c>
      <c r="AD143" s="16" t="s">
        <v>35</v>
      </c>
      <c r="AE143" s="29" t="s">
        <v>409</v>
      </c>
      <c r="AF143" s="9"/>
      <c r="AG143" s="9"/>
      <c r="AH143" s="9"/>
      <c r="AI143" s="9"/>
      <c r="AJ143" s="30"/>
      <c r="AK143" s="30"/>
      <c r="AL143" s="30"/>
      <c r="AM143" s="9"/>
      <c r="AN143" s="9"/>
      <c r="AO143" s="9"/>
      <c r="AP143" s="9"/>
      <c r="AQ143" s="9"/>
    </row>
    <row r="144" spans="1:43" ht="15.75" customHeight="1" x14ac:dyDescent="0.2">
      <c r="A144" s="21">
        <v>7417</v>
      </c>
      <c r="B144" s="22" t="s">
        <v>175</v>
      </c>
      <c r="C144" s="22" t="s">
        <v>176</v>
      </c>
      <c r="D144" s="22"/>
      <c r="E144" s="22" t="s">
        <v>410</v>
      </c>
      <c r="F144" s="15">
        <v>2009</v>
      </c>
      <c r="G144" s="15">
        <v>2021</v>
      </c>
      <c r="H144" s="15">
        <v>1</v>
      </c>
      <c r="I144" s="15">
        <v>21</v>
      </c>
      <c r="J144" s="47">
        <v>1</v>
      </c>
      <c r="K144" s="15">
        <v>21</v>
      </c>
      <c r="L144" s="15">
        <v>0</v>
      </c>
      <c r="M144" s="15">
        <v>0</v>
      </c>
      <c r="N144" s="15">
        <v>8</v>
      </c>
      <c r="O144" s="22"/>
      <c r="P144" s="22" t="s">
        <v>94</v>
      </c>
      <c r="Q144" s="48">
        <v>13328</v>
      </c>
      <c r="R144" s="22" t="s">
        <v>178</v>
      </c>
      <c r="S144" s="15">
        <v>2015</v>
      </c>
      <c r="T144" s="15">
        <v>1.4</v>
      </c>
      <c r="U144" s="15">
        <f t="shared" si="0"/>
        <v>18659.199999999997</v>
      </c>
      <c r="V144" s="25">
        <f t="shared" si="1"/>
        <v>888.53333333333319</v>
      </c>
      <c r="W144" s="15">
        <f t="shared" si="2"/>
        <v>0</v>
      </c>
      <c r="X144" s="15">
        <f t="shared" si="3"/>
        <v>0</v>
      </c>
      <c r="Y144" s="15">
        <f t="shared" si="4"/>
        <v>0</v>
      </c>
      <c r="Z144" s="13">
        <f t="shared" si="5"/>
        <v>1</v>
      </c>
      <c r="AA144" s="16">
        <f>VLOOKUP(S144,[1]CPI!$A$2:$D$67,4,0)</f>
        <v>1.143251327963817</v>
      </c>
      <c r="AB144" s="17">
        <f t="shared" si="6"/>
        <v>21332.155178742451</v>
      </c>
      <c r="AC144" s="17">
        <f t="shared" si="7"/>
        <v>1015.81691327345</v>
      </c>
      <c r="AD144" s="22" t="s">
        <v>411</v>
      </c>
      <c r="AE144" s="22"/>
      <c r="AF144" s="9"/>
      <c r="AG144" s="9"/>
      <c r="AH144" s="9"/>
      <c r="AI144" s="9"/>
      <c r="AJ144" s="9"/>
      <c r="AK144" s="9"/>
      <c r="AL144" s="9"/>
      <c r="AM144" s="9"/>
      <c r="AN144" s="9"/>
      <c r="AO144" s="9"/>
      <c r="AP144" s="9"/>
      <c r="AQ144" s="9"/>
    </row>
    <row r="145" spans="1:43" ht="15.75" customHeight="1" x14ac:dyDescent="0.2">
      <c r="A145" s="21">
        <v>7418</v>
      </c>
      <c r="B145" s="16" t="s">
        <v>145</v>
      </c>
      <c r="C145" s="16" t="s">
        <v>197</v>
      </c>
      <c r="D145" s="22" t="s">
        <v>142</v>
      </c>
      <c r="E145" s="16" t="s">
        <v>412</v>
      </c>
      <c r="F145" s="13">
        <v>2014</v>
      </c>
      <c r="G145" s="13">
        <v>2021</v>
      </c>
      <c r="H145" s="13">
        <v>0</v>
      </c>
      <c r="I145" s="13">
        <v>1.8</v>
      </c>
      <c r="J145" s="23">
        <v>1</v>
      </c>
      <c r="K145" s="13">
        <v>1.8</v>
      </c>
      <c r="L145" s="13">
        <v>0</v>
      </c>
      <c r="M145" s="13">
        <v>0</v>
      </c>
      <c r="N145" s="13">
        <v>2</v>
      </c>
      <c r="O145" s="16"/>
      <c r="P145" s="16" t="s">
        <v>35</v>
      </c>
      <c r="Q145" s="24">
        <v>380</v>
      </c>
      <c r="R145" s="16" t="s">
        <v>36</v>
      </c>
      <c r="S145" s="13">
        <v>2011</v>
      </c>
      <c r="T145" s="13">
        <v>1.3</v>
      </c>
      <c r="U145" s="13">
        <f t="shared" si="0"/>
        <v>494</v>
      </c>
      <c r="V145" s="25">
        <f t="shared" si="1"/>
        <v>274.44444444444446</v>
      </c>
      <c r="W145" s="15">
        <f t="shared" si="2"/>
        <v>0</v>
      </c>
      <c r="X145" s="15">
        <f t="shared" si="3"/>
        <v>0</v>
      </c>
      <c r="Y145" s="15">
        <f t="shared" si="4"/>
        <v>0</v>
      </c>
      <c r="Z145" s="13">
        <f t="shared" si="5"/>
        <v>0</v>
      </c>
      <c r="AA145" s="16">
        <f>VLOOKUP(S145,[1]CPI!$A$2:$D$67,4,0)</f>
        <v>1.2046377017769263</v>
      </c>
      <c r="AB145" s="17">
        <f t="shared" si="6"/>
        <v>595.09102467780156</v>
      </c>
      <c r="AC145" s="17">
        <f t="shared" si="7"/>
        <v>330.60612482100089</v>
      </c>
      <c r="AD145" s="16" t="s">
        <v>35</v>
      </c>
      <c r="AE145" s="29" t="s">
        <v>413</v>
      </c>
      <c r="AF145" s="19"/>
      <c r="AG145" s="19"/>
      <c r="AH145" s="19"/>
      <c r="AI145" s="19"/>
      <c r="AJ145" s="20"/>
      <c r="AK145" s="20"/>
      <c r="AL145" s="20"/>
      <c r="AM145" s="20"/>
      <c r="AN145" s="20"/>
      <c r="AO145" s="20"/>
      <c r="AP145" s="20"/>
      <c r="AQ145" s="20"/>
    </row>
    <row r="146" spans="1:43" ht="15.75" customHeight="1" x14ac:dyDescent="0.2">
      <c r="A146" s="21">
        <v>7419</v>
      </c>
      <c r="B146" s="16" t="s">
        <v>145</v>
      </c>
      <c r="C146" s="16" t="s">
        <v>197</v>
      </c>
      <c r="D146" s="22"/>
      <c r="E146" s="16" t="s">
        <v>414</v>
      </c>
      <c r="F146" s="13">
        <v>2018</v>
      </c>
      <c r="G146" s="13">
        <v>2022</v>
      </c>
      <c r="H146" s="13">
        <v>1</v>
      </c>
      <c r="I146" s="13">
        <v>8</v>
      </c>
      <c r="J146" s="23">
        <v>1</v>
      </c>
      <c r="K146" s="13">
        <v>8</v>
      </c>
      <c r="L146" s="13">
        <v>0</v>
      </c>
      <c r="M146" s="13">
        <v>0</v>
      </c>
      <c r="N146" s="13">
        <v>2</v>
      </c>
      <c r="O146" s="16"/>
      <c r="P146" s="16" t="s">
        <v>50</v>
      </c>
      <c r="Q146" s="24">
        <v>1800</v>
      </c>
      <c r="R146" s="16" t="s">
        <v>36</v>
      </c>
      <c r="S146" s="13">
        <v>2012</v>
      </c>
      <c r="T146" s="13">
        <v>1.3</v>
      </c>
      <c r="U146" s="13">
        <f t="shared" si="0"/>
        <v>2340</v>
      </c>
      <c r="V146" s="25">
        <f t="shared" si="1"/>
        <v>292.5</v>
      </c>
      <c r="W146" s="15">
        <f t="shared" si="2"/>
        <v>0</v>
      </c>
      <c r="X146" s="15">
        <f t="shared" si="3"/>
        <v>0</v>
      </c>
      <c r="Y146" s="15">
        <f t="shared" si="4"/>
        <v>0</v>
      </c>
      <c r="Z146" s="13">
        <f t="shared" si="5"/>
        <v>0</v>
      </c>
      <c r="AA146" s="16">
        <f>VLOOKUP(S146,[1]CPI!$A$2:$D$67,4,0)</f>
        <v>1.1802137686524912</v>
      </c>
      <c r="AB146" s="17">
        <f t="shared" si="6"/>
        <v>2761.7002186468294</v>
      </c>
      <c r="AC146" s="17">
        <f t="shared" si="7"/>
        <v>345.21252733085367</v>
      </c>
      <c r="AD146" s="16" t="s">
        <v>43</v>
      </c>
      <c r="AE146" s="29" t="s">
        <v>415</v>
      </c>
      <c r="AF146" s="19"/>
      <c r="AG146" s="19"/>
      <c r="AH146" s="19"/>
      <c r="AI146" s="19"/>
      <c r="AJ146" s="20"/>
      <c r="AK146" s="20"/>
      <c r="AL146" s="20"/>
      <c r="AM146" s="20"/>
      <c r="AN146" s="20"/>
      <c r="AO146" s="20"/>
      <c r="AP146" s="20"/>
      <c r="AQ146" s="20"/>
    </row>
    <row r="147" spans="1:43" ht="15.75" customHeight="1" x14ac:dyDescent="0.2">
      <c r="A147" s="21">
        <v>7424</v>
      </c>
      <c r="B147" s="16" t="s">
        <v>145</v>
      </c>
      <c r="C147" s="16" t="s">
        <v>197</v>
      </c>
      <c r="D147" s="22" t="s">
        <v>142</v>
      </c>
      <c r="E147" s="16" t="s">
        <v>416</v>
      </c>
      <c r="F147" s="13">
        <v>2008</v>
      </c>
      <c r="G147" s="13">
        <v>2013</v>
      </c>
      <c r="H147" s="13">
        <v>0</v>
      </c>
      <c r="I147" s="13">
        <v>1.5</v>
      </c>
      <c r="J147" s="23">
        <v>1</v>
      </c>
      <c r="K147" s="13">
        <v>1.5</v>
      </c>
      <c r="L147" s="13">
        <v>0</v>
      </c>
      <c r="M147" s="13">
        <v>0</v>
      </c>
      <c r="N147" s="13">
        <v>1</v>
      </c>
      <c r="O147" s="16"/>
      <c r="P147" s="16" t="s">
        <v>43</v>
      </c>
      <c r="Q147" s="24">
        <v>185.3</v>
      </c>
      <c r="R147" s="16" t="s">
        <v>36</v>
      </c>
      <c r="S147" s="13">
        <v>2010</v>
      </c>
      <c r="T147" s="13">
        <v>1.3</v>
      </c>
      <c r="U147" s="13">
        <f t="shared" si="0"/>
        <v>240.89000000000001</v>
      </c>
      <c r="V147" s="25">
        <f t="shared" si="1"/>
        <v>160.59333333333333</v>
      </c>
      <c r="W147" s="15">
        <f t="shared" si="2"/>
        <v>0</v>
      </c>
      <c r="X147" s="15">
        <f t="shared" si="3"/>
        <v>0</v>
      </c>
      <c r="Y147" s="15">
        <f t="shared" si="4"/>
        <v>0</v>
      </c>
      <c r="Z147" s="13">
        <f t="shared" si="5"/>
        <v>0</v>
      </c>
      <c r="AA147" s="16">
        <f>VLOOKUP(S147,[1]CPI!$A$2:$D$67,4,0)</f>
        <v>1.2426624353377114</v>
      </c>
      <c r="AB147" s="17">
        <f t="shared" si="6"/>
        <v>299.34495404850134</v>
      </c>
      <c r="AC147" s="17">
        <f t="shared" si="7"/>
        <v>199.56330269900087</v>
      </c>
      <c r="AD147" s="16" t="s">
        <v>43</v>
      </c>
      <c r="AE147" s="29" t="s">
        <v>417</v>
      </c>
      <c r="AF147" s="19"/>
      <c r="AG147" s="19"/>
      <c r="AH147" s="19"/>
      <c r="AI147" s="19"/>
      <c r="AJ147" s="20"/>
      <c r="AK147" s="20"/>
      <c r="AL147" s="20"/>
      <c r="AM147" s="20"/>
      <c r="AN147" s="20"/>
      <c r="AO147" s="20"/>
      <c r="AP147" s="20"/>
      <c r="AQ147" s="20"/>
    </row>
    <row r="148" spans="1:43" ht="15.75" customHeight="1" x14ac:dyDescent="0.2">
      <c r="A148" s="21">
        <v>7425</v>
      </c>
      <c r="B148" s="16" t="s">
        <v>145</v>
      </c>
      <c r="C148" s="16" t="s">
        <v>197</v>
      </c>
      <c r="D148" s="22"/>
      <c r="E148" s="16" t="s">
        <v>418</v>
      </c>
      <c r="F148" s="13">
        <v>2007</v>
      </c>
      <c r="G148" s="13">
        <v>2011</v>
      </c>
      <c r="H148" s="13">
        <v>0</v>
      </c>
      <c r="I148" s="13">
        <v>1.3</v>
      </c>
      <c r="J148" s="23">
        <v>0</v>
      </c>
      <c r="K148" s="13">
        <v>0</v>
      </c>
      <c r="L148" s="13">
        <v>0</v>
      </c>
      <c r="M148" s="13">
        <v>0</v>
      </c>
      <c r="N148" s="13">
        <v>1</v>
      </c>
      <c r="O148" s="16"/>
      <c r="P148" s="16" t="s">
        <v>50</v>
      </c>
      <c r="Q148" s="24">
        <v>83</v>
      </c>
      <c r="R148" s="16" t="s">
        <v>36</v>
      </c>
      <c r="S148" s="13">
        <v>2005</v>
      </c>
      <c r="T148" s="13">
        <v>1.25</v>
      </c>
      <c r="U148" s="13">
        <f t="shared" si="0"/>
        <v>103.75</v>
      </c>
      <c r="V148" s="25">
        <f t="shared" si="1"/>
        <v>79.807692307692307</v>
      </c>
      <c r="W148" s="15">
        <f t="shared" si="2"/>
        <v>0</v>
      </c>
      <c r="X148" s="15">
        <f t="shared" si="3"/>
        <v>0</v>
      </c>
      <c r="Y148" s="15">
        <f t="shared" si="4"/>
        <v>0</v>
      </c>
      <c r="Z148" s="13">
        <f t="shared" si="5"/>
        <v>0</v>
      </c>
      <c r="AA148" s="16">
        <f>VLOOKUP(S148,[1]CPI!$A$2:$D$67,4,0)</f>
        <v>1.3874551971326166</v>
      </c>
      <c r="AB148" s="17">
        <f t="shared" si="6"/>
        <v>143.94847670250897</v>
      </c>
      <c r="AC148" s="17">
        <f t="shared" si="7"/>
        <v>110.72959746346844</v>
      </c>
      <c r="AD148" s="16" t="s">
        <v>43</v>
      </c>
      <c r="AE148" s="29" t="s">
        <v>419</v>
      </c>
      <c r="AF148" s="19"/>
      <c r="AG148" s="19"/>
      <c r="AH148" s="19"/>
      <c r="AI148" s="19"/>
      <c r="AJ148" s="20"/>
      <c r="AK148" s="20"/>
      <c r="AL148" s="20"/>
      <c r="AM148" s="20"/>
      <c r="AN148" s="20"/>
      <c r="AO148" s="20"/>
      <c r="AP148" s="20"/>
      <c r="AQ148" s="20"/>
    </row>
    <row r="149" spans="1:43" ht="15.75" customHeight="1" x14ac:dyDescent="0.2">
      <c r="A149" s="21">
        <v>7426</v>
      </c>
      <c r="B149" s="16" t="s">
        <v>145</v>
      </c>
      <c r="C149" s="16" t="s">
        <v>197</v>
      </c>
      <c r="D149" s="22"/>
      <c r="E149" s="16" t="s">
        <v>420</v>
      </c>
      <c r="F149" s="13">
        <v>2005</v>
      </c>
      <c r="G149" s="13">
        <v>2008</v>
      </c>
      <c r="H149" s="13">
        <v>0</v>
      </c>
      <c r="I149" s="13">
        <v>1.9</v>
      </c>
      <c r="J149" s="23">
        <v>1</v>
      </c>
      <c r="K149" s="13">
        <v>1.9</v>
      </c>
      <c r="L149" s="13">
        <v>0</v>
      </c>
      <c r="M149" s="13">
        <v>0</v>
      </c>
      <c r="N149" s="13">
        <v>2</v>
      </c>
      <c r="O149" s="16"/>
      <c r="P149" s="16" t="s">
        <v>35</v>
      </c>
      <c r="Q149" s="24">
        <v>158</v>
      </c>
      <c r="R149" s="16" t="s">
        <v>36</v>
      </c>
      <c r="S149" s="13">
        <v>2006</v>
      </c>
      <c r="T149" s="13">
        <v>1.25</v>
      </c>
      <c r="U149" s="13">
        <f t="shared" si="0"/>
        <v>197.5</v>
      </c>
      <c r="V149" s="25">
        <f t="shared" si="1"/>
        <v>103.94736842105263</v>
      </c>
      <c r="W149" s="15">
        <f t="shared" si="2"/>
        <v>0</v>
      </c>
      <c r="X149" s="15">
        <f t="shared" si="3"/>
        <v>0</v>
      </c>
      <c r="Y149" s="15">
        <f t="shared" si="4"/>
        <v>0</v>
      </c>
      <c r="Z149" s="13">
        <f t="shared" si="5"/>
        <v>0</v>
      </c>
      <c r="AA149" s="16">
        <f>VLOOKUP(S149,[1]CPI!$A$2:$D$67,4,0)</f>
        <v>1.3440972222222225</v>
      </c>
      <c r="AB149" s="17">
        <f t="shared" si="6"/>
        <v>265.45920138888897</v>
      </c>
      <c r="AC149" s="17">
        <f t="shared" si="7"/>
        <v>139.7153691520468</v>
      </c>
      <c r="AD149" s="16" t="s">
        <v>35</v>
      </c>
      <c r="AE149" s="29" t="s">
        <v>421</v>
      </c>
      <c r="AF149" s="19"/>
      <c r="AG149" s="19"/>
      <c r="AH149" s="19"/>
      <c r="AI149" s="19"/>
      <c r="AJ149" s="20"/>
      <c r="AK149" s="20"/>
      <c r="AL149" s="20"/>
      <c r="AM149" s="20"/>
      <c r="AN149" s="20"/>
      <c r="AO149" s="20"/>
      <c r="AP149" s="20"/>
      <c r="AQ149" s="20"/>
    </row>
    <row r="150" spans="1:43" ht="15.75" customHeight="1" x14ac:dyDescent="0.2">
      <c r="A150" s="21">
        <v>7427</v>
      </c>
      <c r="B150" s="16" t="s">
        <v>145</v>
      </c>
      <c r="C150" s="16" t="s">
        <v>197</v>
      </c>
      <c r="D150" s="22" t="s">
        <v>182</v>
      </c>
      <c r="E150" s="16" t="s">
        <v>422</v>
      </c>
      <c r="F150" s="13">
        <v>2007</v>
      </c>
      <c r="G150" s="13">
        <v>2012</v>
      </c>
      <c r="H150" s="13">
        <v>0</v>
      </c>
      <c r="I150" s="13">
        <v>1.5</v>
      </c>
      <c r="J150" s="23">
        <v>1</v>
      </c>
      <c r="K150" s="13">
        <v>1.5</v>
      </c>
      <c r="L150" s="13">
        <v>0</v>
      </c>
      <c r="M150" s="13">
        <v>0</v>
      </c>
      <c r="N150" s="13">
        <v>1</v>
      </c>
      <c r="O150" s="16"/>
      <c r="P150" s="16" t="s">
        <v>94</v>
      </c>
      <c r="Q150" s="24">
        <v>295</v>
      </c>
      <c r="R150" s="16" t="s">
        <v>36</v>
      </c>
      <c r="S150" s="13">
        <v>2009</v>
      </c>
      <c r="T150" s="13">
        <v>1.3</v>
      </c>
      <c r="U150" s="13">
        <f t="shared" si="0"/>
        <v>383.5</v>
      </c>
      <c r="V150" s="25">
        <f t="shared" si="1"/>
        <v>255.66666666666666</v>
      </c>
      <c r="W150" s="15">
        <f t="shared" si="2"/>
        <v>0</v>
      </c>
      <c r="X150" s="15">
        <f t="shared" si="3"/>
        <v>0</v>
      </c>
      <c r="Y150" s="15">
        <f t="shared" si="4"/>
        <v>0</v>
      </c>
      <c r="Z150" s="13">
        <f t="shared" si="5"/>
        <v>0</v>
      </c>
      <c r="AA150" s="16">
        <f>VLOOKUP(S150,[1]CPI!$A$2:$D$67,4,0)</f>
        <v>1.2630455352689747</v>
      </c>
      <c r="AB150" s="17">
        <f t="shared" si="6"/>
        <v>484.37796277565178</v>
      </c>
      <c r="AC150" s="17">
        <f t="shared" si="7"/>
        <v>322.91864185043454</v>
      </c>
      <c r="AD150" s="16" t="s">
        <v>35</v>
      </c>
      <c r="AE150" s="29" t="s">
        <v>423</v>
      </c>
      <c r="AF150" s="19"/>
      <c r="AG150" s="19"/>
      <c r="AH150" s="19"/>
      <c r="AI150" s="19"/>
      <c r="AJ150" s="20"/>
      <c r="AK150" s="20"/>
      <c r="AL150" s="20"/>
      <c r="AM150" s="20"/>
      <c r="AN150" s="20"/>
      <c r="AO150" s="20"/>
      <c r="AP150" s="20"/>
      <c r="AQ150" s="20"/>
    </row>
    <row r="151" spans="1:43" ht="15.75" customHeight="1" x14ac:dyDescent="0.2">
      <c r="A151" s="21">
        <v>7432</v>
      </c>
      <c r="B151" s="16" t="s">
        <v>145</v>
      </c>
      <c r="C151" s="16" t="s">
        <v>197</v>
      </c>
      <c r="D151" s="22"/>
      <c r="E151" s="16" t="s">
        <v>124</v>
      </c>
      <c r="F151" s="13">
        <v>2016</v>
      </c>
      <c r="G151" s="13">
        <v>2024</v>
      </c>
      <c r="H151" s="13">
        <v>0</v>
      </c>
      <c r="I151" s="13">
        <v>6.3</v>
      </c>
      <c r="J151" s="23">
        <v>0.9</v>
      </c>
      <c r="K151" s="13">
        <v>5.7</v>
      </c>
      <c r="L151" s="13">
        <v>0.6</v>
      </c>
      <c r="M151" s="13">
        <v>0</v>
      </c>
      <c r="N151" s="13">
        <v>6</v>
      </c>
      <c r="O151" s="16"/>
      <c r="P151" s="16" t="s">
        <v>94</v>
      </c>
      <c r="Q151" s="24">
        <v>1084</v>
      </c>
      <c r="R151" s="16" t="s">
        <v>36</v>
      </c>
      <c r="S151" s="13">
        <v>2014</v>
      </c>
      <c r="T151" s="13">
        <v>1.3</v>
      </c>
      <c r="U151" s="13">
        <f t="shared" si="0"/>
        <v>1409.2</v>
      </c>
      <c r="V151" s="25">
        <f t="shared" si="1"/>
        <v>223.6825396825397</v>
      </c>
      <c r="W151" s="15">
        <f t="shared" si="2"/>
        <v>0</v>
      </c>
      <c r="X151" s="15">
        <f t="shared" si="3"/>
        <v>0</v>
      </c>
      <c r="Y151" s="15">
        <f t="shared" si="4"/>
        <v>0</v>
      </c>
      <c r="Z151" s="13">
        <f t="shared" si="5"/>
        <v>0</v>
      </c>
      <c r="AA151" s="16">
        <f>VLOOKUP(S151,[1]CPI!$A$2:$D$67,4,0)</f>
        <v>1.1446083400919169</v>
      </c>
      <c r="AB151" s="17">
        <f t="shared" si="6"/>
        <v>1612.9820728575294</v>
      </c>
      <c r="AC151" s="17">
        <f t="shared" si="7"/>
        <v>256.02890045357611</v>
      </c>
      <c r="AD151" s="16" t="s">
        <v>35</v>
      </c>
      <c r="AE151" s="29" t="s">
        <v>424</v>
      </c>
      <c r="AF151" s="19"/>
      <c r="AG151" s="19"/>
      <c r="AH151" s="19"/>
      <c r="AI151" s="19"/>
      <c r="AJ151" s="20"/>
      <c r="AK151" s="20"/>
      <c r="AL151" s="20"/>
      <c r="AM151" s="20"/>
      <c r="AN151" s="20"/>
      <c r="AO151" s="20"/>
      <c r="AP151" s="20"/>
      <c r="AQ151" s="20"/>
    </row>
    <row r="152" spans="1:43" ht="15.75" customHeight="1" x14ac:dyDescent="0.2">
      <c r="A152" s="21">
        <v>7433</v>
      </c>
      <c r="B152" s="16" t="s">
        <v>425</v>
      </c>
      <c r="C152" s="16" t="s">
        <v>426</v>
      </c>
      <c r="D152" s="22"/>
      <c r="E152" s="16" t="s">
        <v>427</v>
      </c>
      <c r="F152" s="13">
        <v>2015</v>
      </c>
      <c r="G152" s="13">
        <v>2022</v>
      </c>
      <c r="H152" s="13">
        <v>0</v>
      </c>
      <c r="I152" s="13">
        <v>24</v>
      </c>
      <c r="J152" s="23">
        <v>0.5</v>
      </c>
      <c r="K152" s="13">
        <v>12</v>
      </c>
      <c r="L152" s="13">
        <v>0</v>
      </c>
      <c r="M152" s="13">
        <v>0</v>
      </c>
      <c r="N152" s="13">
        <v>34</v>
      </c>
      <c r="O152" s="16"/>
      <c r="P152" s="16" t="s">
        <v>50</v>
      </c>
      <c r="Q152" s="24">
        <v>17600</v>
      </c>
      <c r="R152" s="16" t="s">
        <v>428</v>
      </c>
      <c r="S152" s="13">
        <v>2018</v>
      </c>
      <c r="T152" s="13">
        <v>0.26800000000000002</v>
      </c>
      <c r="U152" s="13">
        <f t="shared" si="0"/>
        <v>4716.8</v>
      </c>
      <c r="V152" s="25">
        <f t="shared" si="1"/>
        <v>196.53333333333333</v>
      </c>
      <c r="W152" s="15">
        <f t="shared" si="2"/>
        <v>0</v>
      </c>
      <c r="X152" s="15">
        <f t="shared" si="3"/>
        <v>0</v>
      </c>
      <c r="Y152" s="15">
        <f t="shared" si="4"/>
        <v>0</v>
      </c>
      <c r="Z152" s="13">
        <f t="shared" si="5"/>
        <v>0</v>
      </c>
      <c r="AA152" s="16">
        <f>VLOOKUP(S152,[1]CPI!$A$2:$D$67,4,0)</f>
        <v>1.0791017375063221</v>
      </c>
      <c r="AB152" s="17">
        <f t="shared" si="6"/>
        <v>5089.9070754698205</v>
      </c>
      <c r="AC152" s="17">
        <f t="shared" si="7"/>
        <v>212.07946147790918</v>
      </c>
      <c r="AD152" s="16" t="s">
        <v>43</v>
      </c>
      <c r="AE152" s="29" t="s">
        <v>429</v>
      </c>
      <c r="AF152" s="19"/>
      <c r="AG152" s="19"/>
      <c r="AH152" s="19"/>
      <c r="AI152" s="19"/>
      <c r="AJ152" s="20"/>
      <c r="AK152" s="20"/>
      <c r="AL152" s="20"/>
      <c r="AM152" s="20"/>
      <c r="AN152" s="20"/>
      <c r="AO152" s="20"/>
      <c r="AP152" s="20"/>
      <c r="AQ152" s="20"/>
    </row>
    <row r="153" spans="1:43" ht="15.75" customHeight="1" x14ac:dyDescent="0.2">
      <c r="A153" s="21">
        <v>7434</v>
      </c>
      <c r="B153" s="16" t="s">
        <v>425</v>
      </c>
      <c r="C153" s="16" t="s">
        <v>426</v>
      </c>
      <c r="D153" s="22"/>
      <c r="E153" s="16" t="s">
        <v>430</v>
      </c>
      <c r="F153" s="13">
        <v>2018</v>
      </c>
      <c r="G153" s="13">
        <v>2024</v>
      </c>
      <c r="H153" s="13">
        <v>0</v>
      </c>
      <c r="I153" s="13">
        <v>38.6</v>
      </c>
      <c r="J153" s="23">
        <v>0.12</v>
      </c>
      <c r="K153" s="13">
        <v>4.5999999999999996</v>
      </c>
      <c r="L153" s="13">
        <v>0</v>
      </c>
      <c r="M153" s="13">
        <v>0</v>
      </c>
      <c r="N153" s="13">
        <v>62</v>
      </c>
      <c r="O153" s="16"/>
      <c r="P153" s="16" t="s">
        <v>50</v>
      </c>
      <c r="Q153" s="24">
        <v>20000</v>
      </c>
      <c r="R153" s="16" t="s">
        <v>428</v>
      </c>
      <c r="S153" s="13">
        <v>2020</v>
      </c>
      <c r="T153" s="13">
        <v>0.26800000000000002</v>
      </c>
      <c r="U153" s="13">
        <f t="shared" si="0"/>
        <v>5360</v>
      </c>
      <c r="V153" s="25">
        <f t="shared" si="1"/>
        <v>138.86010362694299</v>
      </c>
      <c r="W153" s="15">
        <f t="shared" si="2"/>
        <v>0</v>
      </c>
      <c r="X153" s="15">
        <f t="shared" si="3"/>
        <v>0</v>
      </c>
      <c r="Y153" s="15">
        <f t="shared" si="4"/>
        <v>0</v>
      </c>
      <c r="Z153" s="13">
        <f t="shared" si="5"/>
        <v>0</v>
      </c>
      <c r="AA153" s="16">
        <f>VLOOKUP(S153,[1]CPI!$A$2:$D$67,4,0)</f>
        <v>1.0469802288156225</v>
      </c>
      <c r="AB153" s="17">
        <f t="shared" si="6"/>
        <v>5611.814026451736</v>
      </c>
      <c r="AC153" s="17">
        <f t="shared" si="7"/>
        <v>145.38378306869782</v>
      </c>
      <c r="AD153" s="16" t="s">
        <v>43</v>
      </c>
      <c r="AE153" s="29" t="s">
        <v>431</v>
      </c>
      <c r="AF153" s="19"/>
      <c r="AG153" s="19"/>
      <c r="AH153" s="19"/>
      <c r="AI153" s="19"/>
      <c r="AJ153" s="20"/>
      <c r="AK153" s="20"/>
      <c r="AL153" s="20"/>
      <c r="AM153" s="20"/>
      <c r="AN153" s="20"/>
      <c r="AO153" s="20"/>
      <c r="AP153" s="20"/>
      <c r="AQ153" s="20"/>
    </row>
    <row r="154" spans="1:43" ht="15.75" customHeight="1" x14ac:dyDescent="0.2">
      <c r="A154" s="21">
        <v>7435</v>
      </c>
      <c r="B154" s="16" t="s">
        <v>432</v>
      </c>
      <c r="C154" s="16" t="s">
        <v>433</v>
      </c>
      <c r="D154" s="22"/>
      <c r="E154" s="16" t="s">
        <v>434</v>
      </c>
      <c r="F154" s="13">
        <v>2013</v>
      </c>
      <c r="G154" s="13">
        <v>2024</v>
      </c>
      <c r="H154" s="13">
        <v>1</v>
      </c>
      <c r="I154" s="13">
        <v>3.5</v>
      </c>
      <c r="J154" s="23">
        <v>1</v>
      </c>
      <c r="K154" s="13">
        <v>3.5</v>
      </c>
      <c r="L154" s="13">
        <v>0</v>
      </c>
      <c r="M154" s="13">
        <v>0</v>
      </c>
      <c r="N154" s="13">
        <v>4</v>
      </c>
      <c r="O154" s="16"/>
      <c r="P154" s="16" t="s">
        <v>50</v>
      </c>
      <c r="Q154" s="24">
        <v>4419</v>
      </c>
      <c r="R154" s="16" t="s">
        <v>435</v>
      </c>
      <c r="S154" s="13">
        <v>2018</v>
      </c>
      <c r="T154" s="13">
        <v>0.67700000000000005</v>
      </c>
      <c r="U154" s="13">
        <f t="shared" si="0"/>
        <v>2991.663</v>
      </c>
      <c r="V154" s="25">
        <f t="shared" si="1"/>
        <v>854.76085714285716</v>
      </c>
      <c r="W154" s="15">
        <f t="shared" si="2"/>
        <v>0</v>
      </c>
      <c r="X154" s="15">
        <f t="shared" si="3"/>
        <v>0</v>
      </c>
      <c r="Y154" s="15">
        <f t="shared" si="4"/>
        <v>0</v>
      </c>
      <c r="Z154" s="13">
        <f t="shared" si="5"/>
        <v>1</v>
      </c>
      <c r="AA154" s="16">
        <f>VLOOKUP(S154,[1]CPI!$A$2:$D$67,4,0)</f>
        <v>1.0791017375063221</v>
      </c>
      <c r="AB154" s="17">
        <f t="shared" si="6"/>
        <v>3228.308741333376</v>
      </c>
      <c r="AC154" s="17">
        <f t="shared" si="7"/>
        <v>922.37392609525034</v>
      </c>
      <c r="AD154" s="16" t="s">
        <v>35</v>
      </c>
      <c r="AE154" s="29" t="s">
        <v>436</v>
      </c>
      <c r="AF154" s="19"/>
      <c r="AG154" s="19"/>
      <c r="AH154" s="19"/>
      <c r="AI154" s="19"/>
      <c r="AJ154" s="20"/>
      <c r="AK154" s="20"/>
      <c r="AL154" s="20"/>
      <c r="AM154" s="20"/>
      <c r="AN154" s="20"/>
      <c r="AO154" s="20"/>
      <c r="AP154" s="20"/>
      <c r="AQ154" s="20"/>
    </row>
    <row r="155" spans="1:43" ht="15.75" customHeight="1" x14ac:dyDescent="0.2">
      <c r="A155" s="21">
        <v>7440</v>
      </c>
      <c r="B155" s="16" t="s">
        <v>216</v>
      </c>
      <c r="C155" s="16" t="s">
        <v>437</v>
      </c>
      <c r="D155" s="22" t="s">
        <v>438</v>
      </c>
      <c r="E155" s="16" t="s">
        <v>439</v>
      </c>
      <c r="F155" s="13">
        <v>2007</v>
      </c>
      <c r="G155" s="13">
        <v>2012</v>
      </c>
      <c r="H155" s="13">
        <v>0</v>
      </c>
      <c r="I155" s="13">
        <v>3.9</v>
      </c>
      <c r="J155" s="23">
        <v>1</v>
      </c>
      <c r="K155" s="13">
        <v>3.9</v>
      </c>
      <c r="L155" s="13">
        <v>0</v>
      </c>
      <c r="M155" s="13">
        <v>0</v>
      </c>
      <c r="N155" s="13">
        <v>2</v>
      </c>
      <c r="O155" s="16"/>
      <c r="P155" s="16" t="s">
        <v>43</v>
      </c>
      <c r="Q155" s="24">
        <v>326.3</v>
      </c>
      <c r="R155" s="16" t="s">
        <v>36</v>
      </c>
      <c r="S155" s="13">
        <v>2009</v>
      </c>
      <c r="T155" s="13">
        <v>1.3</v>
      </c>
      <c r="U155" s="13">
        <f t="shared" si="0"/>
        <v>424.19000000000005</v>
      </c>
      <c r="V155" s="25">
        <f t="shared" si="1"/>
        <v>108.76666666666668</v>
      </c>
      <c r="W155" s="15">
        <f t="shared" si="2"/>
        <v>0</v>
      </c>
      <c r="X155" s="15">
        <f t="shared" si="3"/>
        <v>0</v>
      </c>
      <c r="Y155" s="15">
        <f t="shared" si="4"/>
        <v>0</v>
      </c>
      <c r="Z155" s="13">
        <f t="shared" si="5"/>
        <v>0</v>
      </c>
      <c r="AA155" s="16">
        <f>VLOOKUP(S155,[1]CPI!$A$2:$D$67,4,0)</f>
        <v>1.2630455352689747</v>
      </c>
      <c r="AB155" s="17">
        <f t="shared" si="6"/>
        <v>535.77128560574647</v>
      </c>
      <c r="AC155" s="17">
        <f t="shared" si="7"/>
        <v>137.37725271942216</v>
      </c>
      <c r="AD155" s="16" t="s">
        <v>43</v>
      </c>
      <c r="AE155" s="29" t="s">
        <v>440</v>
      </c>
      <c r="AF155" s="19"/>
      <c r="AG155" s="19"/>
      <c r="AH155" s="19"/>
      <c r="AI155" s="19"/>
      <c r="AJ155" s="20"/>
      <c r="AK155" s="20"/>
      <c r="AL155" s="20"/>
      <c r="AM155" s="20"/>
      <c r="AN155" s="20"/>
      <c r="AO155" s="20"/>
      <c r="AP155" s="20"/>
      <c r="AQ155" s="20"/>
    </row>
    <row r="156" spans="1:43" ht="15.75" customHeight="1" x14ac:dyDescent="0.2">
      <c r="A156" s="21">
        <v>7441</v>
      </c>
      <c r="B156" s="16" t="s">
        <v>216</v>
      </c>
      <c r="C156" s="16" t="s">
        <v>437</v>
      </c>
      <c r="D156" s="22" t="s">
        <v>438</v>
      </c>
      <c r="E156" s="16" t="s">
        <v>441</v>
      </c>
      <c r="F156" s="13">
        <v>2014</v>
      </c>
      <c r="G156" s="13">
        <v>2018</v>
      </c>
      <c r="H156" s="13">
        <v>0</v>
      </c>
      <c r="I156" s="13">
        <v>1.3</v>
      </c>
      <c r="J156" s="23">
        <v>1</v>
      </c>
      <c r="K156" s="13">
        <v>1.3</v>
      </c>
      <c r="L156" s="13">
        <v>0</v>
      </c>
      <c r="M156" s="13">
        <v>0</v>
      </c>
      <c r="N156" s="13">
        <v>1</v>
      </c>
      <c r="O156" s="16"/>
      <c r="P156" s="16" t="s">
        <v>43</v>
      </c>
      <c r="Q156" s="24">
        <v>178</v>
      </c>
      <c r="R156" s="16" t="s">
        <v>36</v>
      </c>
      <c r="S156" s="13">
        <v>2016</v>
      </c>
      <c r="T156" s="13">
        <v>1.3</v>
      </c>
      <c r="U156" s="13">
        <f t="shared" si="0"/>
        <v>231.4</v>
      </c>
      <c r="V156" s="25">
        <f t="shared" si="1"/>
        <v>178</v>
      </c>
      <c r="W156" s="15">
        <f t="shared" si="2"/>
        <v>0</v>
      </c>
      <c r="X156" s="15">
        <f t="shared" si="3"/>
        <v>0</v>
      </c>
      <c r="Y156" s="15">
        <f t="shared" si="4"/>
        <v>0</v>
      </c>
      <c r="Z156" s="13">
        <f t="shared" si="5"/>
        <v>0</v>
      </c>
      <c r="AA156" s="16">
        <f>VLOOKUP(S156,[1]CPI!$A$2:$D$67,4,0)</f>
        <v>1.1290087372451638</v>
      </c>
      <c r="AB156" s="17">
        <f t="shared" si="6"/>
        <v>261.25262179853092</v>
      </c>
      <c r="AC156" s="17">
        <f t="shared" si="7"/>
        <v>200.96355522963916</v>
      </c>
      <c r="AD156" s="16" t="s">
        <v>43</v>
      </c>
      <c r="AE156" s="29" t="s">
        <v>440</v>
      </c>
      <c r="AF156" s="19"/>
      <c r="AG156" s="19"/>
      <c r="AH156" s="19"/>
      <c r="AI156" s="19"/>
      <c r="AJ156" s="20"/>
      <c r="AK156" s="20"/>
      <c r="AL156" s="20"/>
      <c r="AM156" s="20"/>
      <c r="AN156" s="20"/>
      <c r="AO156" s="20"/>
      <c r="AP156" s="20"/>
      <c r="AQ156" s="20"/>
    </row>
    <row r="157" spans="1:43" ht="15.75" customHeight="1" x14ac:dyDescent="0.2">
      <c r="A157" s="21">
        <v>7442</v>
      </c>
      <c r="B157" s="16" t="s">
        <v>216</v>
      </c>
      <c r="C157" s="16" t="s">
        <v>437</v>
      </c>
      <c r="D157" s="22" t="s">
        <v>438</v>
      </c>
      <c r="E157" s="16" t="s">
        <v>442</v>
      </c>
      <c r="F157" s="13">
        <v>2020</v>
      </c>
      <c r="G157" s="16"/>
      <c r="H157" s="13">
        <v>0</v>
      </c>
      <c r="I157" s="13">
        <v>2.6</v>
      </c>
      <c r="J157" s="23">
        <v>1</v>
      </c>
      <c r="K157" s="13">
        <v>2.6</v>
      </c>
      <c r="L157" s="13">
        <v>0</v>
      </c>
      <c r="M157" s="13">
        <v>0</v>
      </c>
      <c r="N157" s="13">
        <v>3</v>
      </c>
      <c r="O157" s="16"/>
      <c r="P157" s="16" t="s">
        <v>43</v>
      </c>
      <c r="Q157" s="24">
        <v>511</v>
      </c>
      <c r="R157" s="16" t="s">
        <v>36</v>
      </c>
      <c r="S157" s="13">
        <v>2019</v>
      </c>
      <c r="T157" s="13">
        <v>1.3</v>
      </c>
      <c r="U157" s="13">
        <f t="shared" si="0"/>
        <v>664.30000000000007</v>
      </c>
      <c r="V157" s="25">
        <f t="shared" si="1"/>
        <v>255.50000000000003</v>
      </c>
      <c r="W157" s="15">
        <f t="shared" si="2"/>
        <v>0</v>
      </c>
      <c r="X157" s="15">
        <f t="shared" si="3"/>
        <v>0</v>
      </c>
      <c r="Y157" s="15">
        <f t="shared" si="4"/>
        <v>0</v>
      </c>
      <c r="Z157" s="13">
        <f t="shared" si="5"/>
        <v>0</v>
      </c>
      <c r="AA157" s="16">
        <f>VLOOKUP(S157,[1]CPI!$A$2:$D$67,4,0)</f>
        <v>1.0598966584134211</v>
      </c>
      <c r="AB157" s="17">
        <f t="shared" si="6"/>
        <v>704.08935018403565</v>
      </c>
      <c r="AC157" s="17">
        <f t="shared" si="7"/>
        <v>270.80359622462913</v>
      </c>
      <c r="AD157" s="16" t="s">
        <v>43</v>
      </c>
      <c r="AE157" s="29" t="s">
        <v>443</v>
      </c>
      <c r="AF157" s="19"/>
      <c r="AG157" s="19"/>
      <c r="AH157" s="19"/>
      <c r="AI157" s="19"/>
      <c r="AJ157" s="20"/>
      <c r="AK157" s="20"/>
      <c r="AL157" s="20"/>
      <c r="AM157" s="20"/>
      <c r="AN157" s="20"/>
      <c r="AO157" s="20"/>
      <c r="AP157" s="20"/>
      <c r="AQ157" s="20"/>
    </row>
    <row r="158" spans="1:43" ht="15.75" customHeight="1" x14ac:dyDescent="0.2">
      <c r="A158" s="21">
        <v>7443</v>
      </c>
      <c r="B158" s="16" t="s">
        <v>364</v>
      </c>
      <c r="C158" s="16" t="s">
        <v>444</v>
      </c>
      <c r="D158" s="22"/>
      <c r="E158" s="16" t="s">
        <v>445</v>
      </c>
      <c r="F158" s="13">
        <v>2001</v>
      </c>
      <c r="G158" s="13">
        <v>2008</v>
      </c>
      <c r="H158" s="13">
        <v>0</v>
      </c>
      <c r="I158" s="13">
        <v>1.9</v>
      </c>
      <c r="J158" s="23">
        <v>1</v>
      </c>
      <c r="K158" s="13">
        <v>1.9</v>
      </c>
      <c r="L158" s="13">
        <v>0</v>
      </c>
      <c r="M158" s="13">
        <v>0</v>
      </c>
      <c r="N158" s="13">
        <v>2</v>
      </c>
      <c r="O158" s="16"/>
      <c r="P158" s="16" t="s">
        <v>35</v>
      </c>
      <c r="Q158" s="24">
        <v>151</v>
      </c>
      <c r="R158" s="16" t="s">
        <v>36</v>
      </c>
      <c r="S158" s="13">
        <v>2004</v>
      </c>
      <c r="T158" s="13">
        <v>1.25</v>
      </c>
      <c r="U158" s="13">
        <f t="shared" si="0"/>
        <v>188.75</v>
      </c>
      <c r="V158" s="25">
        <f t="shared" si="1"/>
        <v>99.342105263157904</v>
      </c>
      <c r="W158" s="15">
        <f t="shared" si="2"/>
        <v>1</v>
      </c>
      <c r="X158" s="15">
        <f t="shared" si="3"/>
        <v>1.9</v>
      </c>
      <c r="Y158" s="15">
        <f t="shared" si="4"/>
        <v>1.9</v>
      </c>
      <c r="Z158" s="13">
        <f t="shared" si="5"/>
        <v>0</v>
      </c>
      <c r="AA158" s="16">
        <f>VLOOKUP(S158,[1]CPI!$A$2:$D$67,4,0)</f>
        <v>1.4344626786659609</v>
      </c>
      <c r="AB158" s="17">
        <f t="shared" si="6"/>
        <v>270.7548305982001</v>
      </c>
      <c r="AC158" s="17">
        <f t="shared" si="7"/>
        <v>142.50254242010533</v>
      </c>
      <c r="AD158" s="16" t="s">
        <v>35</v>
      </c>
      <c r="AE158" s="29" t="s">
        <v>446</v>
      </c>
      <c r="AF158" s="19"/>
      <c r="AG158" s="19"/>
      <c r="AH158" s="19"/>
      <c r="AI158" s="19"/>
      <c r="AJ158" s="20"/>
      <c r="AK158" s="20"/>
      <c r="AL158" s="20"/>
      <c r="AM158" s="20"/>
      <c r="AN158" s="20"/>
      <c r="AO158" s="20"/>
      <c r="AP158" s="20"/>
      <c r="AQ158" s="20"/>
    </row>
    <row r="159" spans="1:43" ht="15.75" customHeight="1" x14ac:dyDescent="0.2">
      <c r="A159" s="21">
        <v>7448</v>
      </c>
      <c r="B159" s="16" t="s">
        <v>364</v>
      </c>
      <c r="C159" s="16" t="s">
        <v>444</v>
      </c>
      <c r="D159" s="22"/>
      <c r="E159" s="16" t="s">
        <v>447</v>
      </c>
      <c r="F159" s="13">
        <v>2008</v>
      </c>
      <c r="G159" s="13">
        <v>2015</v>
      </c>
      <c r="H159" s="13">
        <v>0</v>
      </c>
      <c r="I159" s="13">
        <v>4.5</v>
      </c>
      <c r="J159" s="23">
        <v>1</v>
      </c>
      <c r="K159" s="13">
        <v>4.5</v>
      </c>
      <c r="L159" s="13">
        <v>0</v>
      </c>
      <c r="M159" s="13">
        <v>0</v>
      </c>
      <c r="N159" s="13">
        <v>3</v>
      </c>
      <c r="O159" s="16"/>
      <c r="P159" s="16" t="s">
        <v>35</v>
      </c>
      <c r="Q159" s="24">
        <v>401</v>
      </c>
      <c r="R159" s="16" t="s">
        <v>36</v>
      </c>
      <c r="S159" s="13">
        <v>2011</v>
      </c>
      <c r="T159" s="13">
        <v>1.3</v>
      </c>
      <c r="U159" s="13">
        <f t="shared" si="0"/>
        <v>521.30000000000007</v>
      </c>
      <c r="V159" s="25">
        <f t="shared" si="1"/>
        <v>115.84444444444446</v>
      </c>
      <c r="W159" s="15">
        <f t="shared" si="2"/>
        <v>1</v>
      </c>
      <c r="X159" s="15">
        <f t="shared" si="3"/>
        <v>4.5</v>
      </c>
      <c r="Y159" s="15">
        <f t="shared" si="4"/>
        <v>4.5</v>
      </c>
      <c r="Z159" s="13">
        <f t="shared" si="5"/>
        <v>0</v>
      </c>
      <c r="AA159" s="16">
        <f>VLOOKUP(S159,[1]CPI!$A$2:$D$67,4,0)</f>
        <v>1.2046377017769263</v>
      </c>
      <c r="AB159" s="17">
        <f t="shared" si="6"/>
        <v>627.9776339363118</v>
      </c>
      <c r="AC159" s="17">
        <f t="shared" si="7"/>
        <v>139.55058531918039</v>
      </c>
      <c r="AD159" s="16" t="s">
        <v>35</v>
      </c>
      <c r="AE159" s="29" t="s">
        <v>448</v>
      </c>
      <c r="AF159" s="19"/>
      <c r="AG159" s="19"/>
      <c r="AH159" s="19"/>
      <c r="AI159" s="19"/>
      <c r="AJ159" s="20"/>
      <c r="AK159" s="20"/>
      <c r="AL159" s="20"/>
      <c r="AM159" s="20"/>
      <c r="AN159" s="20"/>
      <c r="AO159" s="20"/>
      <c r="AP159" s="20"/>
      <c r="AQ159" s="20"/>
    </row>
    <row r="160" spans="1:43" ht="15.75" customHeight="1" x14ac:dyDescent="0.2">
      <c r="A160" s="21">
        <v>7449</v>
      </c>
      <c r="B160" s="16" t="s">
        <v>364</v>
      </c>
      <c r="C160" s="16" t="s">
        <v>444</v>
      </c>
      <c r="D160" s="22"/>
      <c r="E160" s="16" t="s">
        <v>449</v>
      </c>
      <c r="F160" s="13">
        <v>2006</v>
      </c>
      <c r="G160" s="13">
        <v>2017</v>
      </c>
      <c r="H160" s="13">
        <v>0</v>
      </c>
      <c r="I160" s="13">
        <v>4.4000000000000004</v>
      </c>
      <c r="J160" s="23">
        <v>1</v>
      </c>
      <c r="K160" s="13">
        <v>4.4000000000000004</v>
      </c>
      <c r="L160" s="13">
        <v>0</v>
      </c>
      <c r="M160" s="13">
        <v>0</v>
      </c>
      <c r="N160" s="13">
        <v>4</v>
      </c>
      <c r="O160" s="16"/>
      <c r="P160" s="16" t="s">
        <v>35</v>
      </c>
      <c r="Q160" s="24">
        <v>430</v>
      </c>
      <c r="R160" s="16" t="s">
        <v>36</v>
      </c>
      <c r="S160" s="13">
        <v>2011</v>
      </c>
      <c r="T160" s="13">
        <v>1.3</v>
      </c>
      <c r="U160" s="13">
        <f t="shared" si="0"/>
        <v>559</v>
      </c>
      <c r="V160" s="25">
        <f t="shared" si="1"/>
        <v>127.04545454545453</v>
      </c>
      <c r="W160" s="15">
        <f t="shared" si="2"/>
        <v>1</v>
      </c>
      <c r="X160" s="15">
        <f t="shared" si="3"/>
        <v>4.4000000000000004</v>
      </c>
      <c r="Y160" s="15">
        <f t="shared" si="4"/>
        <v>4.4000000000000004</v>
      </c>
      <c r="Z160" s="13">
        <f t="shared" si="5"/>
        <v>0</v>
      </c>
      <c r="AA160" s="16">
        <f>VLOOKUP(S160,[1]CPI!$A$2:$D$67,4,0)</f>
        <v>1.2046377017769263</v>
      </c>
      <c r="AB160" s="17">
        <f t="shared" si="6"/>
        <v>673.3924752933018</v>
      </c>
      <c r="AC160" s="17">
        <f t="shared" si="7"/>
        <v>153.04374438484129</v>
      </c>
      <c r="AD160" s="16" t="s">
        <v>35</v>
      </c>
      <c r="AE160" s="29" t="s">
        <v>448</v>
      </c>
      <c r="AF160" s="19"/>
      <c r="AG160" s="19"/>
      <c r="AH160" s="19"/>
      <c r="AI160" s="19"/>
      <c r="AJ160" s="20"/>
      <c r="AK160" s="20"/>
      <c r="AL160" s="20"/>
      <c r="AM160" s="20"/>
      <c r="AN160" s="20"/>
      <c r="AO160" s="20"/>
      <c r="AP160" s="20"/>
      <c r="AQ160" s="20"/>
    </row>
    <row r="161" spans="1:43" ht="15.75" customHeight="1" x14ac:dyDescent="0.2">
      <c r="A161" s="21">
        <v>7450</v>
      </c>
      <c r="B161" s="16" t="s">
        <v>364</v>
      </c>
      <c r="C161" s="16" t="s">
        <v>444</v>
      </c>
      <c r="D161" s="22"/>
      <c r="E161" s="16" t="s">
        <v>450</v>
      </c>
      <c r="F161" s="13">
        <v>2006</v>
      </c>
      <c r="G161" s="13">
        <v>2010</v>
      </c>
      <c r="H161" s="13">
        <v>0</v>
      </c>
      <c r="I161" s="13">
        <v>0.7</v>
      </c>
      <c r="J161" s="23">
        <v>1</v>
      </c>
      <c r="K161" s="13">
        <v>0.7</v>
      </c>
      <c r="L161" s="13">
        <v>0</v>
      </c>
      <c r="M161" s="13">
        <v>0</v>
      </c>
      <c r="N161" s="13">
        <v>1</v>
      </c>
      <c r="O161" s="16"/>
      <c r="P161" s="16" t="s">
        <v>35</v>
      </c>
      <c r="Q161" s="24">
        <v>70</v>
      </c>
      <c r="R161" s="16" t="s">
        <v>36</v>
      </c>
      <c r="S161" s="13">
        <v>2008</v>
      </c>
      <c r="T161" s="13">
        <v>1.25</v>
      </c>
      <c r="U161" s="13">
        <f t="shared" si="0"/>
        <v>87.5</v>
      </c>
      <c r="V161" s="25">
        <f t="shared" si="1"/>
        <v>125.00000000000001</v>
      </c>
      <c r="W161" s="15">
        <f t="shared" si="2"/>
        <v>1</v>
      </c>
      <c r="X161" s="15">
        <f t="shared" si="3"/>
        <v>0.7</v>
      </c>
      <c r="Y161" s="15">
        <f t="shared" si="4"/>
        <v>0.7</v>
      </c>
      <c r="Z161" s="13">
        <f t="shared" si="5"/>
        <v>0</v>
      </c>
      <c r="AA161" s="16">
        <f>VLOOKUP(S161,[1]CPI!$A$2:$D$67,4,0)</f>
        <v>1.2585519012740187</v>
      </c>
      <c r="AB161" s="17">
        <f t="shared" si="6"/>
        <v>110.12329136147663</v>
      </c>
      <c r="AC161" s="17">
        <f t="shared" si="7"/>
        <v>157.31898765925237</v>
      </c>
      <c r="AD161" s="16" t="s">
        <v>35</v>
      </c>
      <c r="AE161" s="26" t="s">
        <v>451</v>
      </c>
      <c r="AF161" s="19"/>
      <c r="AG161" s="19"/>
      <c r="AH161" s="19"/>
      <c r="AI161" s="19"/>
      <c r="AJ161" s="20"/>
      <c r="AK161" s="20"/>
      <c r="AL161" s="20"/>
      <c r="AM161" s="20"/>
      <c r="AN161" s="20"/>
      <c r="AO161" s="20"/>
      <c r="AP161" s="20"/>
      <c r="AQ161" s="20"/>
    </row>
    <row r="162" spans="1:43" ht="15.75" customHeight="1" x14ac:dyDescent="0.2">
      <c r="A162" s="21">
        <v>7451</v>
      </c>
      <c r="B162" s="16" t="s">
        <v>364</v>
      </c>
      <c r="C162" s="16" t="s">
        <v>444</v>
      </c>
      <c r="D162" s="22"/>
      <c r="E162" s="16" t="s">
        <v>452</v>
      </c>
      <c r="F162" s="13">
        <v>2007</v>
      </c>
      <c r="G162" s="13">
        <v>2010</v>
      </c>
      <c r="H162" s="13">
        <v>0</v>
      </c>
      <c r="I162" s="13">
        <v>2.5</v>
      </c>
      <c r="J162" s="23">
        <v>1</v>
      </c>
      <c r="K162" s="13">
        <v>2.5</v>
      </c>
      <c r="L162" s="13">
        <v>0</v>
      </c>
      <c r="M162" s="13">
        <v>0</v>
      </c>
      <c r="N162" s="13">
        <v>3</v>
      </c>
      <c r="O162" s="16"/>
      <c r="P162" s="16" t="s">
        <v>43</v>
      </c>
      <c r="Q162" s="24">
        <v>320</v>
      </c>
      <c r="R162" s="16" t="s">
        <v>36</v>
      </c>
      <c r="S162" s="13">
        <v>2008</v>
      </c>
      <c r="T162" s="13">
        <v>1.25</v>
      </c>
      <c r="U162" s="13">
        <f t="shared" si="0"/>
        <v>400</v>
      </c>
      <c r="V162" s="25">
        <f t="shared" si="1"/>
        <v>160</v>
      </c>
      <c r="W162" s="15">
        <f t="shared" si="2"/>
        <v>1</v>
      </c>
      <c r="X162" s="15">
        <f t="shared" si="3"/>
        <v>2.5</v>
      </c>
      <c r="Y162" s="15">
        <f t="shared" si="4"/>
        <v>2.5</v>
      </c>
      <c r="Z162" s="13">
        <f t="shared" si="5"/>
        <v>0</v>
      </c>
      <c r="AA162" s="16">
        <f>VLOOKUP(S162,[1]CPI!$A$2:$D$67,4,0)</f>
        <v>1.2585519012740187</v>
      </c>
      <c r="AB162" s="17">
        <f t="shared" si="6"/>
        <v>503.42076050960748</v>
      </c>
      <c r="AC162" s="17">
        <f t="shared" si="7"/>
        <v>201.368304203843</v>
      </c>
      <c r="AD162" s="16" t="s">
        <v>43</v>
      </c>
      <c r="AE162" s="29" t="s">
        <v>453</v>
      </c>
      <c r="AF162" s="19"/>
      <c r="AG162" s="19"/>
      <c r="AH162" s="19"/>
      <c r="AI162" s="19"/>
      <c r="AJ162" s="20"/>
      <c r="AK162" s="20"/>
      <c r="AL162" s="20"/>
      <c r="AM162" s="20"/>
      <c r="AN162" s="20"/>
      <c r="AO162" s="20"/>
      <c r="AP162" s="20"/>
      <c r="AQ162" s="20"/>
    </row>
    <row r="163" spans="1:43" ht="15.75" customHeight="1" x14ac:dyDescent="0.2">
      <c r="A163" s="21">
        <v>7456</v>
      </c>
      <c r="B163" s="16" t="s">
        <v>364</v>
      </c>
      <c r="C163" s="16" t="s">
        <v>444</v>
      </c>
      <c r="D163" s="22"/>
      <c r="E163" s="16" t="s">
        <v>454</v>
      </c>
      <c r="F163" s="13">
        <v>2003</v>
      </c>
      <c r="G163" s="13">
        <v>2026</v>
      </c>
      <c r="H163" s="13">
        <v>0</v>
      </c>
      <c r="I163" s="13">
        <v>47.8</v>
      </c>
      <c r="J163" s="23">
        <v>0.91</v>
      </c>
      <c r="K163" s="13">
        <v>43.7</v>
      </c>
      <c r="L163" s="13">
        <v>0</v>
      </c>
      <c r="M163" s="13">
        <v>0</v>
      </c>
      <c r="N163" s="13">
        <v>52</v>
      </c>
      <c r="O163" s="16"/>
      <c r="P163" s="16" t="s">
        <v>35</v>
      </c>
      <c r="Q163" s="24">
        <v>5954</v>
      </c>
      <c r="R163" s="16" t="s">
        <v>36</v>
      </c>
      <c r="S163" s="13">
        <v>2014</v>
      </c>
      <c r="T163" s="13">
        <v>1.3</v>
      </c>
      <c r="U163" s="13">
        <f t="shared" si="0"/>
        <v>7740.2</v>
      </c>
      <c r="V163" s="25">
        <f t="shared" si="1"/>
        <v>161.92887029288704</v>
      </c>
      <c r="W163" s="15">
        <f t="shared" si="2"/>
        <v>1</v>
      </c>
      <c r="X163" s="15">
        <f t="shared" si="3"/>
        <v>47.8</v>
      </c>
      <c r="Y163" s="15">
        <f t="shared" si="4"/>
        <v>43.7</v>
      </c>
      <c r="Z163" s="13">
        <f t="shared" si="5"/>
        <v>0</v>
      </c>
      <c r="AA163" s="16">
        <f>VLOOKUP(S163,[1]CPI!$A$2:$D$67,4,0)</f>
        <v>1.1446083400919169</v>
      </c>
      <c r="AB163" s="17">
        <f t="shared" si="6"/>
        <v>8859.4974739794543</v>
      </c>
      <c r="AC163" s="17">
        <f t="shared" si="7"/>
        <v>185.34513543890074</v>
      </c>
      <c r="AD163" s="16" t="s">
        <v>35</v>
      </c>
      <c r="AE163" s="26" t="s">
        <v>455</v>
      </c>
      <c r="AF163" s="19"/>
      <c r="AG163" s="19"/>
      <c r="AH163" s="19"/>
      <c r="AI163" s="19"/>
      <c r="AJ163" s="20"/>
      <c r="AK163" s="20"/>
      <c r="AL163" s="20"/>
      <c r="AM163" s="20"/>
      <c r="AN163" s="20"/>
      <c r="AO163" s="20"/>
      <c r="AP163" s="20"/>
      <c r="AQ163" s="20"/>
    </row>
    <row r="164" spans="1:43" ht="15.75" customHeight="1" x14ac:dyDescent="0.2">
      <c r="A164" s="21">
        <v>7457</v>
      </c>
      <c r="B164" s="16" t="s">
        <v>364</v>
      </c>
      <c r="C164" s="16" t="s">
        <v>456</v>
      </c>
      <c r="D164" s="22"/>
      <c r="E164" s="16" t="s">
        <v>103</v>
      </c>
      <c r="F164" s="13">
        <v>2007</v>
      </c>
      <c r="G164" s="13">
        <v>2016</v>
      </c>
      <c r="H164" s="13">
        <v>0</v>
      </c>
      <c r="I164" s="13">
        <v>5.9</v>
      </c>
      <c r="J164" s="23">
        <v>0.95</v>
      </c>
      <c r="K164" s="13">
        <v>5.6</v>
      </c>
      <c r="L164" s="13">
        <v>0</v>
      </c>
      <c r="M164" s="13">
        <v>0</v>
      </c>
      <c r="N164" s="13">
        <v>7</v>
      </c>
      <c r="O164" s="16"/>
      <c r="P164" s="16" t="s">
        <v>94</v>
      </c>
      <c r="Q164" s="24">
        <v>279</v>
      </c>
      <c r="R164" s="16" t="s">
        <v>36</v>
      </c>
      <c r="S164" s="13">
        <v>2011</v>
      </c>
      <c r="T164" s="13">
        <v>1.3</v>
      </c>
      <c r="U164" s="13">
        <f t="shared" si="0"/>
        <v>362.7</v>
      </c>
      <c r="V164" s="25">
        <f t="shared" si="1"/>
        <v>61.474576271186436</v>
      </c>
      <c r="W164" s="15">
        <f t="shared" si="2"/>
        <v>1</v>
      </c>
      <c r="X164" s="15">
        <f t="shared" si="3"/>
        <v>5.9</v>
      </c>
      <c r="Y164" s="15">
        <f t="shared" si="4"/>
        <v>5.6</v>
      </c>
      <c r="Z164" s="13">
        <f t="shared" si="5"/>
        <v>0</v>
      </c>
      <c r="AA164" s="16">
        <f>VLOOKUP(S164,[1]CPI!$A$2:$D$67,4,0)</f>
        <v>1.2046377017769263</v>
      </c>
      <c r="AB164" s="17">
        <f t="shared" si="6"/>
        <v>436.92209443449116</v>
      </c>
      <c r="AC164" s="17">
        <f t="shared" si="7"/>
        <v>74.054592277032398</v>
      </c>
      <c r="AD164" s="16" t="s">
        <v>43</v>
      </c>
      <c r="AE164" s="29" t="s">
        <v>457</v>
      </c>
      <c r="AF164" s="19"/>
      <c r="AG164" s="19"/>
      <c r="AH164" s="19"/>
      <c r="AI164" s="19"/>
      <c r="AJ164" s="20"/>
      <c r="AK164" s="20"/>
      <c r="AL164" s="20"/>
      <c r="AM164" s="20"/>
      <c r="AN164" s="20"/>
      <c r="AO164" s="20"/>
      <c r="AP164" s="20"/>
      <c r="AQ164" s="20"/>
    </row>
    <row r="165" spans="1:43" ht="15.75" customHeight="1" x14ac:dyDescent="0.2">
      <c r="A165" s="21">
        <v>7458</v>
      </c>
      <c r="B165" s="16" t="s">
        <v>364</v>
      </c>
      <c r="C165" s="16" t="s">
        <v>458</v>
      </c>
      <c r="D165" s="22"/>
      <c r="E165" s="16" t="s">
        <v>92</v>
      </c>
      <c r="F165" s="13">
        <v>2003</v>
      </c>
      <c r="G165" s="13">
        <v>2009</v>
      </c>
      <c r="H165" s="13">
        <v>0</v>
      </c>
      <c r="I165" s="13">
        <v>18.2</v>
      </c>
      <c r="J165" s="23">
        <v>0.64</v>
      </c>
      <c r="K165" s="13">
        <v>11.6</v>
      </c>
      <c r="L165" s="13">
        <v>6.5519999999999996</v>
      </c>
      <c r="M165" s="13">
        <v>0</v>
      </c>
      <c r="N165" s="13">
        <v>22</v>
      </c>
      <c r="O165" s="16"/>
      <c r="P165" s="16" t="s">
        <v>94</v>
      </c>
      <c r="Q165" s="24">
        <v>892</v>
      </c>
      <c r="R165" s="16" t="s">
        <v>36</v>
      </c>
      <c r="S165" s="13">
        <v>2006</v>
      </c>
      <c r="T165" s="13">
        <v>1.25</v>
      </c>
      <c r="U165" s="13">
        <f t="shared" si="0"/>
        <v>1115</v>
      </c>
      <c r="V165" s="25">
        <f t="shared" si="1"/>
        <v>61.263736263736263</v>
      </c>
      <c r="W165" s="15">
        <f t="shared" si="2"/>
        <v>1</v>
      </c>
      <c r="X165" s="15">
        <f t="shared" si="3"/>
        <v>18.2</v>
      </c>
      <c r="Y165" s="15">
        <f t="shared" si="4"/>
        <v>11.6</v>
      </c>
      <c r="Z165" s="13">
        <f t="shared" si="5"/>
        <v>0</v>
      </c>
      <c r="AA165" s="16">
        <f>VLOOKUP(S165,[1]CPI!$A$2:$D$67,4,0)</f>
        <v>1.3440972222222225</v>
      </c>
      <c r="AB165" s="17">
        <f t="shared" si="6"/>
        <v>1498.6684027777781</v>
      </c>
      <c r="AC165" s="17">
        <f t="shared" si="7"/>
        <v>82.344417735042754</v>
      </c>
      <c r="AD165" s="16" t="s">
        <v>43</v>
      </c>
      <c r="AE165" s="26" t="s">
        <v>459</v>
      </c>
      <c r="AF165" s="19"/>
      <c r="AG165" s="19"/>
      <c r="AH165" s="19"/>
      <c r="AI165" s="19"/>
      <c r="AJ165" s="20"/>
      <c r="AK165" s="20"/>
      <c r="AL165" s="20"/>
      <c r="AM165" s="20"/>
      <c r="AN165" s="20"/>
      <c r="AO165" s="20"/>
      <c r="AP165" s="20"/>
      <c r="AQ165" s="20"/>
    </row>
    <row r="166" spans="1:43" ht="15.75" customHeight="1" x14ac:dyDescent="0.2">
      <c r="A166" s="21">
        <v>7459</v>
      </c>
      <c r="B166" s="16" t="s">
        <v>364</v>
      </c>
      <c r="C166" s="16" t="s">
        <v>460</v>
      </c>
      <c r="D166" s="22"/>
      <c r="E166" s="16" t="s">
        <v>326</v>
      </c>
      <c r="F166" s="13">
        <v>2006</v>
      </c>
      <c r="G166" s="13">
        <v>2014</v>
      </c>
      <c r="H166" s="13">
        <v>0</v>
      </c>
      <c r="I166" s="13">
        <v>11.3</v>
      </c>
      <c r="J166" s="23">
        <v>0.81</v>
      </c>
      <c r="K166" s="13">
        <v>9.1999999999999993</v>
      </c>
      <c r="L166" s="13">
        <v>0</v>
      </c>
      <c r="M166" s="13">
        <v>0</v>
      </c>
      <c r="N166" s="13">
        <v>17</v>
      </c>
      <c r="O166" s="16"/>
      <c r="P166" s="16" t="s">
        <v>50</v>
      </c>
      <c r="Q166" s="24">
        <v>870</v>
      </c>
      <c r="R166" s="16" t="s">
        <v>36</v>
      </c>
      <c r="S166" s="13">
        <v>2010</v>
      </c>
      <c r="T166" s="13">
        <v>1.3</v>
      </c>
      <c r="U166" s="13">
        <f t="shared" si="0"/>
        <v>1131</v>
      </c>
      <c r="V166" s="25">
        <f t="shared" si="1"/>
        <v>100.08849557522123</v>
      </c>
      <c r="W166" s="15">
        <f t="shared" si="2"/>
        <v>1</v>
      </c>
      <c r="X166" s="15">
        <f t="shared" si="3"/>
        <v>11.3</v>
      </c>
      <c r="Y166" s="15">
        <f t="shared" si="4"/>
        <v>9.1999999999999993</v>
      </c>
      <c r="Z166" s="13">
        <f t="shared" si="5"/>
        <v>0</v>
      </c>
      <c r="AA166" s="16">
        <f>VLOOKUP(S166,[1]CPI!$A$2:$D$67,4,0)</f>
        <v>1.2426624353377114</v>
      </c>
      <c r="AB166" s="17">
        <f t="shared" si="6"/>
        <v>1405.4512143669515</v>
      </c>
      <c r="AC166" s="17">
        <f t="shared" si="7"/>
        <v>124.37621366079216</v>
      </c>
      <c r="AD166" s="16" t="s">
        <v>43</v>
      </c>
      <c r="AE166" s="29" t="s">
        <v>461</v>
      </c>
      <c r="AF166" s="19"/>
      <c r="AG166" s="19"/>
      <c r="AH166" s="19"/>
      <c r="AI166" s="19"/>
      <c r="AJ166" s="20"/>
      <c r="AK166" s="20"/>
      <c r="AL166" s="20"/>
      <c r="AM166" s="20"/>
      <c r="AN166" s="20"/>
      <c r="AO166" s="20"/>
      <c r="AP166" s="20"/>
      <c r="AQ166" s="20"/>
    </row>
    <row r="167" spans="1:43" ht="15.75" customHeight="1" x14ac:dyDescent="0.2">
      <c r="A167" s="21">
        <v>7464</v>
      </c>
      <c r="B167" s="16" t="s">
        <v>462</v>
      </c>
      <c r="C167" s="16" t="s">
        <v>463</v>
      </c>
      <c r="D167" s="22"/>
      <c r="E167" s="16" t="s">
        <v>281</v>
      </c>
      <c r="F167" s="13">
        <v>2015</v>
      </c>
      <c r="G167" s="13">
        <v>2022</v>
      </c>
      <c r="H167" s="13">
        <v>0</v>
      </c>
      <c r="I167" s="13">
        <v>21.3</v>
      </c>
      <c r="J167" s="23">
        <v>0</v>
      </c>
      <c r="K167" s="13">
        <v>0</v>
      </c>
      <c r="L167" s="13">
        <v>0</v>
      </c>
      <c r="M167" s="13">
        <v>0</v>
      </c>
      <c r="N167" s="13">
        <v>16</v>
      </c>
      <c r="O167" s="16"/>
      <c r="P167" s="16" t="s">
        <v>43</v>
      </c>
      <c r="Q167" s="24">
        <v>334720</v>
      </c>
      <c r="R167" s="16" t="s">
        <v>464</v>
      </c>
      <c r="S167" s="13">
        <v>2019</v>
      </c>
      <c r="T167" s="13">
        <v>3.2000000000000001E-2</v>
      </c>
      <c r="U167" s="13">
        <f t="shared" si="0"/>
        <v>10711.04</v>
      </c>
      <c r="V167" s="25">
        <f t="shared" si="1"/>
        <v>502.86572769953057</v>
      </c>
      <c r="W167" s="15">
        <f t="shared" si="2"/>
        <v>0</v>
      </c>
      <c r="X167" s="15">
        <f t="shared" si="3"/>
        <v>0</v>
      </c>
      <c r="Y167" s="15">
        <f t="shared" si="4"/>
        <v>0</v>
      </c>
      <c r="Z167" s="13">
        <f t="shared" si="5"/>
        <v>0</v>
      </c>
      <c r="AA167" s="16">
        <f>VLOOKUP(S167,[1]CPI!$A$2:$D$67,4,0)</f>
        <v>1.0598966584134211</v>
      </c>
      <c r="AB167" s="17">
        <f t="shared" si="6"/>
        <v>11352.595504132491</v>
      </c>
      <c r="AC167" s="17">
        <f t="shared" si="7"/>
        <v>532.98570441936579</v>
      </c>
      <c r="AD167" s="16" t="s">
        <v>43</v>
      </c>
      <c r="AE167" s="29" t="s">
        <v>465</v>
      </c>
      <c r="AF167" s="27"/>
      <c r="AG167" s="27"/>
      <c r="AH167" s="27"/>
      <c r="AI167" s="27"/>
      <c r="AJ167" s="27"/>
      <c r="AK167" s="27"/>
      <c r="AL167" s="27"/>
      <c r="AM167" s="27"/>
      <c r="AN167" s="27"/>
      <c r="AO167" s="27"/>
      <c r="AP167" s="27"/>
      <c r="AQ167" s="27"/>
    </row>
    <row r="168" spans="1:43" ht="15.75" customHeight="1" x14ac:dyDescent="0.2">
      <c r="A168" s="21">
        <v>7465</v>
      </c>
      <c r="B168" s="16" t="s">
        <v>462</v>
      </c>
      <c r="C168" s="16" t="s">
        <v>463</v>
      </c>
      <c r="D168" s="22"/>
      <c r="E168" s="16" t="s">
        <v>92</v>
      </c>
      <c r="F168" s="13">
        <v>2020</v>
      </c>
      <c r="G168" s="13">
        <v>2026</v>
      </c>
      <c r="H168" s="13">
        <v>0</v>
      </c>
      <c r="I168" s="13">
        <v>31.2</v>
      </c>
      <c r="J168" s="23">
        <v>0.64</v>
      </c>
      <c r="K168" s="13">
        <v>19.899999999999999</v>
      </c>
      <c r="L168" s="13">
        <v>0</v>
      </c>
      <c r="M168" s="13">
        <v>0</v>
      </c>
      <c r="N168" s="13">
        <v>19</v>
      </c>
      <c r="O168" s="16"/>
      <c r="P168" s="16" t="s">
        <v>43</v>
      </c>
      <c r="Q168" s="24">
        <v>525610</v>
      </c>
      <c r="R168" s="16" t="s">
        <v>464</v>
      </c>
      <c r="S168" s="13">
        <v>2023</v>
      </c>
      <c r="T168" s="13">
        <v>3.2000000000000001E-2</v>
      </c>
      <c r="U168" s="13">
        <f t="shared" si="0"/>
        <v>16819.52</v>
      </c>
      <c r="V168" s="25">
        <f t="shared" si="1"/>
        <v>539.08717948717947</v>
      </c>
      <c r="W168" s="15">
        <f t="shared" si="2"/>
        <v>0</v>
      </c>
      <c r="X168" s="15">
        <f t="shared" si="3"/>
        <v>0</v>
      </c>
      <c r="Y168" s="15">
        <f t="shared" si="4"/>
        <v>0</v>
      </c>
      <c r="Z168" s="13">
        <f t="shared" si="5"/>
        <v>0</v>
      </c>
      <c r="AA168" s="16">
        <f>VLOOKUP(S168,[1]CPI!$A$2:$D$67,4,0)</f>
        <v>1</v>
      </c>
      <c r="AB168" s="17">
        <f t="shared" si="6"/>
        <v>16819.52</v>
      </c>
      <c r="AC168" s="17">
        <f t="shared" si="7"/>
        <v>539.08717948717947</v>
      </c>
      <c r="AD168" s="16" t="s">
        <v>43</v>
      </c>
      <c r="AE168" s="29" t="s">
        <v>466</v>
      </c>
      <c r="AF168" s="27"/>
      <c r="AG168" s="27"/>
      <c r="AH168" s="27"/>
      <c r="AI168" s="27"/>
      <c r="AJ168" s="28"/>
      <c r="AK168" s="28"/>
      <c r="AL168" s="28"/>
      <c r="AM168" s="28"/>
      <c r="AN168" s="28"/>
      <c r="AO168" s="28"/>
      <c r="AP168" s="28"/>
      <c r="AQ168" s="28"/>
    </row>
    <row r="169" spans="1:43" ht="15.75" customHeight="1" x14ac:dyDescent="0.2">
      <c r="A169" s="21">
        <v>7466</v>
      </c>
      <c r="B169" s="16" t="s">
        <v>462</v>
      </c>
      <c r="C169" s="16" t="s">
        <v>463</v>
      </c>
      <c r="D169" s="22"/>
      <c r="E169" s="16" t="s">
        <v>119</v>
      </c>
      <c r="F169" s="13">
        <v>2020</v>
      </c>
      <c r="G169" s="13">
        <v>2028</v>
      </c>
      <c r="H169" s="13">
        <v>0</v>
      </c>
      <c r="I169" s="13">
        <v>19.600000000000001</v>
      </c>
      <c r="J169" s="23">
        <v>0.7</v>
      </c>
      <c r="K169" s="13">
        <v>14</v>
      </c>
      <c r="L169" s="13">
        <v>0</v>
      </c>
      <c r="M169" s="13">
        <v>0</v>
      </c>
      <c r="N169" s="13">
        <v>14</v>
      </c>
      <c r="O169" s="16"/>
      <c r="P169" s="16" t="s">
        <v>43</v>
      </c>
      <c r="Q169" s="24">
        <v>412380</v>
      </c>
      <c r="R169" s="16" t="s">
        <v>464</v>
      </c>
      <c r="S169" s="13">
        <v>2024</v>
      </c>
      <c r="T169" s="13">
        <v>3.2000000000000001E-2</v>
      </c>
      <c r="U169" s="13">
        <f t="shared" si="0"/>
        <v>13196.16</v>
      </c>
      <c r="V169" s="25">
        <f t="shared" si="1"/>
        <v>673.27346938775509</v>
      </c>
      <c r="W169" s="15">
        <f t="shared" si="2"/>
        <v>0</v>
      </c>
      <c r="X169" s="15">
        <f t="shared" si="3"/>
        <v>0</v>
      </c>
      <c r="Y169" s="15">
        <f t="shared" si="4"/>
        <v>0</v>
      </c>
      <c r="Z169" s="13">
        <f t="shared" si="5"/>
        <v>0</v>
      </c>
      <c r="AA169" s="16">
        <f>VLOOKUP(S169,[1]CPI!$A$2:$D$67,4,0)</f>
        <v>1</v>
      </c>
      <c r="AB169" s="17">
        <f t="shared" si="6"/>
        <v>13196.16</v>
      </c>
      <c r="AC169" s="17">
        <f t="shared" si="7"/>
        <v>673.27346938775509</v>
      </c>
      <c r="AD169" s="16" t="s">
        <v>43</v>
      </c>
      <c r="AE169" s="29" t="s">
        <v>466</v>
      </c>
      <c r="AF169" s="27"/>
      <c r="AG169" s="27"/>
      <c r="AH169" s="27"/>
      <c r="AI169" s="27"/>
      <c r="AJ169" s="28"/>
      <c r="AK169" s="28"/>
      <c r="AL169" s="28"/>
      <c r="AM169" s="28"/>
      <c r="AN169" s="28"/>
      <c r="AO169" s="28"/>
      <c r="AP169" s="28"/>
      <c r="AQ169" s="28"/>
    </row>
    <row r="170" spans="1:43" ht="15.75" customHeight="1" x14ac:dyDescent="0.2">
      <c r="A170" s="21">
        <v>7467</v>
      </c>
      <c r="B170" s="16" t="s">
        <v>0</v>
      </c>
      <c r="C170" s="16" t="s">
        <v>467</v>
      </c>
      <c r="D170" s="22"/>
      <c r="E170" s="16" t="s">
        <v>468</v>
      </c>
      <c r="F170" s="13">
        <v>2013</v>
      </c>
      <c r="G170" s="13">
        <v>2019</v>
      </c>
      <c r="H170" s="13">
        <v>0</v>
      </c>
      <c r="I170" s="13">
        <v>15.7</v>
      </c>
      <c r="J170" s="23">
        <v>0.38</v>
      </c>
      <c r="K170" s="13">
        <v>5.9</v>
      </c>
      <c r="L170" s="13">
        <v>0</v>
      </c>
      <c r="M170" s="13">
        <v>0</v>
      </c>
      <c r="N170" s="13">
        <v>13</v>
      </c>
      <c r="O170" s="16"/>
      <c r="P170" s="16" t="s">
        <v>43</v>
      </c>
      <c r="Q170" s="24">
        <v>13776070</v>
      </c>
      <c r="R170" s="16" t="s">
        <v>469</v>
      </c>
      <c r="S170" s="13">
        <v>2016</v>
      </c>
      <c r="T170" s="13">
        <v>2.13E-4</v>
      </c>
      <c r="U170" s="13">
        <f t="shared" si="0"/>
        <v>2934.3029099999999</v>
      </c>
      <c r="V170" s="25">
        <f t="shared" si="1"/>
        <v>186.89827452229301</v>
      </c>
      <c r="W170" s="15">
        <f t="shared" si="2"/>
        <v>0</v>
      </c>
      <c r="X170" s="15">
        <f t="shared" si="3"/>
        <v>0</v>
      </c>
      <c r="Y170" s="15">
        <f t="shared" si="4"/>
        <v>0</v>
      </c>
      <c r="Z170" s="13">
        <f t="shared" si="5"/>
        <v>0</v>
      </c>
      <c r="AA170" s="16">
        <f>VLOOKUP(S170,[1]CPI!$A$2:$D$67,4,0)</f>
        <v>1.1290087372451638</v>
      </c>
      <c r="AB170" s="17">
        <f t="shared" si="6"/>
        <v>3312.8536231139096</v>
      </c>
      <c r="AC170" s="17">
        <f t="shared" si="7"/>
        <v>211.00978491171401</v>
      </c>
      <c r="AD170" s="16" t="s">
        <v>43</v>
      </c>
      <c r="AE170" s="29" t="s">
        <v>470</v>
      </c>
      <c r="AF170" s="19"/>
      <c r="AG170" s="19"/>
      <c r="AH170" s="19"/>
      <c r="AI170" s="19"/>
      <c r="AJ170" s="20"/>
      <c r="AK170" s="20"/>
      <c r="AL170" s="20"/>
      <c r="AM170" s="20"/>
      <c r="AN170" s="20"/>
      <c r="AO170" s="20"/>
      <c r="AP170" s="20"/>
      <c r="AQ170" s="20"/>
    </row>
    <row r="171" spans="1:43" ht="15.75" customHeight="1" x14ac:dyDescent="0.2">
      <c r="A171" s="21">
        <v>7472</v>
      </c>
      <c r="B171" s="16" t="s">
        <v>145</v>
      </c>
      <c r="C171" s="16" t="s">
        <v>471</v>
      </c>
      <c r="D171" s="22"/>
      <c r="E171" s="16" t="s">
        <v>472</v>
      </c>
      <c r="F171" s="13">
        <v>2005</v>
      </c>
      <c r="G171" s="13">
        <v>2007</v>
      </c>
      <c r="H171" s="13">
        <v>0</v>
      </c>
      <c r="I171" s="13">
        <v>1</v>
      </c>
      <c r="J171" s="23">
        <v>1</v>
      </c>
      <c r="K171" s="13">
        <v>1</v>
      </c>
      <c r="L171" s="13">
        <v>0</v>
      </c>
      <c r="M171" s="13">
        <v>0</v>
      </c>
      <c r="N171" s="13">
        <v>1</v>
      </c>
      <c r="O171" s="16"/>
      <c r="P171" s="16" t="s">
        <v>35</v>
      </c>
      <c r="Q171" s="24">
        <v>53</v>
      </c>
      <c r="R171" s="16" t="s">
        <v>36</v>
      </c>
      <c r="S171" s="13">
        <v>2006</v>
      </c>
      <c r="T171" s="13">
        <v>1.25</v>
      </c>
      <c r="U171" s="13">
        <f t="shared" si="0"/>
        <v>66.25</v>
      </c>
      <c r="V171" s="25">
        <f t="shared" si="1"/>
        <v>66.25</v>
      </c>
      <c r="W171" s="15">
        <f t="shared" si="2"/>
        <v>0</v>
      </c>
      <c r="X171" s="15">
        <f t="shared" si="3"/>
        <v>0</v>
      </c>
      <c r="Y171" s="15">
        <f t="shared" si="4"/>
        <v>0</v>
      </c>
      <c r="Z171" s="13">
        <f t="shared" si="5"/>
        <v>0</v>
      </c>
      <c r="AA171" s="16">
        <f>VLOOKUP(S171,[1]CPI!$A$2:$D$67,4,0)</f>
        <v>1.3440972222222225</v>
      </c>
      <c r="AB171" s="17">
        <f t="shared" si="6"/>
        <v>89.046440972222243</v>
      </c>
      <c r="AC171" s="17">
        <f t="shared" si="7"/>
        <v>89.046440972222243</v>
      </c>
      <c r="AD171" s="16" t="s">
        <v>35</v>
      </c>
      <c r="AE171" s="29" t="s">
        <v>473</v>
      </c>
      <c r="AF171" s="19"/>
      <c r="AG171" s="19"/>
      <c r="AH171" s="19"/>
      <c r="AI171" s="19"/>
      <c r="AJ171" s="20"/>
      <c r="AK171" s="20"/>
      <c r="AL171" s="20"/>
      <c r="AM171" s="20"/>
      <c r="AN171" s="20"/>
      <c r="AO171" s="20"/>
      <c r="AP171" s="20"/>
      <c r="AQ171" s="20"/>
    </row>
    <row r="172" spans="1:43" ht="15.75" customHeight="1" x14ac:dyDescent="0.2">
      <c r="A172" s="21">
        <v>7473</v>
      </c>
      <c r="B172" s="16" t="s">
        <v>145</v>
      </c>
      <c r="C172" s="16" t="s">
        <v>471</v>
      </c>
      <c r="D172" s="22" t="s">
        <v>474</v>
      </c>
      <c r="E172" s="16" t="s">
        <v>475</v>
      </c>
      <c r="F172" s="13">
        <v>2009</v>
      </c>
      <c r="G172" s="13">
        <v>2013</v>
      </c>
      <c r="H172" s="13">
        <v>0</v>
      </c>
      <c r="I172" s="13">
        <v>1.8</v>
      </c>
      <c r="J172" s="23">
        <v>1</v>
      </c>
      <c r="K172" s="13">
        <v>1.8</v>
      </c>
      <c r="L172" s="13">
        <v>0</v>
      </c>
      <c r="M172" s="13">
        <v>0</v>
      </c>
      <c r="N172" s="13">
        <v>1</v>
      </c>
      <c r="O172" s="16"/>
      <c r="P172" s="16" t="s">
        <v>43</v>
      </c>
      <c r="Q172" s="24">
        <v>222</v>
      </c>
      <c r="R172" s="16" t="s">
        <v>36</v>
      </c>
      <c r="S172" s="13">
        <v>2011</v>
      </c>
      <c r="T172" s="13">
        <v>1.3</v>
      </c>
      <c r="U172" s="13">
        <f t="shared" si="0"/>
        <v>288.60000000000002</v>
      </c>
      <c r="V172" s="25">
        <f t="shared" si="1"/>
        <v>160.33333333333334</v>
      </c>
      <c r="W172" s="15">
        <f t="shared" si="2"/>
        <v>0</v>
      </c>
      <c r="X172" s="15">
        <f t="shared" si="3"/>
        <v>0</v>
      </c>
      <c r="Y172" s="15">
        <f t="shared" si="4"/>
        <v>0</v>
      </c>
      <c r="Z172" s="13">
        <f t="shared" si="5"/>
        <v>0</v>
      </c>
      <c r="AA172" s="16">
        <f>VLOOKUP(S172,[1]CPI!$A$2:$D$67,4,0)</f>
        <v>1.2046377017769263</v>
      </c>
      <c r="AB172" s="17">
        <f t="shared" si="6"/>
        <v>347.65844073282096</v>
      </c>
      <c r="AC172" s="17">
        <f t="shared" si="7"/>
        <v>193.14357818490052</v>
      </c>
      <c r="AD172" s="16" t="s">
        <v>43</v>
      </c>
      <c r="AE172" s="29" t="s">
        <v>476</v>
      </c>
      <c r="AF172" s="19"/>
      <c r="AG172" s="19"/>
      <c r="AH172" s="19"/>
      <c r="AI172" s="19"/>
      <c r="AJ172" s="20"/>
      <c r="AK172" s="20"/>
      <c r="AL172" s="20"/>
      <c r="AM172" s="20"/>
      <c r="AN172" s="20"/>
      <c r="AO172" s="20"/>
      <c r="AP172" s="20"/>
      <c r="AQ172" s="20"/>
    </row>
    <row r="173" spans="1:43" ht="15.75" customHeight="1" x14ac:dyDescent="0.2">
      <c r="A173" s="21">
        <v>7474</v>
      </c>
      <c r="B173" s="16" t="s">
        <v>145</v>
      </c>
      <c r="C173" s="16" t="s">
        <v>471</v>
      </c>
      <c r="D173" s="22" t="s">
        <v>474</v>
      </c>
      <c r="E173" s="16" t="s">
        <v>477</v>
      </c>
      <c r="F173" s="13">
        <v>2017</v>
      </c>
      <c r="G173" s="13">
        <v>2023</v>
      </c>
      <c r="H173" s="13">
        <v>0</v>
      </c>
      <c r="I173" s="13">
        <v>2.5</v>
      </c>
      <c r="J173" s="23">
        <v>1</v>
      </c>
      <c r="K173" s="13">
        <v>2.5</v>
      </c>
      <c r="L173" s="13">
        <v>0</v>
      </c>
      <c r="M173" s="13">
        <v>0</v>
      </c>
      <c r="N173" s="13">
        <v>2</v>
      </c>
      <c r="O173" s="16"/>
      <c r="P173" s="16" t="s">
        <v>35</v>
      </c>
      <c r="Q173" s="24">
        <v>394</v>
      </c>
      <c r="R173" s="16" t="s">
        <v>36</v>
      </c>
      <c r="S173" s="13">
        <v>2020</v>
      </c>
      <c r="T173" s="13">
        <v>1.3</v>
      </c>
      <c r="U173" s="13">
        <f t="shared" si="0"/>
        <v>512.20000000000005</v>
      </c>
      <c r="V173" s="25">
        <f t="shared" si="1"/>
        <v>204.88000000000002</v>
      </c>
      <c r="W173" s="15">
        <f t="shared" si="2"/>
        <v>0</v>
      </c>
      <c r="X173" s="15">
        <f t="shared" si="3"/>
        <v>0</v>
      </c>
      <c r="Y173" s="15">
        <f t="shared" si="4"/>
        <v>0</v>
      </c>
      <c r="Z173" s="13">
        <f t="shared" si="5"/>
        <v>0</v>
      </c>
      <c r="AA173" s="16">
        <f>VLOOKUP(S173,[1]CPI!$A$2:$D$67,4,0)</f>
        <v>1.0469802288156225</v>
      </c>
      <c r="AB173" s="17">
        <f t="shared" si="6"/>
        <v>536.26327319936183</v>
      </c>
      <c r="AC173" s="17">
        <f t="shared" si="7"/>
        <v>214.50530927974475</v>
      </c>
      <c r="AD173" s="16" t="s">
        <v>35</v>
      </c>
      <c r="AE173" s="26" t="s">
        <v>478</v>
      </c>
      <c r="AF173" s="19"/>
      <c r="AG173" s="19"/>
      <c r="AH173" s="19"/>
      <c r="AI173" s="19"/>
      <c r="AJ173" s="20"/>
      <c r="AK173" s="20"/>
      <c r="AL173" s="20"/>
      <c r="AM173" s="20"/>
      <c r="AN173" s="20"/>
      <c r="AO173" s="20"/>
      <c r="AP173" s="20"/>
      <c r="AQ173" s="20"/>
    </row>
    <row r="174" spans="1:43" ht="15.75" customHeight="1" x14ac:dyDescent="0.2">
      <c r="A174" s="21">
        <v>7475</v>
      </c>
      <c r="B174" s="16" t="s">
        <v>479</v>
      </c>
      <c r="C174" s="16" t="s">
        <v>480</v>
      </c>
      <c r="D174" s="22"/>
      <c r="E174" s="16" t="s">
        <v>481</v>
      </c>
      <c r="F174" s="13">
        <v>2015</v>
      </c>
      <c r="G174" s="13">
        <v>2020</v>
      </c>
      <c r="H174" s="13">
        <v>0</v>
      </c>
      <c r="I174" s="13">
        <v>27.1</v>
      </c>
      <c r="J174" s="23">
        <v>0.06</v>
      </c>
      <c r="K174" s="13">
        <v>1.6</v>
      </c>
      <c r="L174" s="13">
        <v>0</v>
      </c>
      <c r="M174" s="13">
        <v>0</v>
      </c>
      <c r="N174" s="13">
        <v>26</v>
      </c>
      <c r="O174" s="16"/>
      <c r="P174" s="16" t="s">
        <v>50</v>
      </c>
      <c r="Q174" s="24">
        <v>183000</v>
      </c>
      <c r="R174" s="16" t="s">
        <v>482</v>
      </c>
      <c r="S174" s="13">
        <v>2017</v>
      </c>
      <c r="T174" s="13">
        <v>3.3000000000000002E-2</v>
      </c>
      <c r="U174" s="13">
        <f t="shared" si="0"/>
        <v>6039</v>
      </c>
      <c r="V174" s="25">
        <f t="shared" si="1"/>
        <v>222.84132841328412</v>
      </c>
      <c r="W174" s="15">
        <f t="shared" si="2"/>
        <v>0</v>
      </c>
      <c r="X174" s="15">
        <f t="shared" si="3"/>
        <v>0</v>
      </c>
      <c r="Y174" s="15">
        <f t="shared" si="4"/>
        <v>0</v>
      </c>
      <c r="Z174" s="13">
        <f t="shared" si="5"/>
        <v>0</v>
      </c>
      <c r="AA174" s="16">
        <f>VLOOKUP(S174,[1]CPI!$A$2:$D$67,4,0)</f>
        <v>1.1054585509138382</v>
      </c>
      <c r="AB174" s="17">
        <f t="shared" si="6"/>
        <v>6675.8641889686687</v>
      </c>
      <c r="AC174" s="17">
        <f t="shared" si="7"/>
        <v>246.34185199146376</v>
      </c>
      <c r="AD174" s="16" t="s">
        <v>43</v>
      </c>
      <c r="AE174" s="26" t="s">
        <v>483</v>
      </c>
      <c r="AF174" s="19"/>
      <c r="AG174" s="19"/>
      <c r="AH174" s="19"/>
      <c r="AI174" s="19"/>
      <c r="AJ174" s="20"/>
      <c r="AK174" s="20"/>
      <c r="AL174" s="20"/>
      <c r="AM174" s="20"/>
      <c r="AN174" s="20"/>
      <c r="AO174" s="20"/>
      <c r="AP174" s="20"/>
      <c r="AQ174" s="20"/>
    </row>
    <row r="175" spans="1:43" ht="15.75" customHeight="1" x14ac:dyDescent="0.2">
      <c r="A175" s="21">
        <v>7480</v>
      </c>
      <c r="B175" s="16" t="s">
        <v>484</v>
      </c>
      <c r="C175" s="16" t="s">
        <v>485</v>
      </c>
      <c r="D175" s="22" t="s">
        <v>486</v>
      </c>
      <c r="E175" s="16" t="s">
        <v>487</v>
      </c>
      <c r="F175" s="13">
        <v>2012</v>
      </c>
      <c r="G175" s="13">
        <v>2018</v>
      </c>
      <c r="H175" s="13">
        <v>0</v>
      </c>
      <c r="I175" s="13">
        <v>12.8</v>
      </c>
      <c r="J175" s="23">
        <v>0</v>
      </c>
      <c r="K175" s="13">
        <v>0</v>
      </c>
      <c r="L175" s="13">
        <v>0</v>
      </c>
      <c r="M175" s="13">
        <v>0</v>
      </c>
      <c r="N175" s="13">
        <v>9</v>
      </c>
      <c r="O175" s="16"/>
      <c r="P175" s="16" t="s">
        <v>35</v>
      </c>
      <c r="Q175" s="24">
        <v>21904</v>
      </c>
      <c r="R175" s="16" t="s">
        <v>488</v>
      </c>
      <c r="S175" s="13">
        <v>2007</v>
      </c>
      <c r="T175" s="13">
        <v>8.6999999999999994E-2</v>
      </c>
      <c r="U175" s="13">
        <f t="shared" si="0"/>
        <v>1905.6479999999999</v>
      </c>
      <c r="V175" s="25">
        <f t="shared" si="1"/>
        <v>148.87875</v>
      </c>
      <c r="W175" s="15">
        <f t="shared" si="2"/>
        <v>0</v>
      </c>
      <c r="X175" s="15">
        <f t="shared" si="3"/>
        <v>0</v>
      </c>
      <c r="Y175" s="15">
        <f t="shared" si="4"/>
        <v>0</v>
      </c>
      <c r="Z175" s="13">
        <f t="shared" si="5"/>
        <v>0</v>
      </c>
      <c r="AA175" s="16">
        <f>VLOOKUP(S175,[1]CPI!$A$2:$D$67,4,0)</f>
        <v>1.3068746322500988</v>
      </c>
      <c r="AB175" s="17">
        <f t="shared" si="6"/>
        <v>2490.4430291981362</v>
      </c>
      <c r="AC175" s="17">
        <f t="shared" si="7"/>
        <v>194.5658616561044</v>
      </c>
      <c r="AD175" s="16" t="s">
        <v>35</v>
      </c>
      <c r="AE175" s="29" t="s">
        <v>489</v>
      </c>
      <c r="AF175" s="19"/>
      <c r="AG175" s="19"/>
      <c r="AH175" s="19"/>
      <c r="AI175" s="19"/>
      <c r="AJ175" s="20"/>
      <c r="AK175" s="20"/>
      <c r="AL175" s="20"/>
      <c r="AM175" s="20"/>
      <c r="AN175" s="20"/>
      <c r="AO175" s="20"/>
      <c r="AP175" s="20"/>
      <c r="AQ175" s="20"/>
    </row>
    <row r="176" spans="1:43" ht="15.75" customHeight="1" x14ac:dyDescent="0.2">
      <c r="A176" s="21">
        <v>7481</v>
      </c>
      <c r="B176" s="16" t="s">
        <v>484</v>
      </c>
      <c r="C176" s="16" t="s">
        <v>485</v>
      </c>
      <c r="D176" s="22" t="s">
        <v>486</v>
      </c>
      <c r="E176" s="16" t="s">
        <v>490</v>
      </c>
      <c r="F176" s="13">
        <v>2015</v>
      </c>
      <c r="G176" s="13">
        <v>2020</v>
      </c>
      <c r="H176" s="13">
        <v>0</v>
      </c>
      <c r="I176" s="13">
        <v>19</v>
      </c>
      <c r="J176" s="23">
        <v>0</v>
      </c>
      <c r="K176" s="13">
        <v>0</v>
      </c>
      <c r="L176" s="13">
        <v>0</v>
      </c>
      <c r="M176" s="13">
        <v>0</v>
      </c>
      <c r="N176" s="13">
        <v>16</v>
      </c>
      <c r="O176" s="16"/>
      <c r="P176" s="16" t="s">
        <v>35</v>
      </c>
      <c r="Q176" s="24">
        <v>58862</v>
      </c>
      <c r="R176" s="16" t="s">
        <v>488</v>
      </c>
      <c r="S176" s="13">
        <v>2017</v>
      </c>
      <c r="T176" s="13">
        <v>8.1000000000000003E-2</v>
      </c>
      <c r="U176" s="13">
        <f t="shared" si="0"/>
        <v>4767.8220000000001</v>
      </c>
      <c r="V176" s="25">
        <f t="shared" si="1"/>
        <v>250.93800000000002</v>
      </c>
      <c r="W176" s="15">
        <f t="shared" si="2"/>
        <v>0</v>
      </c>
      <c r="X176" s="15">
        <f t="shared" si="3"/>
        <v>0</v>
      </c>
      <c r="Y176" s="15">
        <f t="shared" si="4"/>
        <v>0</v>
      </c>
      <c r="Z176" s="13">
        <f t="shared" si="5"/>
        <v>0</v>
      </c>
      <c r="AA176" s="16">
        <f>VLOOKUP(S176,[1]CPI!$A$2:$D$67,4,0)</f>
        <v>1.1054585509138382</v>
      </c>
      <c r="AB176" s="17">
        <f t="shared" si="6"/>
        <v>5270.629599135118</v>
      </c>
      <c r="AC176" s="17">
        <f t="shared" si="7"/>
        <v>277.40155784921672</v>
      </c>
      <c r="AD176" s="16" t="s">
        <v>35</v>
      </c>
      <c r="AE176" s="29" t="s">
        <v>489</v>
      </c>
      <c r="AF176" s="19"/>
      <c r="AG176" s="19"/>
      <c r="AH176" s="19"/>
      <c r="AI176" s="19"/>
      <c r="AJ176" s="20"/>
      <c r="AK176" s="20"/>
      <c r="AL176" s="20"/>
      <c r="AM176" s="20"/>
      <c r="AN176" s="20"/>
      <c r="AO176" s="20"/>
      <c r="AP176" s="20"/>
      <c r="AQ176" s="20"/>
    </row>
    <row r="177" spans="1:43" ht="15.75" customHeight="1" x14ac:dyDescent="0.2">
      <c r="A177" s="21">
        <v>7482</v>
      </c>
      <c r="B177" s="16" t="s">
        <v>484</v>
      </c>
      <c r="C177" s="16" t="s">
        <v>485</v>
      </c>
      <c r="D177" s="22"/>
      <c r="E177" s="16" t="s">
        <v>61</v>
      </c>
      <c r="F177" s="13">
        <v>2011</v>
      </c>
      <c r="G177" s="13">
        <v>2020</v>
      </c>
      <c r="H177" s="13">
        <v>0</v>
      </c>
      <c r="I177" s="13">
        <v>26.9</v>
      </c>
      <c r="J177" s="23">
        <v>0.2</v>
      </c>
      <c r="K177" s="13">
        <v>5.4</v>
      </c>
      <c r="L177" s="13">
        <v>0</v>
      </c>
      <c r="M177" s="13">
        <v>0</v>
      </c>
      <c r="N177" s="13">
        <v>19</v>
      </c>
      <c r="O177" s="16"/>
      <c r="P177" s="16" t="s">
        <v>35</v>
      </c>
      <c r="Q177" s="24">
        <v>71687</v>
      </c>
      <c r="R177" s="16" t="s">
        <v>488</v>
      </c>
      <c r="S177" s="13">
        <v>2015</v>
      </c>
      <c r="T177" s="13">
        <v>8.1000000000000003E-2</v>
      </c>
      <c r="U177" s="13">
        <f t="shared" si="0"/>
        <v>5806.6469999999999</v>
      </c>
      <c r="V177" s="25">
        <f t="shared" si="1"/>
        <v>215.86048327137547</v>
      </c>
      <c r="W177" s="15">
        <f t="shared" si="2"/>
        <v>0</v>
      </c>
      <c r="X177" s="15">
        <f t="shared" si="3"/>
        <v>0</v>
      </c>
      <c r="Y177" s="15">
        <f t="shared" si="4"/>
        <v>0</v>
      </c>
      <c r="Z177" s="13">
        <f t="shared" si="5"/>
        <v>0</v>
      </c>
      <c r="AA177" s="16">
        <f>VLOOKUP(S177,[1]CPI!$A$2:$D$67,4,0)</f>
        <v>1.143251327963817</v>
      </c>
      <c r="AB177" s="17">
        <f t="shared" si="6"/>
        <v>6638.4568937671138</v>
      </c>
      <c r="AC177" s="17">
        <f t="shared" si="7"/>
        <v>246.78278415491133</v>
      </c>
      <c r="AD177" s="16" t="s">
        <v>35</v>
      </c>
      <c r="AE177" s="29" t="s">
        <v>491</v>
      </c>
      <c r="AF177" s="19"/>
      <c r="AG177" s="19"/>
      <c r="AH177" s="19"/>
      <c r="AI177" s="19"/>
      <c r="AJ177" s="20"/>
      <c r="AK177" s="20"/>
      <c r="AL177" s="20"/>
      <c r="AM177" s="20"/>
      <c r="AN177" s="20"/>
      <c r="AO177" s="20"/>
      <c r="AP177" s="20"/>
      <c r="AQ177" s="20"/>
    </row>
    <row r="178" spans="1:43" ht="15.75" customHeight="1" x14ac:dyDescent="0.2">
      <c r="A178" s="21">
        <v>7483</v>
      </c>
      <c r="B178" s="16" t="s">
        <v>484</v>
      </c>
      <c r="C178" s="16" t="s">
        <v>485</v>
      </c>
      <c r="D178" s="22"/>
      <c r="E178" s="16" t="s">
        <v>492</v>
      </c>
      <c r="F178" s="13">
        <v>2020</v>
      </c>
      <c r="G178" s="16"/>
      <c r="H178" s="13">
        <v>0</v>
      </c>
      <c r="I178" s="13">
        <v>22.1</v>
      </c>
      <c r="J178" s="23">
        <v>0</v>
      </c>
      <c r="K178" s="13">
        <v>0</v>
      </c>
      <c r="L178" s="13">
        <v>0</v>
      </c>
      <c r="M178" s="13">
        <v>0</v>
      </c>
      <c r="N178" s="13">
        <v>18</v>
      </c>
      <c r="O178" s="16"/>
      <c r="P178" s="16" t="s">
        <v>35</v>
      </c>
      <c r="Q178" s="24">
        <v>48386</v>
      </c>
      <c r="R178" s="16" t="s">
        <v>488</v>
      </c>
      <c r="S178" s="13">
        <v>2020</v>
      </c>
      <c r="T178" s="13">
        <v>8.1000000000000003E-2</v>
      </c>
      <c r="U178" s="13">
        <f t="shared" si="0"/>
        <v>3919.2660000000001</v>
      </c>
      <c r="V178" s="25">
        <f t="shared" si="1"/>
        <v>177.34235294117647</v>
      </c>
      <c r="W178" s="15">
        <f t="shared" si="2"/>
        <v>0</v>
      </c>
      <c r="X178" s="15">
        <f t="shared" si="3"/>
        <v>0</v>
      </c>
      <c r="Y178" s="15">
        <f t="shared" si="4"/>
        <v>0</v>
      </c>
      <c r="Z178" s="13">
        <f t="shared" si="5"/>
        <v>0</v>
      </c>
      <c r="AA178" s="16">
        <f>VLOOKUP(S178,[1]CPI!$A$2:$D$67,4,0)</f>
        <v>1.0469802288156225</v>
      </c>
      <c r="AB178" s="17">
        <f t="shared" si="6"/>
        <v>4103.3940134692893</v>
      </c>
      <c r="AC178" s="17">
        <f t="shared" si="7"/>
        <v>185.67393726105382</v>
      </c>
      <c r="AD178" s="16" t="s">
        <v>35</v>
      </c>
      <c r="AE178" s="29" t="s">
        <v>493</v>
      </c>
      <c r="AF178" s="19"/>
      <c r="AG178" s="19"/>
      <c r="AH178" s="19"/>
      <c r="AI178" s="19"/>
      <c r="AJ178" s="20"/>
      <c r="AK178" s="20"/>
      <c r="AL178" s="20"/>
      <c r="AM178" s="20"/>
      <c r="AN178" s="20"/>
      <c r="AO178" s="20"/>
      <c r="AP178" s="20"/>
      <c r="AQ178" s="20"/>
    </row>
    <row r="179" spans="1:43" ht="15.75" customHeight="1" x14ac:dyDescent="0.2">
      <c r="A179" s="21">
        <v>7488</v>
      </c>
      <c r="B179" s="16" t="s">
        <v>484</v>
      </c>
      <c r="C179" s="16" t="s">
        <v>485</v>
      </c>
      <c r="D179" s="22"/>
      <c r="E179" s="16" t="s">
        <v>494</v>
      </c>
      <c r="F179" s="13">
        <v>2017</v>
      </c>
      <c r="G179" s="13">
        <v>2022</v>
      </c>
      <c r="H179" s="13">
        <v>0</v>
      </c>
      <c r="I179" s="13">
        <v>34.5</v>
      </c>
      <c r="J179" s="23">
        <v>0</v>
      </c>
      <c r="K179" s="13">
        <v>0</v>
      </c>
      <c r="L179" s="13">
        <v>0</v>
      </c>
      <c r="M179" s="13">
        <v>0</v>
      </c>
      <c r="N179" s="13">
        <v>30</v>
      </c>
      <c r="O179" s="16"/>
      <c r="P179" s="16" t="s">
        <v>35</v>
      </c>
      <c r="Q179" s="24">
        <v>56725</v>
      </c>
      <c r="R179" s="16" t="s">
        <v>488</v>
      </c>
      <c r="S179" s="13">
        <v>2019</v>
      </c>
      <c r="T179" s="13">
        <v>8.1000000000000003E-2</v>
      </c>
      <c r="U179" s="13">
        <f t="shared" si="0"/>
        <v>4594.7250000000004</v>
      </c>
      <c r="V179" s="25">
        <f t="shared" si="1"/>
        <v>133.1804347826087</v>
      </c>
      <c r="W179" s="15">
        <f t="shared" si="2"/>
        <v>0</v>
      </c>
      <c r="X179" s="15">
        <f t="shared" si="3"/>
        <v>0</v>
      </c>
      <c r="Y179" s="15">
        <f t="shared" si="4"/>
        <v>0</v>
      </c>
      <c r="Z179" s="13">
        <f t="shared" si="5"/>
        <v>0</v>
      </c>
      <c r="AA179" s="16">
        <f>VLOOKUP(S179,[1]CPI!$A$2:$D$67,4,0)</f>
        <v>1.0598966584134211</v>
      </c>
      <c r="AB179" s="17">
        <f t="shared" si="6"/>
        <v>4869.9336738286065</v>
      </c>
      <c r="AC179" s="17">
        <f t="shared" si="7"/>
        <v>141.15749779213351</v>
      </c>
      <c r="AD179" s="16" t="s">
        <v>35</v>
      </c>
      <c r="AE179" s="26" t="s">
        <v>495</v>
      </c>
      <c r="AF179" s="19"/>
      <c r="AG179" s="19"/>
      <c r="AH179" s="19"/>
      <c r="AI179" s="19"/>
      <c r="AJ179" s="20"/>
      <c r="AK179" s="20"/>
      <c r="AL179" s="20"/>
      <c r="AM179" s="20"/>
      <c r="AN179" s="20"/>
      <c r="AO179" s="20"/>
      <c r="AP179" s="20"/>
      <c r="AQ179" s="20"/>
    </row>
    <row r="180" spans="1:43" ht="15.75" customHeight="1" x14ac:dyDescent="0.2">
      <c r="A180" s="21">
        <v>7489</v>
      </c>
      <c r="B180" s="16" t="s">
        <v>484</v>
      </c>
      <c r="C180" s="16" t="s">
        <v>485</v>
      </c>
      <c r="D180" s="22"/>
      <c r="E180" s="16" t="s">
        <v>496</v>
      </c>
      <c r="F180" s="13">
        <v>2017</v>
      </c>
      <c r="G180" s="13">
        <v>2022</v>
      </c>
      <c r="H180" s="13">
        <v>0</v>
      </c>
      <c r="I180" s="13">
        <v>30.4</v>
      </c>
      <c r="J180" s="23">
        <v>0</v>
      </c>
      <c r="K180" s="13">
        <v>0</v>
      </c>
      <c r="L180" s="13">
        <v>0</v>
      </c>
      <c r="M180" s="13">
        <v>0</v>
      </c>
      <c r="N180" s="13">
        <v>23</v>
      </c>
      <c r="O180" s="16"/>
      <c r="P180" s="16" t="s">
        <v>50</v>
      </c>
      <c r="Q180" s="24">
        <v>54768</v>
      </c>
      <c r="R180" s="16" t="s">
        <v>488</v>
      </c>
      <c r="S180" s="13">
        <v>2019</v>
      </c>
      <c r="T180" s="13">
        <v>8.1000000000000003E-2</v>
      </c>
      <c r="U180" s="13">
        <f t="shared" si="0"/>
        <v>4436.2080000000005</v>
      </c>
      <c r="V180" s="25">
        <f t="shared" si="1"/>
        <v>145.92789473684212</v>
      </c>
      <c r="W180" s="15">
        <f t="shared" si="2"/>
        <v>0</v>
      </c>
      <c r="X180" s="15">
        <f t="shared" si="3"/>
        <v>0</v>
      </c>
      <c r="Y180" s="15">
        <f t="shared" si="4"/>
        <v>0</v>
      </c>
      <c r="Z180" s="13">
        <f t="shared" si="5"/>
        <v>0</v>
      </c>
      <c r="AA180" s="16">
        <f>VLOOKUP(S180,[1]CPI!$A$2:$D$67,4,0)</f>
        <v>1.0598966584134211</v>
      </c>
      <c r="AB180" s="17">
        <f t="shared" si="6"/>
        <v>4701.9220352268867</v>
      </c>
      <c r="AC180" s="17">
        <f t="shared" si="7"/>
        <v>154.66848800088442</v>
      </c>
      <c r="AD180" s="16" t="s">
        <v>35</v>
      </c>
      <c r="AE180" s="29" t="s">
        <v>497</v>
      </c>
      <c r="AF180" s="19"/>
      <c r="AG180" s="19"/>
      <c r="AH180" s="19"/>
      <c r="AI180" s="19"/>
      <c r="AJ180" s="20"/>
      <c r="AK180" s="20"/>
      <c r="AL180" s="20"/>
      <c r="AM180" s="20"/>
      <c r="AN180" s="20"/>
      <c r="AO180" s="20"/>
      <c r="AP180" s="20"/>
      <c r="AQ180" s="20"/>
    </row>
    <row r="181" spans="1:43" ht="15.75" customHeight="1" x14ac:dyDescent="0.2">
      <c r="A181" s="21">
        <v>7490</v>
      </c>
      <c r="B181" s="16" t="s">
        <v>484</v>
      </c>
      <c r="C181" s="16" t="s">
        <v>485</v>
      </c>
      <c r="D181" s="22"/>
      <c r="E181" s="16" t="s">
        <v>481</v>
      </c>
      <c r="F181" s="13">
        <v>2017</v>
      </c>
      <c r="G181" s="13">
        <v>2025</v>
      </c>
      <c r="H181" s="13">
        <v>0</v>
      </c>
      <c r="I181" s="13">
        <v>35.9</v>
      </c>
      <c r="J181" s="23">
        <v>0.75</v>
      </c>
      <c r="K181" s="13">
        <v>27</v>
      </c>
      <c r="L181" s="13">
        <v>0</v>
      </c>
      <c r="M181" s="13">
        <v>0</v>
      </c>
      <c r="N181" s="13">
        <v>28</v>
      </c>
      <c r="O181" s="16"/>
      <c r="P181" s="16" t="s">
        <v>35</v>
      </c>
      <c r="Q181" s="24">
        <v>235320</v>
      </c>
      <c r="R181" s="16" t="s">
        <v>488</v>
      </c>
      <c r="S181" s="13">
        <v>2021</v>
      </c>
      <c r="T181" s="13">
        <v>8.1000000000000003E-2</v>
      </c>
      <c r="U181" s="13">
        <f t="shared" si="0"/>
        <v>19060.920000000002</v>
      </c>
      <c r="V181" s="25">
        <f t="shared" si="1"/>
        <v>530.94484679665743</v>
      </c>
      <c r="W181" s="15">
        <f t="shared" si="2"/>
        <v>0</v>
      </c>
      <c r="X181" s="15">
        <f t="shared" si="3"/>
        <v>0</v>
      </c>
      <c r="Y181" s="15">
        <f t="shared" si="4"/>
        <v>0</v>
      </c>
      <c r="Z181" s="13">
        <f t="shared" si="5"/>
        <v>0</v>
      </c>
      <c r="AA181" s="16">
        <f>VLOOKUP(S181,[1]CPI!$A$2:$D$67,4,0)</f>
        <v>1</v>
      </c>
      <c r="AB181" s="17">
        <f t="shared" si="6"/>
        <v>19060.920000000002</v>
      </c>
      <c r="AC181" s="17">
        <f t="shared" si="7"/>
        <v>530.94484679665743</v>
      </c>
      <c r="AD181" s="16" t="s">
        <v>35</v>
      </c>
      <c r="AE181" s="29" t="s">
        <v>498</v>
      </c>
      <c r="AF181" s="19"/>
      <c r="AG181" s="19"/>
      <c r="AH181" s="19"/>
      <c r="AI181" s="19"/>
      <c r="AJ181" s="20"/>
      <c r="AK181" s="20"/>
      <c r="AL181" s="20"/>
      <c r="AM181" s="20"/>
      <c r="AN181" s="20"/>
      <c r="AO181" s="20"/>
      <c r="AP181" s="20"/>
      <c r="AQ181" s="20"/>
    </row>
    <row r="182" spans="1:43" ht="15.75" customHeight="1" x14ac:dyDescent="0.2">
      <c r="A182" s="21">
        <v>7491</v>
      </c>
      <c r="B182" s="16" t="s">
        <v>484</v>
      </c>
      <c r="C182" s="16" t="s">
        <v>499</v>
      </c>
      <c r="D182" s="22"/>
      <c r="E182" s="16" t="s">
        <v>427</v>
      </c>
      <c r="F182" s="13">
        <v>2022</v>
      </c>
      <c r="G182" s="13">
        <v>2027</v>
      </c>
      <c r="H182" s="13">
        <v>0</v>
      </c>
      <c r="I182" s="13">
        <v>15.8</v>
      </c>
      <c r="J182" s="23">
        <v>0.46</v>
      </c>
      <c r="K182" s="13">
        <v>7.2</v>
      </c>
      <c r="L182" s="13">
        <v>0</v>
      </c>
      <c r="M182" s="13">
        <v>0</v>
      </c>
      <c r="N182" s="13">
        <v>12</v>
      </c>
      <c r="O182" s="16"/>
      <c r="P182" s="16" t="s">
        <v>94</v>
      </c>
      <c r="Q182" s="24">
        <v>27000</v>
      </c>
      <c r="R182" s="16" t="s">
        <v>488</v>
      </c>
      <c r="S182" s="13">
        <v>2024</v>
      </c>
      <c r="T182" s="13">
        <v>8.1000000000000003E-2</v>
      </c>
      <c r="U182" s="13">
        <f t="shared" si="0"/>
        <v>2187</v>
      </c>
      <c r="V182" s="25">
        <f t="shared" si="1"/>
        <v>138.41772151898735</v>
      </c>
      <c r="W182" s="15">
        <f t="shared" si="2"/>
        <v>0</v>
      </c>
      <c r="X182" s="15">
        <f t="shared" si="3"/>
        <v>0</v>
      </c>
      <c r="Y182" s="15">
        <f t="shared" si="4"/>
        <v>0</v>
      </c>
      <c r="Z182" s="13">
        <f t="shared" si="5"/>
        <v>0</v>
      </c>
      <c r="AA182" s="16">
        <f>VLOOKUP(S182,[1]CPI!$A$2:$D$67,4,0)</f>
        <v>1</v>
      </c>
      <c r="AB182" s="17">
        <f t="shared" si="6"/>
        <v>2187</v>
      </c>
      <c r="AC182" s="17">
        <f t="shared" si="7"/>
        <v>138.41772151898735</v>
      </c>
      <c r="AD182" s="16" t="s">
        <v>43</v>
      </c>
      <c r="AE182" s="26" t="s">
        <v>500</v>
      </c>
      <c r="AF182" s="19"/>
      <c r="AG182" s="19"/>
      <c r="AH182" s="19"/>
      <c r="AI182" s="19"/>
      <c r="AJ182" s="20"/>
      <c r="AK182" s="20"/>
      <c r="AL182" s="20"/>
      <c r="AM182" s="20"/>
      <c r="AN182" s="20"/>
      <c r="AO182" s="20"/>
      <c r="AP182" s="20"/>
      <c r="AQ182" s="20"/>
    </row>
    <row r="183" spans="1:43" ht="15.75" customHeight="1" x14ac:dyDescent="0.2">
      <c r="A183" s="21">
        <v>7496</v>
      </c>
      <c r="B183" s="16" t="s">
        <v>202</v>
      </c>
      <c r="C183" s="16" t="s">
        <v>501</v>
      </c>
      <c r="D183" s="22"/>
      <c r="E183" s="16" t="s">
        <v>92</v>
      </c>
      <c r="F183" s="13">
        <v>2012</v>
      </c>
      <c r="G183" s="13">
        <v>2021</v>
      </c>
      <c r="H183" s="13">
        <v>0</v>
      </c>
      <c r="I183" s="13">
        <v>19.7</v>
      </c>
      <c r="J183" s="23">
        <v>0.13</v>
      </c>
      <c r="K183" s="13">
        <v>2.6</v>
      </c>
      <c r="L183" s="13">
        <v>0</v>
      </c>
      <c r="M183" s="13">
        <v>0</v>
      </c>
      <c r="N183" s="13">
        <v>14</v>
      </c>
      <c r="O183" s="16"/>
      <c r="P183" s="16" t="s">
        <v>35</v>
      </c>
      <c r="Q183" s="24">
        <v>43600000</v>
      </c>
      <c r="R183" s="16" t="s">
        <v>204</v>
      </c>
      <c r="S183" s="13">
        <v>2016</v>
      </c>
      <c r="T183" s="13">
        <v>1.26E-4</v>
      </c>
      <c r="U183" s="13">
        <f t="shared" si="0"/>
        <v>5493.6</v>
      </c>
      <c r="V183" s="25">
        <f t="shared" si="1"/>
        <v>278.86294416243658</v>
      </c>
      <c r="W183" s="15">
        <f t="shared" si="2"/>
        <v>0</v>
      </c>
      <c r="X183" s="15">
        <f t="shared" si="3"/>
        <v>0</v>
      </c>
      <c r="Y183" s="15">
        <f t="shared" si="4"/>
        <v>0</v>
      </c>
      <c r="Z183" s="13">
        <f t="shared" si="5"/>
        <v>0</v>
      </c>
      <c r="AA183" s="16">
        <f>VLOOKUP(S183,[1]CPI!$A$2:$D$67,4,0)</f>
        <v>1.1290087372451638</v>
      </c>
      <c r="AB183" s="17">
        <f t="shared" si="6"/>
        <v>6202.3223989300323</v>
      </c>
      <c r="AC183" s="17">
        <f t="shared" si="7"/>
        <v>314.83870045330116</v>
      </c>
      <c r="AD183" s="16" t="s">
        <v>43</v>
      </c>
      <c r="AE183" s="26" t="s">
        <v>502</v>
      </c>
      <c r="AF183" s="27"/>
      <c r="AG183" s="27"/>
      <c r="AH183" s="27"/>
      <c r="AI183" s="27"/>
      <c r="AJ183" s="27"/>
      <c r="AK183" s="27"/>
      <c r="AL183" s="27"/>
      <c r="AM183" s="27"/>
      <c r="AN183" s="27"/>
      <c r="AO183" s="27"/>
      <c r="AP183" s="27"/>
      <c r="AQ183" s="27"/>
    </row>
    <row r="184" spans="1:43" ht="15.75" customHeight="1" x14ac:dyDescent="0.2">
      <c r="A184" s="21">
        <v>7497</v>
      </c>
      <c r="B184" s="16" t="s">
        <v>202</v>
      </c>
      <c r="C184" s="16" t="s">
        <v>501</v>
      </c>
      <c r="D184" s="22"/>
      <c r="E184" s="16" t="s">
        <v>503</v>
      </c>
      <c r="F184" s="13">
        <v>2020</v>
      </c>
      <c r="G184" s="13">
        <v>2026</v>
      </c>
      <c r="H184" s="13">
        <v>0</v>
      </c>
      <c r="I184" s="13">
        <v>11.3</v>
      </c>
      <c r="J184" s="23">
        <v>0.82</v>
      </c>
      <c r="K184" s="13">
        <v>9.3000000000000007</v>
      </c>
      <c r="L184" s="13">
        <v>0</v>
      </c>
      <c r="M184" s="13">
        <v>0</v>
      </c>
      <c r="N184" s="13">
        <v>11</v>
      </c>
      <c r="O184" s="16"/>
      <c r="P184" s="16" t="s">
        <v>43</v>
      </c>
      <c r="Q184" s="24">
        <v>48000000</v>
      </c>
      <c r="R184" s="16" t="s">
        <v>204</v>
      </c>
      <c r="S184" s="13">
        <v>2023</v>
      </c>
      <c r="T184" s="13">
        <v>1.26E-4</v>
      </c>
      <c r="U184" s="13">
        <f t="shared" si="0"/>
        <v>6048</v>
      </c>
      <c r="V184" s="25">
        <f t="shared" si="1"/>
        <v>535.22123893805303</v>
      </c>
      <c r="W184" s="15">
        <f t="shared" si="2"/>
        <v>0</v>
      </c>
      <c r="X184" s="15">
        <f t="shared" si="3"/>
        <v>0</v>
      </c>
      <c r="Y184" s="15">
        <f t="shared" si="4"/>
        <v>0</v>
      </c>
      <c r="Z184" s="13">
        <f t="shared" si="5"/>
        <v>0</v>
      </c>
      <c r="AA184" s="16">
        <f>VLOOKUP(S184,[1]CPI!$A$2:$D$67,4,0)</f>
        <v>1</v>
      </c>
      <c r="AB184" s="17">
        <f t="shared" si="6"/>
        <v>6048</v>
      </c>
      <c r="AC184" s="17">
        <f t="shared" si="7"/>
        <v>535.22123893805303</v>
      </c>
      <c r="AD184" s="16" t="s">
        <v>43</v>
      </c>
      <c r="AE184" s="26" t="s">
        <v>504</v>
      </c>
      <c r="AF184" s="27"/>
      <c r="AG184" s="27"/>
      <c r="AH184" s="27"/>
      <c r="AI184" s="27"/>
      <c r="AJ184" s="27"/>
      <c r="AK184" s="27"/>
      <c r="AL184" s="27"/>
      <c r="AM184" s="27"/>
      <c r="AN184" s="27"/>
      <c r="AO184" s="27"/>
      <c r="AP184" s="27"/>
      <c r="AQ184" s="27"/>
    </row>
    <row r="185" spans="1:43" ht="15.75" customHeight="1" x14ac:dyDescent="0.2">
      <c r="A185" s="21">
        <v>7498</v>
      </c>
      <c r="B185" s="16" t="s">
        <v>202</v>
      </c>
      <c r="C185" s="16" t="s">
        <v>501</v>
      </c>
      <c r="D185" s="22"/>
      <c r="E185" s="16" t="s">
        <v>505</v>
      </c>
      <c r="F185" s="13">
        <v>2025</v>
      </c>
      <c r="G185" s="13">
        <v>2029</v>
      </c>
      <c r="H185" s="13">
        <v>0</v>
      </c>
      <c r="I185" s="13">
        <v>8.9</v>
      </c>
      <c r="J185" s="23">
        <v>0.84</v>
      </c>
      <c r="K185" s="13">
        <v>7.5</v>
      </c>
      <c r="L185" s="13">
        <v>0</v>
      </c>
      <c r="M185" s="13">
        <v>0</v>
      </c>
      <c r="N185" s="13">
        <v>7</v>
      </c>
      <c r="O185" s="16"/>
      <c r="P185" s="16" t="s">
        <v>43</v>
      </c>
      <c r="Q185" s="24">
        <v>41600000</v>
      </c>
      <c r="R185" s="16" t="s">
        <v>204</v>
      </c>
      <c r="S185" s="13">
        <v>2027</v>
      </c>
      <c r="T185" s="13">
        <v>1.26E-4</v>
      </c>
      <c r="U185" s="13">
        <f t="shared" si="0"/>
        <v>5241.6000000000004</v>
      </c>
      <c r="V185" s="25">
        <f t="shared" si="1"/>
        <v>588.94382022471916</v>
      </c>
      <c r="W185" s="15">
        <f t="shared" si="2"/>
        <v>0</v>
      </c>
      <c r="X185" s="15">
        <f t="shared" si="3"/>
        <v>0</v>
      </c>
      <c r="Y185" s="15">
        <f t="shared" si="4"/>
        <v>0</v>
      </c>
      <c r="Z185" s="13">
        <f t="shared" si="5"/>
        <v>0</v>
      </c>
      <c r="AA185" s="16">
        <f>VLOOKUP(S185,[1]CPI!$A$2:$D$67,4,0)</f>
        <v>1</v>
      </c>
      <c r="AB185" s="17">
        <f t="shared" si="6"/>
        <v>5241.6000000000004</v>
      </c>
      <c r="AC185" s="17">
        <f t="shared" si="7"/>
        <v>588.94382022471916</v>
      </c>
      <c r="AD185" s="16" t="s">
        <v>43</v>
      </c>
      <c r="AE185" s="26" t="s">
        <v>506</v>
      </c>
      <c r="AF185" s="27"/>
      <c r="AG185" s="27"/>
      <c r="AH185" s="27"/>
      <c r="AI185" s="27"/>
      <c r="AJ185" s="27"/>
      <c r="AK185" s="27"/>
      <c r="AL185" s="27"/>
      <c r="AM185" s="27"/>
      <c r="AN185" s="27"/>
      <c r="AO185" s="27"/>
      <c r="AP185" s="27"/>
      <c r="AQ185" s="27"/>
    </row>
    <row r="186" spans="1:43" ht="15.75" customHeight="1" x14ac:dyDescent="0.2">
      <c r="A186" s="21">
        <v>7499</v>
      </c>
      <c r="B186" s="16" t="s">
        <v>507</v>
      </c>
      <c r="C186" s="16" t="s">
        <v>508</v>
      </c>
      <c r="D186" s="22"/>
      <c r="E186" s="16" t="s">
        <v>509</v>
      </c>
      <c r="F186" s="13">
        <v>2015</v>
      </c>
      <c r="G186" s="13">
        <v>2023</v>
      </c>
      <c r="H186" s="13">
        <v>1</v>
      </c>
      <c r="I186" s="13">
        <v>2.4</v>
      </c>
      <c r="J186" s="23">
        <v>1</v>
      </c>
      <c r="K186" s="13">
        <v>2.4</v>
      </c>
      <c r="L186" s="13">
        <v>0</v>
      </c>
      <c r="M186" s="13">
        <v>0</v>
      </c>
      <c r="N186" s="13">
        <v>1</v>
      </c>
      <c r="O186" s="16"/>
      <c r="P186" s="16" t="s">
        <v>35</v>
      </c>
      <c r="Q186" s="24">
        <v>69000</v>
      </c>
      <c r="R186" s="16" t="s">
        <v>510</v>
      </c>
      <c r="S186" s="13">
        <v>2019</v>
      </c>
      <c r="T186" s="13">
        <v>0.01</v>
      </c>
      <c r="U186" s="13">
        <f t="shared" si="0"/>
        <v>690</v>
      </c>
      <c r="V186" s="25">
        <f t="shared" si="1"/>
        <v>287.5</v>
      </c>
      <c r="W186" s="15">
        <f t="shared" si="2"/>
        <v>0</v>
      </c>
      <c r="X186" s="15">
        <f t="shared" si="3"/>
        <v>0</v>
      </c>
      <c r="Y186" s="15">
        <f t="shared" si="4"/>
        <v>0</v>
      </c>
      <c r="Z186" s="13">
        <f t="shared" si="5"/>
        <v>0</v>
      </c>
      <c r="AA186" s="16">
        <f>VLOOKUP(S186,[1]CPI!$A$2:$D$67,4,0)</f>
        <v>1.0598966584134211</v>
      </c>
      <c r="AB186" s="17">
        <f t="shared" si="6"/>
        <v>731.32869430526057</v>
      </c>
      <c r="AC186" s="17">
        <f t="shared" si="7"/>
        <v>304.72028929385857</v>
      </c>
      <c r="AD186" s="16" t="s">
        <v>35</v>
      </c>
      <c r="AE186" s="29" t="s">
        <v>511</v>
      </c>
      <c r="AF186" s="19"/>
      <c r="AG186" s="19"/>
      <c r="AH186" s="19"/>
      <c r="AI186" s="19"/>
      <c r="AJ186" s="20"/>
      <c r="AK186" s="20"/>
      <c r="AL186" s="20"/>
      <c r="AM186" s="20"/>
      <c r="AN186" s="20"/>
      <c r="AO186" s="20"/>
      <c r="AP186" s="20"/>
      <c r="AQ186" s="20"/>
    </row>
    <row r="187" spans="1:43" ht="15.75" customHeight="1" x14ac:dyDescent="0.2">
      <c r="A187" s="21">
        <v>7504</v>
      </c>
      <c r="B187" s="16" t="s">
        <v>507</v>
      </c>
      <c r="C187" s="16" t="s">
        <v>508</v>
      </c>
      <c r="D187" s="22"/>
      <c r="E187" s="16" t="s">
        <v>512</v>
      </c>
      <c r="F187" s="13">
        <v>1999</v>
      </c>
      <c r="G187" s="13">
        <v>2019</v>
      </c>
      <c r="H187" s="13">
        <v>1</v>
      </c>
      <c r="I187" s="13">
        <v>20.3</v>
      </c>
      <c r="J187" s="23">
        <v>0</v>
      </c>
      <c r="K187" s="13">
        <v>0</v>
      </c>
      <c r="L187" s="13">
        <v>0</v>
      </c>
      <c r="M187" s="13">
        <v>0</v>
      </c>
      <c r="N187" s="13">
        <v>0</v>
      </c>
      <c r="O187" s="16"/>
      <c r="P187" s="16" t="s">
        <v>35</v>
      </c>
      <c r="Q187" s="24">
        <v>120000</v>
      </c>
      <c r="R187" s="16" t="s">
        <v>510</v>
      </c>
      <c r="S187" s="13">
        <v>2009</v>
      </c>
      <c r="T187" s="13">
        <v>8.6999999999999994E-3</v>
      </c>
      <c r="U187" s="13">
        <f t="shared" si="0"/>
        <v>1044</v>
      </c>
      <c r="V187" s="25">
        <f t="shared" si="1"/>
        <v>51.428571428571423</v>
      </c>
      <c r="W187" s="15">
        <f t="shared" si="2"/>
        <v>0</v>
      </c>
      <c r="X187" s="15">
        <f t="shared" si="3"/>
        <v>0</v>
      </c>
      <c r="Y187" s="15">
        <f t="shared" si="4"/>
        <v>0</v>
      </c>
      <c r="Z187" s="13">
        <f t="shared" si="5"/>
        <v>0</v>
      </c>
      <c r="AA187" s="16">
        <f>VLOOKUP(S187,[1]CPI!$A$2:$D$67,4,0)</f>
        <v>1.2630455352689747</v>
      </c>
      <c r="AB187" s="17">
        <f t="shared" si="6"/>
        <v>1318.6195388208096</v>
      </c>
      <c r="AC187" s="17">
        <f t="shared" si="7"/>
        <v>64.956627528118688</v>
      </c>
      <c r="AD187" s="16" t="s">
        <v>35</v>
      </c>
      <c r="AE187" s="26" t="s">
        <v>511</v>
      </c>
      <c r="AF187" s="19"/>
      <c r="AG187" s="19"/>
      <c r="AH187" s="19"/>
      <c r="AI187" s="19"/>
      <c r="AJ187" s="20"/>
      <c r="AK187" s="20"/>
      <c r="AL187" s="20"/>
      <c r="AM187" s="20"/>
      <c r="AN187" s="20"/>
      <c r="AO187" s="20"/>
      <c r="AP187" s="20"/>
      <c r="AQ187" s="20"/>
    </row>
    <row r="188" spans="1:43" ht="15.75" customHeight="1" x14ac:dyDescent="0.2">
      <c r="A188" s="21">
        <v>7505</v>
      </c>
      <c r="B188" s="16" t="s">
        <v>507</v>
      </c>
      <c r="C188" s="16" t="s">
        <v>508</v>
      </c>
      <c r="D188" s="22"/>
      <c r="E188" s="16" t="s">
        <v>513</v>
      </c>
      <c r="F188" s="13">
        <v>2018</v>
      </c>
      <c r="G188" s="13">
        <v>2029</v>
      </c>
      <c r="H188" s="13">
        <v>0</v>
      </c>
      <c r="I188" s="13">
        <v>8.9</v>
      </c>
      <c r="J188" s="23">
        <v>0</v>
      </c>
      <c r="K188" s="13">
        <v>0</v>
      </c>
      <c r="L188" s="13">
        <v>0</v>
      </c>
      <c r="M188" s="13">
        <v>0</v>
      </c>
      <c r="N188" s="13">
        <v>4</v>
      </c>
      <c r="O188" s="16"/>
      <c r="P188" s="16" t="s">
        <v>35</v>
      </c>
      <c r="Q188" s="24">
        <v>105000</v>
      </c>
      <c r="R188" s="16" t="s">
        <v>510</v>
      </c>
      <c r="S188" s="13">
        <v>2019</v>
      </c>
      <c r="T188" s="13">
        <v>0.01</v>
      </c>
      <c r="U188" s="13">
        <f t="shared" si="0"/>
        <v>1050</v>
      </c>
      <c r="V188" s="25">
        <f t="shared" si="1"/>
        <v>117.97752808988764</v>
      </c>
      <c r="W188" s="15">
        <f t="shared" si="2"/>
        <v>0</v>
      </c>
      <c r="X188" s="15">
        <f t="shared" si="3"/>
        <v>0</v>
      </c>
      <c r="Y188" s="15">
        <f t="shared" si="4"/>
        <v>0</v>
      </c>
      <c r="Z188" s="13">
        <f t="shared" si="5"/>
        <v>0</v>
      </c>
      <c r="AA188" s="16">
        <f>VLOOKUP(S188,[1]CPI!$A$2:$D$67,4,0)</f>
        <v>1.0598966584134211</v>
      </c>
      <c r="AB188" s="17">
        <f t="shared" si="6"/>
        <v>1112.8914913340921</v>
      </c>
      <c r="AC188" s="17">
        <f t="shared" si="7"/>
        <v>125.04398779034743</v>
      </c>
      <c r="AD188" s="16" t="s">
        <v>35</v>
      </c>
      <c r="AE188" s="26" t="s">
        <v>514</v>
      </c>
      <c r="AF188" s="19"/>
      <c r="AG188" s="19"/>
      <c r="AH188" s="19"/>
      <c r="AI188" s="19"/>
      <c r="AJ188" s="20"/>
      <c r="AK188" s="20"/>
      <c r="AL188" s="20"/>
      <c r="AM188" s="20"/>
      <c r="AN188" s="20"/>
      <c r="AO188" s="20"/>
      <c r="AP188" s="20"/>
      <c r="AQ188" s="20"/>
    </row>
    <row r="189" spans="1:43" ht="15.75" customHeight="1" x14ac:dyDescent="0.2">
      <c r="A189" s="21">
        <v>7506</v>
      </c>
      <c r="B189" s="16" t="s">
        <v>507</v>
      </c>
      <c r="C189" s="16" t="s">
        <v>515</v>
      </c>
      <c r="D189" s="22"/>
      <c r="E189" s="16" t="s">
        <v>516</v>
      </c>
      <c r="F189" s="13">
        <v>2001</v>
      </c>
      <c r="G189" s="13">
        <v>2008</v>
      </c>
      <c r="H189" s="13">
        <v>0</v>
      </c>
      <c r="I189" s="13">
        <v>8.9</v>
      </c>
      <c r="J189" s="23">
        <v>1</v>
      </c>
      <c r="K189" s="13">
        <v>8.9</v>
      </c>
      <c r="L189" s="13">
        <v>0</v>
      </c>
      <c r="M189" s="13">
        <v>0</v>
      </c>
      <c r="N189" s="13">
        <v>8</v>
      </c>
      <c r="O189" s="16"/>
      <c r="P189" s="16" t="s">
        <v>43</v>
      </c>
      <c r="Q189" s="24">
        <v>250000</v>
      </c>
      <c r="R189" s="16" t="s">
        <v>510</v>
      </c>
      <c r="S189" s="13">
        <v>2004</v>
      </c>
      <c r="T189" s="13">
        <v>7.4000000000000003E-3</v>
      </c>
      <c r="U189" s="13">
        <f t="shared" si="0"/>
        <v>1850</v>
      </c>
      <c r="V189" s="25">
        <f t="shared" si="1"/>
        <v>207.86516853932582</v>
      </c>
      <c r="W189" s="15">
        <f t="shared" si="2"/>
        <v>0</v>
      </c>
      <c r="X189" s="15">
        <f t="shared" si="3"/>
        <v>0</v>
      </c>
      <c r="Y189" s="15">
        <f t="shared" si="4"/>
        <v>0</v>
      </c>
      <c r="Z189" s="13">
        <f t="shared" si="5"/>
        <v>0</v>
      </c>
      <c r="AA189" s="16">
        <f>VLOOKUP(S189,[1]CPI!$A$2:$D$67,4,0)</f>
        <v>1.4344626786659609</v>
      </c>
      <c r="AB189" s="17">
        <f t="shared" si="6"/>
        <v>2653.7559555320277</v>
      </c>
      <c r="AC189" s="17">
        <f t="shared" si="7"/>
        <v>298.17482646427271</v>
      </c>
      <c r="AD189" s="16" t="s">
        <v>43</v>
      </c>
      <c r="AE189" s="29" t="s">
        <v>517</v>
      </c>
      <c r="AF189" s="19"/>
      <c r="AG189" s="19"/>
      <c r="AH189" s="19"/>
      <c r="AI189" s="19"/>
      <c r="AJ189" s="20"/>
      <c r="AK189" s="20"/>
      <c r="AL189" s="20"/>
      <c r="AM189" s="20"/>
      <c r="AN189" s="20"/>
      <c r="AO189" s="20"/>
      <c r="AP189" s="20"/>
      <c r="AQ189" s="20"/>
    </row>
    <row r="190" spans="1:43" ht="15.75" customHeight="1" x14ac:dyDescent="0.2">
      <c r="A190" s="21">
        <v>7507</v>
      </c>
      <c r="B190" s="16" t="s">
        <v>507</v>
      </c>
      <c r="C190" s="16" t="s">
        <v>515</v>
      </c>
      <c r="D190" s="22"/>
      <c r="E190" s="16" t="s">
        <v>518</v>
      </c>
      <c r="F190" s="13">
        <v>1993</v>
      </c>
      <c r="G190" s="13">
        <v>2004</v>
      </c>
      <c r="H190" s="13">
        <v>1</v>
      </c>
      <c r="I190" s="13">
        <v>4.0999999999999996</v>
      </c>
      <c r="J190" s="23">
        <v>1</v>
      </c>
      <c r="K190" s="13">
        <v>4.0999999999999996</v>
      </c>
      <c r="L190" s="13">
        <v>0</v>
      </c>
      <c r="M190" s="13">
        <v>0</v>
      </c>
      <c r="N190" s="13">
        <v>6</v>
      </c>
      <c r="O190" s="16"/>
      <c r="P190" s="16" t="s">
        <v>73</v>
      </c>
      <c r="Q190" s="24">
        <v>257000</v>
      </c>
      <c r="R190" s="16" t="s">
        <v>510</v>
      </c>
      <c r="S190" s="13">
        <v>1998</v>
      </c>
      <c r="T190" s="13">
        <v>6.3E-3</v>
      </c>
      <c r="U190" s="13">
        <f t="shared" si="0"/>
        <v>1619.1</v>
      </c>
      <c r="V190" s="25">
        <f t="shared" si="1"/>
        <v>394.90243902439028</v>
      </c>
      <c r="W190" s="15">
        <f t="shared" si="2"/>
        <v>0</v>
      </c>
      <c r="X190" s="15">
        <f t="shared" si="3"/>
        <v>0</v>
      </c>
      <c r="Y190" s="15">
        <f t="shared" si="4"/>
        <v>0</v>
      </c>
      <c r="Z190" s="13">
        <f t="shared" si="5"/>
        <v>0</v>
      </c>
      <c r="AA190" s="16">
        <f>VLOOKUP(S190,[1]CPI!$A$2:$D$67,4,0)</f>
        <v>1.6623926380368099</v>
      </c>
      <c r="AB190" s="17">
        <f t="shared" si="6"/>
        <v>2691.5799202453986</v>
      </c>
      <c r="AC190" s="17">
        <f t="shared" si="7"/>
        <v>656.48290737692662</v>
      </c>
      <c r="AD190" s="16" t="s">
        <v>43</v>
      </c>
      <c r="AE190" s="29" t="s">
        <v>519</v>
      </c>
      <c r="AF190" s="19"/>
      <c r="AG190" s="19"/>
      <c r="AH190" s="19"/>
      <c r="AI190" s="19"/>
      <c r="AJ190" s="20"/>
      <c r="AK190" s="20"/>
      <c r="AL190" s="20"/>
      <c r="AM190" s="20"/>
      <c r="AN190" s="20"/>
      <c r="AO190" s="20"/>
      <c r="AP190" s="20"/>
      <c r="AQ190" s="20"/>
    </row>
    <row r="191" spans="1:43" ht="15.75" customHeight="1" x14ac:dyDescent="0.2">
      <c r="A191" s="21">
        <v>7512</v>
      </c>
      <c r="B191" s="16" t="s">
        <v>507</v>
      </c>
      <c r="C191" s="16" t="s">
        <v>515</v>
      </c>
      <c r="D191" s="22"/>
      <c r="E191" s="16" t="s">
        <v>520</v>
      </c>
      <c r="F191" s="13">
        <v>1992</v>
      </c>
      <c r="G191" s="13">
        <v>2000</v>
      </c>
      <c r="H191" s="13">
        <v>0</v>
      </c>
      <c r="I191" s="13">
        <v>27.8</v>
      </c>
      <c r="J191" s="23">
        <v>1</v>
      </c>
      <c r="K191" s="13">
        <v>27.8</v>
      </c>
      <c r="L191" s="13">
        <v>0</v>
      </c>
      <c r="M191" s="13">
        <v>0</v>
      </c>
      <c r="N191" s="13">
        <v>27</v>
      </c>
      <c r="O191" s="16"/>
      <c r="P191" s="16" t="s">
        <v>35</v>
      </c>
      <c r="Q191" s="24">
        <v>988600</v>
      </c>
      <c r="R191" s="16" t="s">
        <v>510</v>
      </c>
      <c r="S191" s="13">
        <v>1999</v>
      </c>
      <c r="T191" s="13">
        <v>6.4000000000000003E-3</v>
      </c>
      <c r="U191" s="13">
        <f t="shared" si="0"/>
        <v>6327.04</v>
      </c>
      <c r="V191" s="25">
        <f t="shared" si="1"/>
        <v>227.5913669064748</v>
      </c>
      <c r="W191" s="15">
        <f t="shared" si="2"/>
        <v>0</v>
      </c>
      <c r="X191" s="15">
        <f t="shared" si="3"/>
        <v>0</v>
      </c>
      <c r="Y191" s="15">
        <f t="shared" si="4"/>
        <v>0</v>
      </c>
      <c r="Z191" s="13">
        <f t="shared" si="5"/>
        <v>0</v>
      </c>
      <c r="AA191" s="16">
        <f>VLOOKUP(S191,[1]CPI!$A$2:$D$67,4,0)</f>
        <v>1.6264705882352943</v>
      </c>
      <c r="AB191" s="17">
        <f t="shared" si="6"/>
        <v>10290.744470588237</v>
      </c>
      <c r="AC191" s="17">
        <f t="shared" si="7"/>
        <v>370.17066440964879</v>
      </c>
      <c r="AD191" s="16" t="s">
        <v>35</v>
      </c>
      <c r="AE191" s="29" t="s">
        <v>521</v>
      </c>
      <c r="AF191" s="19"/>
      <c r="AG191" s="19"/>
      <c r="AH191" s="19"/>
      <c r="AI191" s="19"/>
      <c r="AJ191" s="20"/>
      <c r="AK191" s="20"/>
      <c r="AL191" s="20"/>
      <c r="AM191" s="20"/>
      <c r="AN191" s="20"/>
      <c r="AO191" s="20"/>
      <c r="AP191" s="20"/>
      <c r="AQ191" s="20"/>
    </row>
    <row r="192" spans="1:43" ht="15.75" customHeight="1" x14ac:dyDescent="0.2">
      <c r="A192" s="21">
        <v>7513</v>
      </c>
      <c r="B192" s="16" t="s">
        <v>507</v>
      </c>
      <c r="C192" s="16" t="s">
        <v>515</v>
      </c>
      <c r="D192" s="22"/>
      <c r="E192" s="16" t="s">
        <v>522</v>
      </c>
      <c r="F192" s="13">
        <v>2022</v>
      </c>
      <c r="G192" s="13">
        <v>2029</v>
      </c>
      <c r="H192" s="13">
        <v>1</v>
      </c>
      <c r="I192" s="13">
        <v>5.6</v>
      </c>
      <c r="J192" s="23">
        <v>1</v>
      </c>
      <c r="K192" s="13">
        <v>5.6</v>
      </c>
      <c r="L192" s="13">
        <v>0</v>
      </c>
      <c r="M192" s="13">
        <v>0</v>
      </c>
      <c r="N192" s="13">
        <v>2</v>
      </c>
      <c r="O192" s="16"/>
      <c r="P192" s="16" t="s">
        <v>94</v>
      </c>
      <c r="Q192" s="24">
        <v>300000</v>
      </c>
      <c r="R192" s="16" t="s">
        <v>510</v>
      </c>
      <c r="S192" s="13">
        <v>2025</v>
      </c>
      <c r="T192" s="13">
        <v>0.01</v>
      </c>
      <c r="U192" s="13">
        <f t="shared" si="0"/>
        <v>3000</v>
      </c>
      <c r="V192" s="25">
        <f t="shared" si="1"/>
        <v>535.71428571428578</v>
      </c>
      <c r="W192" s="15">
        <f t="shared" si="2"/>
        <v>0</v>
      </c>
      <c r="X192" s="15">
        <f t="shared" si="3"/>
        <v>0</v>
      </c>
      <c r="Y192" s="15">
        <f t="shared" si="4"/>
        <v>0</v>
      </c>
      <c r="Z192" s="13">
        <f t="shared" si="5"/>
        <v>0</v>
      </c>
      <c r="AA192" s="16">
        <f>VLOOKUP(S192,[1]CPI!$A$2:$D$67,4,0)</f>
        <v>1</v>
      </c>
      <c r="AB192" s="17">
        <f t="shared" si="6"/>
        <v>3000</v>
      </c>
      <c r="AC192" s="17">
        <f t="shared" si="7"/>
        <v>535.71428571428578</v>
      </c>
      <c r="AD192" s="16" t="s">
        <v>43</v>
      </c>
      <c r="AE192" s="26" t="s">
        <v>523</v>
      </c>
      <c r="AF192" s="19"/>
      <c r="AG192" s="19"/>
      <c r="AH192" s="19"/>
      <c r="AI192" s="19"/>
      <c r="AJ192" s="20"/>
      <c r="AK192" s="20"/>
      <c r="AL192" s="20"/>
      <c r="AM192" s="20"/>
      <c r="AN192" s="20"/>
      <c r="AO192" s="20"/>
      <c r="AP192" s="20"/>
      <c r="AQ192" s="20"/>
    </row>
    <row r="193" spans="1:43" ht="15.75" customHeight="1" x14ac:dyDescent="0.2">
      <c r="A193" s="21">
        <v>7514</v>
      </c>
      <c r="B193" s="16" t="s">
        <v>507</v>
      </c>
      <c r="C193" s="16" t="s">
        <v>515</v>
      </c>
      <c r="D193" s="22"/>
      <c r="E193" s="16" t="s">
        <v>524</v>
      </c>
      <c r="F193" s="13">
        <v>1991</v>
      </c>
      <c r="G193" s="13">
        <v>2000</v>
      </c>
      <c r="H193" s="13">
        <v>0</v>
      </c>
      <c r="I193" s="13">
        <v>16</v>
      </c>
      <c r="J193" s="23">
        <v>0</v>
      </c>
      <c r="K193" s="13">
        <v>0</v>
      </c>
      <c r="L193" s="13">
        <v>0</v>
      </c>
      <c r="M193" s="13">
        <v>0</v>
      </c>
      <c r="N193" s="13">
        <v>19</v>
      </c>
      <c r="O193" s="16"/>
      <c r="P193" s="16" t="s">
        <v>73</v>
      </c>
      <c r="Q193" s="24">
        <v>242200</v>
      </c>
      <c r="R193" s="16" t="s">
        <v>510</v>
      </c>
      <c r="S193" s="13">
        <v>1995</v>
      </c>
      <c r="T193" s="13">
        <v>6.0000000000000001E-3</v>
      </c>
      <c r="U193" s="13">
        <f t="shared" si="0"/>
        <v>1453.2</v>
      </c>
      <c r="V193" s="25">
        <f t="shared" si="1"/>
        <v>90.825000000000003</v>
      </c>
      <c r="W193" s="15">
        <f t="shared" si="2"/>
        <v>0</v>
      </c>
      <c r="X193" s="15">
        <f t="shared" si="3"/>
        <v>0</v>
      </c>
      <c r="Y193" s="15">
        <f t="shared" si="4"/>
        <v>0</v>
      </c>
      <c r="Z193" s="13">
        <f t="shared" si="5"/>
        <v>0</v>
      </c>
      <c r="AA193" s="16">
        <f>VLOOKUP(S193,[1]CPI!$A$2:$D$67,4,0)</f>
        <v>1.7780183727034122</v>
      </c>
      <c r="AB193" s="17">
        <f t="shared" si="6"/>
        <v>2583.8162992125986</v>
      </c>
      <c r="AC193" s="17">
        <f t="shared" si="7"/>
        <v>161.48851870078741</v>
      </c>
      <c r="AD193" s="16" t="s">
        <v>73</v>
      </c>
      <c r="AE193" s="26" t="s">
        <v>525</v>
      </c>
      <c r="AF193" s="19"/>
      <c r="AG193" s="19"/>
      <c r="AH193" s="19"/>
      <c r="AI193" s="19"/>
      <c r="AJ193" s="20"/>
      <c r="AK193" s="20"/>
      <c r="AL193" s="20"/>
      <c r="AM193" s="20"/>
      <c r="AN193" s="20"/>
      <c r="AO193" s="20"/>
      <c r="AP193" s="20"/>
      <c r="AQ193" s="20"/>
    </row>
    <row r="194" spans="1:43" ht="15.75" customHeight="1" x14ac:dyDescent="0.2">
      <c r="A194" s="21">
        <v>7515</v>
      </c>
      <c r="B194" s="16" t="s">
        <v>507</v>
      </c>
      <c r="C194" s="16" t="s">
        <v>515</v>
      </c>
      <c r="D194" s="22"/>
      <c r="E194" s="16" t="s">
        <v>526</v>
      </c>
      <c r="F194" s="13">
        <v>2015</v>
      </c>
      <c r="G194" s="13">
        <v>2025</v>
      </c>
      <c r="H194" s="13">
        <v>1</v>
      </c>
      <c r="I194" s="13">
        <v>3</v>
      </c>
      <c r="J194" s="23">
        <v>0</v>
      </c>
      <c r="K194" s="13">
        <v>0</v>
      </c>
      <c r="L194" s="13">
        <v>0</v>
      </c>
      <c r="M194" s="13">
        <v>0</v>
      </c>
      <c r="N194" s="13"/>
      <c r="O194" s="16"/>
      <c r="P194" s="16" t="s">
        <v>73</v>
      </c>
      <c r="Q194" s="24">
        <v>109500</v>
      </c>
      <c r="R194" s="16" t="s">
        <v>510</v>
      </c>
      <c r="S194" s="13">
        <v>2020</v>
      </c>
      <c r="T194" s="13">
        <v>0.01</v>
      </c>
      <c r="U194" s="13">
        <f t="shared" si="0"/>
        <v>1095</v>
      </c>
      <c r="V194" s="25">
        <f t="shared" si="1"/>
        <v>365</v>
      </c>
      <c r="W194" s="15">
        <f t="shared" si="2"/>
        <v>0</v>
      </c>
      <c r="X194" s="15">
        <f t="shared" si="3"/>
        <v>0</v>
      </c>
      <c r="Y194" s="15">
        <f t="shared" si="4"/>
        <v>0</v>
      </c>
      <c r="Z194" s="13">
        <f t="shared" si="5"/>
        <v>0</v>
      </c>
      <c r="AA194" s="16">
        <f>VLOOKUP(S194,[1]CPI!$A$2:$D$67,4,0)</f>
        <v>1.0469802288156225</v>
      </c>
      <c r="AB194" s="17">
        <f t="shared" si="6"/>
        <v>1146.4433505531067</v>
      </c>
      <c r="AC194" s="17">
        <f t="shared" si="7"/>
        <v>382.14778351770218</v>
      </c>
      <c r="AD194" s="16" t="s">
        <v>73</v>
      </c>
      <c r="AE194" s="26" t="s">
        <v>527</v>
      </c>
      <c r="AF194" s="19"/>
      <c r="AG194" s="19"/>
      <c r="AH194" s="19"/>
      <c r="AI194" s="19"/>
      <c r="AJ194" s="20"/>
      <c r="AK194" s="20"/>
      <c r="AL194" s="20"/>
      <c r="AM194" s="20"/>
      <c r="AN194" s="20"/>
      <c r="AO194" s="20"/>
      <c r="AP194" s="20"/>
      <c r="AQ194" s="20"/>
    </row>
    <row r="195" spans="1:43" ht="15.75" customHeight="1" x14ac:dyDescent="0.2">
      <c r="A195" s="21">
        <v>7520</v>
      </c>
      <c r="B195" s="16" t="s">
        <v>507</v>
      </c>
      <c r="C195" s="16" t="s">
        <v>515</v>
      </c>
      <c r="D195" s="22"/>
      <c r="E195" s="16" t="s">
        <v>528</v>
      </c>
      <c r="F195" s="13">
        <v>2008</v>
      </c>
      <c r="G195" s="13">
        <v>2015</v>
      </c>
      <c r="H195" s="13">
        <v>1</v>
      </c>
      <c r="I195" s="13">
        <v>3.8</v>
      </c>
      <c r="J195" s="23">
        <v>0</v>
      </c>
      <c r="K195" s="13">
        <v>0</v>
      </c>
      <c r="L195" s="13">
        <v>0</v>
      </c>
      <c r="M195" s="13">
        <v>0</v>
      </c>
      <c r="N195" s="13">
        <v>0</v>
      </c>
      <c r="O195" s="16"/>
      <c r="P195" s="16" t="s">
        <v>73</v>
      </c>
      <c r="Q195" s="24">
        <v>40000</v>
      </c>
      <c r="R195" s="16" t="s">
        <v>510</v>
      </c>
      <c r="S195" s="13">
        <v>2011</v>
      </c>
      <c r="T195" s="13">
        <v>8.9999999999999993E-3</v>
      </c>
      <c r="U195" s="13">
        <f t="shared" si="0"/>
        <v>360</v>
      </c>
      <c r="V195" s="25">
        <f t="shared" si="1"/>
        <v>94.736842105263165</v>
      </c>
      <c r="W195" s="15">
        <f t="shared" si="2"/>
        <v>0</v>
      </c>
      <c r="X195" s="15">
        <f t="shared" si="3"/>
        <v>0</v>
      </c>
      <c r="Y195" s="15">
        <f t="shared" si="4"/>
        <v>0</v>
      </c>
      <c r="Z195" s="13">
        <f t="shared" si="5"/>
        <v>0</v>
      </c>
      <c r="AA195" s="16">
        <f>VLOOKUP(S195,[1]CPI!$A$2:$D$67,4,0)</f>
        <v>1.2046377017769263</v>
      </c>
      <c r="AB195" s="17">
        <f t="shared" si="6"/>
        <v>433.66957263969346</v>
      </c>
      <c r="AC195" s="17">
        <f t="shared" si="7"/>
        <v>114.12357174728777</v>
      </c>
      <c r="AD195" s="16" t="s">
        <v>73</v>
      </c>
      <c r="AE195" s="29" t="s">
        <v>529</v>
      </c>
      <c r="AF195" s="19"/>
      <c r="AG195" s="19"/>
      <c r="AH195" s="19"/>
      <c r="AI195" s="19"/>
      <c r="AJ195" s="20"/>
      <c r="AK195" s="20"/>
      <c r="AL195" s="20"/>
      <c r="AM195" s="20"/>
      <c r="AN195" s="20"/>
      <c r="AO195" s="20"/>
      <c r="AP195" s="20"/>
      <c r="AQ195" s="20"/>
    </row>
    <row r="196" spans="1:43" ht="15.75" customHeight="1" x14ac:dyDescent="0.2">
      <c r="A196" s="21">
        <v>7521</v>
      </c>
      <c r="B196" s="16" t="s">
        <v>507</v>
      </c>
      <c r="C196" s="16" t="s">
        <v>515</v>
      </c>
      <c r="D196" s="22" t="s">
        <v>530</v>
      </c>
      <c r="E196" s="16" t="s">
        <v>531</v>
      </c>
      <c r="F196" s="13">
        <v>2010</v>
      </c>
      <c r="G196" s="13">
        <v>2019</v>
      </c>
      <c r="H196" s="13">
        <v>1</v>
      </c>
      <c r="I196" s="13">
        <v>2.7</v>
      </c>
      <c r="J196" s="23">
        <v>0.78</v>
      </c>
      <c r="K196" s="13">
        <v>2.1</v>
      </c>
      <c r="L196" s="13">
        <v>0</v>
      </c>
      <c r="M196" s="13">
        <v>0</v>
      </c>
      <c r="N196" s="13">
        <v>1</v>
      </c>
      <c r="O196" s="16"/>
      <c r="P196" s="16" t="s">
        <v>94</v>
      </c>
      <c r="Q196" s="24">
        <v>111400</v>
      </c>
      <c r="R196" s="16" t="s">
        <v>510</v>
      </c>
      <c r="S196" s="13">
        <v>2014</v>
      </c>
      <c r="T196" s="13">
        <v>9.7000000000000003E-3</v>
      </c>
      <c r="U196" s="13">
        <f t="shared" si="0"/>
        <v>1080.58</v>
      </c>
      <c r="V196" s="25">
        <f t="shared" si="1"/>
        <v>400.21481481481476</v>
      </c>
      <c r="W196" s="15">
        <f t="shared" si="2"/>
        <v>0</v>
      </c>
      <c r="X196" s="15">
        <f t="shared" si="3"/>
        <v>0</v>
      </c>
      <c r="Y196" s="15">
        <f t="shared" si="4"/>
        <v>0</v>
      </c>
      <c r="Z196" s="13">
        <f t="shared" si="5"/>
        <v>0</v>
      </c>
      <c r="AA196" s="16">
        <f>VLOOKUP(S196,[1]CPI!$A$2:$D$67,4,0)</f>
        <v>1.1446083400919169</v>
      </c>
      <c r="AB196" s="17">
        <f t="shared" si="6"/>
        <v>1236.8408801365235</v>
      </c>
      <c r="AC196" s="17">
        <f t="shared" si="7"/>
        <v>458.08921486537906</v>
      </c>
      <c r="AD196" s="16" t="s">
        <v>43</v>
      </c>
      <c r="AE196" s="29" t="s">
        <v>532</v>
      </c>
      <c r="AF196" s="19"/>
      <c r="AG196" s="19"/>
      <c r="AH196" s="19"/>
      <c r="AI196" s="19"/>
      <c r="AJ196" s="20"/>
      <c r="AK196" s="20"/>
      <c r="AL196" s="20"/>
      <c r="AM196" s="20"/>
      <c r="AN196" s="20"/>
      <c r="AO196" s="20"/>
      <c r="AP196" s="20"/>
      <c r="AQ196" s="20"/>
    </row>
    <row r="197" spans="1:43" ht="15.75" customHeight="1" x14ac:dyDescent="0.2">
      <c r="A197" s="21">
        <v>7522</v>
      </c>
      <c r="B197" s="16" t="s">
        <v>507</v>
      </c>
      <c r="C197" s="16" t="s">
        <v>515</v>
      </c>
      <c r="D197" s="22" t="s">
        <v>530</v>
      </c>
      <c r="E197" s="16" t="s">
        <v>533</v>
      </c>
      <c r="F197" s="13">
        <v>2010</v>
      </c>
      <c r="G197" s="13">
        <v>2022</v>
      </c>
      <c r="H197" s="13">
        <v>1</v>
      </c>
      <c r="I197" s="13">
        <v>10</v>
      </c>
      <c r="J197" s="23">
        <v>0.8</v>
      </c>
      <c r="K197" s="13">
        <v>8</v>
      </c>
      <c r="L197" s="13">
        <v>0</v>
      </c>
      <c r="M197" s="13">
        <v>0</v>
      </c>
      <c r="N197" s="13">
        <v>2</v>
      </c>
      <c r="O197" s="16"/>
      <c r="P197" s="16" t="s">
        <v>94</v>
      </c>
      <c r="Q197" s="24">
        <v>290800</v>
      </c>
      <c r="R197" s="16" t="s">
        <v>510</v>
      </c>
      <c r="S197" s="13">
        <v>2016</v>
      </c>
      <c r="T197" s="13">
        <v>9.4999999999999998E-3</v>
      </c>
      <c r="U197" s="13">
        <f t="shared" si="0"/>
        <v>2762.6</v>
      </c>
      <c r="V197" s="25">
        <f t="shared" si="1"/>
        <v>276.26</v>
      </c>
      <c r="W197" s="15">
        <f t="shared" si="2"/>
        <v>0</v>
      </c>
      <c r="X197" s="15">
        <f t="shared" si="3"/>
        <v>0</v>
      </c>
      <c r="Y197" s="15">
        <f t="shared" si="4"/>
        <v>0</v>
      </c>
      <c r="Z197" s="13">
        <f t="shared" si="5"/>
        <v>0</v>
      </c>
      <c r="AA197" s="16">
        <f>VLOOKUP(S197,[1]CPI!$A$2:$D$67,4,0)</f>
        <v>1.1290087372451638</v>
      </c>
      <c r="AB197" s="17">
        <f t="shared" si="6"/>
        <v>3118.9995375134895</v>
      </c>
      <c r="AC197" s="17">
        <f t="shared" si="7"/>
        <v>311.89995375134896</v>
      </c>
      <c r="AD197" s="16" t="s">
        <v>73</v>
      </c>
      <c r="AE197" s="29" t="s">
        <v>534</v>
      </c>
      <c r="AF197" s="19"/>
      <c r="AG197" s="19"/>
      <c r="AH197" s="19"/>
      <c r="AI197" s="19"/>
      <c r="AJ197" s="20"/>
      <c r="AK197" s="20"/>
      <c r="AL197" s="20"/>
      <c r="AM197" s="20"/>
      <c r="AN197" s="20"/>
      <c r="AO197" s="20"/>
      <c r="AP197" s="20"/>
      <c r="AQ197" s="20"/>
    </row>
    <row r="198" spans="1:43" ht="15.75" customHeight="1" x14ac:dyDescent="0.2">
      <c r="A198" s="21">
        <v>7523</v>
      </c>
      <c r="B198" s="16" t="s">
        <v>507</v>
      </c>
      <c r="C198" s="16" t="s">
        <v>535</v>
      </c>
      <c r="D198" s="22"/>
      <c r="E198" s="16" t="s">
        <v>536</v>
      </c>
      <c r="F198" s="13">
        <v>2014</v>
      </c>
      <c r="G198" s="13">
        <v>2022</v>
      </c>
      <c r="H198" s="13">
        <v>0</v>
      </c>
      <c r="I198" s="13">
        <v>1.6</v>
      </c>
      <c r="J198" s="23">
        <v>1</v>
      </c>
      <c r="K198" s="13">
        <v>1.6</v>
      </c>
      <c r="L198" s="13">
        <v>0</v>
      </c>
      <c r="M198" s="13">
        <v>0</v>
      </c>
      <c r="N198" s="13">
        <v>2</v>
      </c>
      <c r="O198" s="16"/>
      <c r="P198" s="16" t="s">
        <v>50</v>
      </c>
      <c r="Q198" s="24">
        <v>58700</v>
      </c>
      <c r="R198" s="16" t="s">
        <v>510</v>
      </c>
      <c r="S198" s="13">
        <v>2018</v>
      </c>
      <c r="T198" s="13">
        <v>0.01</v>
      </c>
      <c r="U198" s="13">
        <f t="shared" si="0"/>
        <v>587</v>
      </c>
      <c r="V198" s="25">
        <f t="shared" si="1"/>
        <v>366.875</v>
      </c>
      <c r="W198" s="15">
        <f t="shared" si="2"/>
        <v>0</v>
      </c>
      <c r="X198" s="15">
        <f t="shared" si="3"/>
        <v>0</v>
      </c>
      <c r="Y198" s="15">
        <f t="shared" si="4"/>
        <v>0</v>
      </c>
      <c r="Z198" s="13">
        <f t="shared" si="5"/>
        <v>0</v>
      </c>
      <c r="AA198" s="16">
        <f>VLOOKUP(S198,[1]CPI!$A$2:$D$67,4,0)</f>
        <v>1.0791017375063221</v>
      </c>
      <c r="AB198" s="17">
        <f t="shared" si="6"/>
        <v>633.43271991621111</v>
      </c>
      <c r="AC198" s="17">
        <f t="shared" si="7"/>
        <v>395.8954499476319</v>
      </c>
      <c r="AD198" s="16" t="s">
        <v>43</v>
      </c>
      <c r="AE198" s="29" t="s">
        <v>537</v>
      </c>
      <c r="AF198" s="19"/>
      <c r="AG198" s="19"/>
      <c r="AH198" s="19"/>
      <c r="AI198" s="19"/>
      <c r="AJ198" s="20"/>
      <c r="AK198" s="20"/>
      <c r="AL198" s="20"/>
      <c r="AM198" s="20"/>
      <c r="AN198" s="20"/>
      <c r="AO198" s="20"/>
      <c r="AP198" s="20"/>
      <c r="AQ198" s="20"/>
    </row>
    <row r="199" spans="1:43" ht="15.75" customHeight="1" x14ac:dyDescent="0.2">
      <c r="A199" s="21">
        <v>7528</v>
      </c>
      <c r="B199" s="16" t="s">
        <v>321</v>
      </c>
      <c r="C199" s="16" t="s">
        <v>322</v>
      </c>
      <c r="D199" s="22"/>
      <c r="E199" s="16" t="s">
        <v>538</v>
      </c>
      <c r="F199" s="13">
        <v>2015</v>
      </c>
      <c r="G199" s="13">
        <v>2023</v>
      </c>
      <c r="H199" s="13">
        <v>0</v>
      </c>
      <c r="I199" s="13">
        <v>15.9</v>
      </c>
      <c r="J199" s="23">
        <v>0.84</v>
      </c>
      <c r="K199" s="13">
        <v>13.4</v>
      </c>
      <c r="L199" s="13">
        <v>0</v>
      </c>
      <c r="M199" s="13">
        <v>0</v>
      </c>
      <c r="N199" s="13">
        <v>15</v>
      </c>
      <c r="O199" s="16"/>
      <c r="P199" s="16" t="s">
        <v>73</v>
      </c>
      <c r="Q199" s="24">
        <v>9600</v>
      </c>
      <c r="R199" s="16" t="s">
        <v>323</v>
      </c>
      <c r="S199" s="13">
        <v>2020</v>
      </c>
      <c r="T199" s="13">
        <v>0.44</v>
      </c>
      <c r="U199" s="13">
        <f t="shared" si="0"/>
        <v>4224</v>
      </c>
      <c r="V199" s="25">
        <f t="shared" si="1"/>
        <v>265.66037735849056</v>
      </c>
      <c r="W199" s="15">
        <f t="shared" si="2"/>
        <v>0</v>
      </c>
      <c r="X199" s="15">
        <f t="shared" si="3"/>
        <v>0</v>
      </c>
      <c r="Y199" s="15">
        <f t="shared" si="4"/>
        <v>0</v>
      </c>
      <c r="Z199" s="13">
        <f t="shared" si="5"/>
        <v>0</v>
      </c>
      <c r="AA199" s="16">
        <f>VLOOKUP(S199,[1]CPI!$A$2:$D$67,4,0)</f>
        <v>1.0469802288156225</v>
      </c>
      <c r="AB199" s="17">
        <f t="shared" si="6"/>
        <v>4422.444486517189</v>
      </c>
      <c r="AC199" s="17">
        <f t="shared" si="7"/>
        <v>278.14116267403705</v>
      </c>
      <c r="AD199" s="16" t="s">
        <v>73</v>
      </c>
      <c r="AE199" s="26" t="s">
        <v>539</v>
      </c>
      <c r="AF199" s="27"/>
      <c r="AG199" s="27"/>
      <c r="AH199" s="27"/>
      <c r="AI199" s="27"/>
      <c r="AJ199" s="28"/>
      <c r="AK199" s="28"/>
      <c r="AL199" s="28"/>
      <c r="AM199" s="28"/>
      <c r="AN199" s="28"/>
      <c r="AO199" s="28"/>
      <c r="AP199" s="28"/>
      <c r="AQ199" s="28"/>
    </row>
    <row r="200" spans="1:43" ht="15.75" customHeight="1" x14ac:dyDescent="0.2">
      <c r="A200" s="21">
        <v>7529</v>
      </c>
      <c r="B200" s="16" t="s">
        <v>540</v>
      </c>
      <c r="C200" s="16" t="s">
        <v>541</v>
      </c>
      <c r="D200" s="22"/>
      <c r="E200" s="16" t="s">
        <v>542</v>
      </c>
      <c r="F200" s="13">
        <v>2008</v>
      </c>
      <c r="G200" s="13">
        <v>2013</v>
      </c>
      <c r="H200" s="13">
        <v>1</v>
      </c>
      <c r="I200" s="13">
        <v>1.5</v>
      </c>
      <c r="J200" s="23">
        <v>0.9</v>
      </c>
      <c r="K200" s="13">
        <v>1.4</v>
      </c>
      <c r="L200" s="13">
        <v>0</v>
      </c>
      <c r="M200" s="13">
        <v>0</v>
      </c>
      <c r="N200" s="13">
        <v>1</v>
      </c>
      <c r="O200" s="16"/>
      <c r="P200" s="16" t="s">
        <v>35</v>
      </c>
      <c r="Q200" s="24">
        <v>220.2</v>
      </c>
      <c r="R200" s="16" t="s">
        <v>543</v>
      </c>
      <c r="S200" s="13">
        <v>2010</v>
      </c>
      <c r="T200" s="13">
        <v>0.68</v>
      </c>
      <c r="U200" s="13">
        <f t="shared" si="0"/>
        <v>149.73599999999999</v>
      </c>
      <c r="V200" s="25">
        <f t="shared" si="1"/>
        <v>99.823999999999998</v>
      </c>
      <c r="W200" s="15">
        <f t="shared" si="2"/>
        <v>1</v>
      </c>
      <c r="X200" s="15">
        <f t="shared" si="3"/>
        <v>1.5</v>
      </c>
      <c r="Y200" s="15">
        <f t="shared" si="4"/>
        <v>1.4</v>
      </c>
      <c r="Z200" s="13">
        <f t="shared" si="5"/>
        <v>0</v>
      </c>
      <c r="AA200" s="16">
        <f>VLOOKUP(S200,[1]CPI!$A$2:$D$67,4,0)</f>
        <v>1.2426624353377114</v>
      </c>
      <c r="AB200" s="17">
        <f t="shared" si="6"/>
        <v>186.07130241772754</v>
      </c>
      <c r="AC200" s="17">
        <f t="shared" si="7"/>
        <v>124.0475349451517</v>
      </c>
      <c r="AD200" s="16" t="s">
        <v>35</v>
      </c>
      <c r="AE200" s="29" t="s">
        <v>544</v>
      </c>
      <c r="AF200" s="27"/>
      <c r="AG200" s="27"/>
      <c r="AH200" s="27"/>
      <c r="AI200" s="27"/>
      <c r="AJ200" s="28"/>
      <c r="AK200" s="28"/>
      <c r="AL200" s="28"/>
      <c r="AM200" s="28"/>
      <c r="AN200" s="28"/>
      <c r="AO200" s="28"/>
      <c r="AP200" s="28"/>
      <c r="AQ200" s="28"/>
    </row>
    <row r="201" spans="1:43" ht="15.75" customHeight="1" x14ac:dyDescent="0.2">
      <c r="A201" s="21">
        <v>7530</v>
      </c>
      <c r="B201" s="16" t="s">
        <v>540</v>
      </c>
      <c r="C201" s="16" t="s">
        <v>545</v>
      </c>
      <c r="D201" s="22"/>
      <c r="E201" s="16" t="s">
        <v>546</v>
      </c>
      <c r="F201" s="13">
        <v>2007</v>
      </c>
      <c r="G201" s="13">
        <v>2014</v>
      </c>
      <c r="H201" s="13">
        <v>1</v>
      </c>
      <c r="I201" s="13">
        <v>9.6</v>
      </c>
      <c r="J201" s="23">
        <v>0.5</v>
      </c>
      <c r="K201" s="13">
        <v>4.8</v>
      </c>
      <c r="L201" s="13">
        <v>0.2</v>
      </c>
      <c r="M201" s="13">
        <v>4.5999999999999996</v>
      </c>
      <c r="N201" s="13">
        <v>1</v>
      </c>
      <c r="O201" s="16"/>
      <c r="P201" s="16" t="s">
        <v>73</v>
      </c>
      <c r="Q201" s="24">
        <v>2030</v>
      </c>
      <c r="R201" s="16" t="s">
        <v>543</v>
      </c>
      <c r="S201" s="13">
        <v>2010</v>
      </c>
      <c r="T201" s="13">
        <v>0.68</v>
      </c>
      <c r="U201" s="13">
        <f t="shared" si="0"/>
        <v>1380.4</v>
      </c>
      <c r="V201" s="25">
        <f t="shared" si="1"/>
        <v>143.79166666666669</v>
      </c>
      <c r="W201" s="15">
        <f t="shared" si="2"/>
        <v>1</v>
      </c>
      <c r="X201" s="15">
        <f t="shared" si="3"/>
        <v>9.6</v>
      </c>
      <c r="Y201" s="15">
        <f t="shared" si="4"/>
        <v>4.8</v>
      </c>
      <c r="Z201" s="13">
        <f t="shared" si="5"/>
        <v>0</v>
      </c>
      <c r="AA201" s="16">
        <f>VLOOKUP(S201,[1]CPI!$A$2:$D$67,4,0)</f>
        <v>1.2426624353377114</v>
      </c>
      <c r="AB201" s="17">
        <f t="shared" si="6"/>
        <v>1715.3712257401769</v>
      </c>
      <c r="AC201" s="17">
        <f t="shared" si="7"/>
        <v>178.68450268126844</v>
      </c>
      <c r="AD201" s="16" t="s">
        <v>73</v>
      </c>
      <c r="AE201" s="26" t="s">
        <v>547</v>
      </c>
      <c r="AF201" s="27"/>
      <c r="AG201" s="27"/>
      <c r="AH201" s="27"/>
      <c r="AI201" s="27"/>
      <c r="AJ201" s="28"/>
      <c r="AK201" s="28"/>
      <c r="AL201" s="28"/>
      <c r="AM201" s="28"/>
      <c r="AN201" s="28"/>
      <c r="AO201" s="28"/>
      <c r="AP201" s="28"/>
      <c r="AQ201" s="28"/>
    </row>
    <row r="202" spans="1:43" ht="15.75" customHeight="1" x14ac:dyDescent="0.2">
      <c r="A202" s="21">
        <v>7531</v>
      </c>
      <c r="B202" s="16" t="s">
        <v>507</v>
      </c>
      <c r="C202" s="16" t="s">
        <v>515</v>
      </c>
      <c r="D202" s="22"/>
      <c r="E202" s="16" t="s">
        <v>548</v>
      </c>
      <c r="F202" s="13">
        <v>1997</v>
      </c>
      <c r="G202" s="13">
        <v>2005</v>
      </c>
      <c r="H202" s="13">
        <v>0</v>
      </c>
      <c r="I202" s="13">
        <v>58.3</v>
      </c>
      <c r="J202" s="23">
        <v>0.28000000000000003</v>
      </c>
      <c r="K202" s="13">
        <v>16.3</v>
      </c>
      <c r="L202" s="13">
        <v>0</v>
      </c>
      <c r="M202" s="13">
        <v>0</v>
      </c>
      <c r="N202" s="13">
        <v>20</v>
      </c>
      <c r="O202" s="16"/>
      <c r="P202" s="16" t="s">
        <v>35</v>
      </c>
      <c r="Q202" s="24">
        <v>949400</v>
      </c>
      <c r="R202" s="16" t="s">
        <v>510</v>
      </c>
      <c r="S202" s="13">
        <v>2001</v>
      </c>
      <c r="T202" s="13">
        <v>7.7000000000000002E-3</v>
      </c>
      <c r="U202" s="13">
        <f t="shared" si="0"/>
        <v>7310.38</v>
      </c>
      <c r="V202" s="25">
        <f t="shared" si="1"/>
        <v>125.39245283018869</v>
      </c>
      <c r="W202" s="15">
        <f t="shared" si="2"/>
        <v>0</v>
      </c>
      <c r="X202" s="15">
        <f t="shared" si="3"/>
        <v>0</v>
      </c>
      <c r="Y202" s="15">
        <f t="shared" si="4"/>
        <v>0</v>
      </c>
      <c r="Z202" s="13">
        <f t="shared" si="5"/>
        <v>0</v>
      </c>
      <c r="AA202" s="16">
        <f>VLOOKUP(S202,[1]CPI!$A$2:$D$67,4,0)</f>
        <v>1.5300395256916999</v>
      </c>
      <c r="AB202" s="17">
        <f t="shared" si="6"/>
        <v>11185.17034782609</v>
      </c>
      <c r="AC202" s="17">
        <f t="shared" si="7"/>
        <v>191.85540905362075</v>
      </c>
      <c r="AD202" s="16" t="s">
        <v>35</v>
      </c>
      <c r="AE202" s="26" t="s">
        <v>549</v>
      </c>
      <c r="AF202" s="19"/>
      <c r="AG202" s="19"/>
      <c r="AH202" s="19"/>
      <c r="AI202" s="19"/>
      <c r="AJ202" s="20"/>
      <c r="AK202" s="20"/>
      <c r="AL202" s="20"/>
      <c r="AM202" s="20"/>
      <c r="AN202" s="20"/>
      <c r="AO202" s="20"/>
      <c r="AP202" s="20"/>
      <c r="AQ202" s="20"/>
    </row>
    <row r="203" spans="1:43" ht="15.75" customHeight="1" x14ac:dyDescent="0.2">
      <c r="A203" s="21">
        <v>7536</v>
      </c>
      <c r="B203" s="16" t="s">
        <v>267</v>
      </c>
      <c r="C203" s="16" t="s">
        <v>550</v>
      </c>
      <c r="D203" s="22"/>
      <c r="E203" s="16" t="s">
        <v>551</v>
      </c>
      <c r="F203" s="13">
        <v>2017</v>
      </c>
      <c r="G203" s="13">
        <v>2024</v>
      </c>
      <c r="H203" s="13">
        <v>0</v>
      </c>
      <c r="I203" s="13">
        <v>73.900000000000006</v>
      </c>
      <c r="J203" s="23">
        <v>0.1867</v>
      </c>
      <c r="K203" s="13">
        <v>13.8</v>
      </c>
      <c r="L203" s="13">
        <v>0</v>
      </c>
      <c r="M203" s="13">
        <v>0</v>
      </c>
      <c r="N203" s="13">
        <v>62</v>
      </c>
      <c r="O203" s="16"/>
      <c r="P203" s="16" t="s">
        <v>73</v>
      </c>
      <c r="Q203" s="24">
        <v>306950</v>
      </c>
      <c r="R203" s="16" t="s">
        <v>270</v>
      </c>
      <c r="S203" s="13">
        <v>2020</v>
      </c>
      <c r="T203" s="13">
        <v>4.7E-2</v>
      </c>
      <c r="U203" s="13">
        <f t="shared" si="0"/>
        <v>14426.65</v>
      </c>
      <c r="V203" s="25">
        <f t="shared" si="1"/>
        <v>195.21853856562922</v>
      </c>
      <c r="W203" s="15">
        <f t="shared" si="2"/>
        <v>0</v>
      </c>
      <c r="X203" s="15">
        <f t="shared" si="3"/>
        <v>0</v>
      </c>
      <c r="Y203" s="15">
        <f t="shared" si="4"/>
        <v>0</v>
      </c>
      <c r="Z203" s="13">
        <f t="shared" si="5"/>
        <v>0</v>
      </c>
      <c r="AA203" s="16">
        <f>VLOOKUP(S203,[1]CPI!$A$2:$D$67,4,0)</f>
        <v>1.0469802288156225</v>
      </c>
      <c r="AB203" s="17">
        <f t="shared" si="6"/>
        <v>15104.417318042899</v>
      </c>
      <c r="AC203" s="17">
        <f t="shared" si="7"/>
        <v>204.3899501764939</v>
      </c>
      <c r="AD203" s="16" t="s">
        <v>43</v>
      </c>
      <c r="AE203" s="29" t="s">
        <v>552</v>
      </c>
      <c r="AF203" s="19"/>
      <c r="AG203" s="19"/>
      <c r="AH203" s="19"/>
      <c r="AI203" s="19"/>
      <c r="AJ203" s="20"/>
      <c r="AK203" s="20"/>
      <c r="AL203" s="20"/>
      <c r="AM203" s="20"/>
      <c r="AN203" s="20"/>
      <c r="AO203" s="20"/>
      <c r="AP203" s="20"/>
      <c r="AQ203" s="20"/>
    </row>
    <row r="204" spans="1:43" ht="15.75" customHeight="1" x14ac:dyDescent="0.2">
      <c r="A204" s="21">
        <v>7537</v>
      </c>
      <c r="B204" s="16" t="s">
        <v>267</v>
      </c>
      <c r="C204" s="16" t="s">
        <v>550</v>
      </c>
      <c r="D204" s="22"/>
      <c r="E204" s="16" t="s">
        <v>553</v>
      </c>
      <c r="F204" s="13">
        <v>2006</v>
      </c>
      <c r="G204" s="13">
        <v>2017</v>
      </c>
      <c r="H204" s="13">
        <v>0</v>
      </c>
      <c r="I204" s="13">
        <v>42.3</v>
      </c>
      <c r="J204" s="23">
        <v>0.2</v>
      </c>
      <c r="K204" s="13">
        <v>8.5</v>
      </c>
      <c r="L204" s="13">
        <v>0</v>
      </c>
      <c r="M204" s="13">
        <v>0</v>
      </c>
      <c r="N204" s="13">
        <v>41</v>
      </c>
      <c r="O204" s="16"/>
      <c r="P204" s="16" t="s">
        <v>50</v>
      </c>
      <c r="Q204" s="24">
        <v>144050</v>
      </c>
      <c r="R204" s="16" t="s">
        <v>270</v>
      </c>
      <c r="S204" s="13">
        <v>2011</v>
      </c>
      <c r="T204" s="13">
        <v>6.4000000000000001E-2</v>
      </c>
      <c r="U204" s="13">
        <f t="shared" si="0"/>
        <v>9219.2000000000007</v>
      </c>
      <c r="V204" s="25">
        <f t="shared" si="1"/>
        <v>217.94799054373524</v>
      </c>
      <c r="W204" s="15">
        <f t="shared" si="2"/>
        <v>0</v>
      </c>
      <c r="X204" s="15">
        <f t="shared" si="3"/>
        <v>0</v>
      </c>
      <c r="Y204" s="15">
        <f t="shared" si="4"/>
        <v>0</v>
      </c>
      <c r="Z204" s="13">
        <f t="shared" si="5"/>
        <v>0</v>
      </c>
      <c r="AA204" s="16">
        <f>VLOOKUP(S204,[1]CPI!$A$2:$D$67,4,0)</f>
        <v>1.2046377017769263</v>
      </c>
      <c r="AB204" s="17">
        <f t="shared" si="6"/>
        <v>11105.795900221839</v>
      </c>
      <c r="AC204" s="17">
        <f t="shared" si="7"/>
        <v>262.54836643550448</v>
      </c>
      <c r="AD204" s="16" t="s">
        <v>43</v>
      </c>
      <c r="AE204" s="26" t="s">
        <v>554</v>
      </c>
      <c r="AF204" s="19"/>
      <c r="AG204" s="19"/>
      <c r="AH204" s="19"/>
      <c r="AI204" s="19"/>
      <c r="AJ204" s="20"/>
      <c r="AK204" s="20"/>
      <c r="AL204" s="20"/>
      <c r="AM204" s="20"/>
      <c r="AN204" s="20"/>
      <c r="AO204" s="20"/>
      <c r="AP204" s="20"/>
      <c r="AQ204" s="20"/>
    </row>
    <row r="205" spans="1:43" ht="15.75" customHeight="1" x14ac:dyDescent="0.2">
      <c r="A205" s="21">
        <v>7538</v>
      </c>
      <c r="B205" s="16" t="s">
        <v>267</v>
      </c>
      <c r="C205" s="16" t="s">
        <v>555</v>
      </c>
      <c r="D205" s="22" t="s">
        <v>555</v>
      </c>
      <c r="E205" s="16" t="s">
        <v>553</v>
      </c>
      <c r="F205" s="13">
        <v>2009</v>
      </c>
      <c r="G205" s="13">
        <v>2013</v>
      </c>
      <c r="H205" s="13">
        <v>0</v>
      </c>
      <c r="I205" s="13">
        <v>5.5</v>
      </c>
      <c r="J205" s="23">
        <v>0</v>
      </c>
      <c r="K205" s="13">
        <v>0</v>
      </c>
      <c r="L205" s="13">
        <v>0</v>
      </c>
      <c r="M205" s="13">
        <v>0</v>
      </c>
      <c r="N205" s="13">
        <v>6</v>
      </c>
      <c r="O205" s="16"/>
      <c r="P205" s="16" t="s">
        <v>50</v>
      </c>
      <c r="Q205" s="24">
        <v>10880</v>
      </c>
      <c r="R205" s="16" t="s">
        <v>270</v>
      </c>
      <c r="S205" s="13">
        <v>2011</v>
      </c>
      <c r="T205" s="13">
        <v>6.4000000000000001E-2</v>
      </c>
      <c r="U205" s="13">
        <f t="shared" si="0"/>
        <v>696.32</v>
      </c>
      <c r="V205" s="25">
        <f t="shared" si="1"/>
        <v>126.60363636363637</v>
      </c>
      <c r="W205" s="15">
        <f t="shared" si="2"/>
        <v>0</v>
      </c>
      <c r="X205" s="15">
        <f t="shared" si="3"/>
        <v>0</v>
      </c>
      <c r="Y205" s="15">
        <f t="shared" si="4"/>
        <v>0</v>
      </c>
      <c r="Z205" s="13">
        <f t="shared" si="5"/>
        <v>0</v>
      </c>
      <c r="AA205" s="16">
        <f>VLOOKUP(S205,[1]CPI!$A$2:$D$67,4,0)</f>
        <v>1.2046377017769263</v>
      </c>
      <c r="AB205" s="17">
        <f t="shared" si="6"/>
        <v>838.81332450130935</v>
      </c>
      <c r="AC205" s="17">
        <f t="shared" si="7"/>
        <v>152.51151354569262</v>
      </c>
      <c r="AD205" s="16" t="s">
        <v>43</v>
      </c>
      <c r="AE205" s="29" t="s">
        <v>556</v>
      </c>
      <c r="AF205" s="19"/>
      <c r="AG205" s="19"/>
      <c r="AH205" s="19"/>
      <c r="AI205" s="19"/>
      <c r="AJ205" s="20"/>
      <c r="AK205" s="20"/>
      <c r="AL205" s="20"/>
      <c r="AM205" s="20"/>
      <c r="AN205" s="20"/>
      <c r="AO205" s="20"/>
      <c r="AP205" s="20"/>
      <c r="AQ205" s="20"/>
    </row>
    <row r="206" spans="1:43" ht="15.75" customHeight="1" x14ac:dyDescent="0.2">
      <c r="A206" s="21">
        <v>7539</v>
      </c>
      <c r="B206" s="16" t="s">
        <v>267</v>
      </c>
      <c r="C206" s="16" t="s">
        <v>555</v>
      </c>
      <c r="D206" s="22" t="s">
        <v>555</v>
      </c>
      <c r="E206" s="16" t="s">
        <v>551</v>
      </c>
      <c r="F206" s="13">
        <v>2013</v>
      </c>
      <c r="G206" s="13">
        <v>2017</v>
      </c>
      <c r="H206" s="13">
        <v>0</v>
      </c>
      <c r="I206" s="13">
        <v>6.3</v>
      </c>
      <c r="J206" s="23">
        <v>0</v>
      </c>
      <c r="K206" s="13">
        <v>0</v>
      </c>
      <c r="L206" s="13">
        <v>0</v>
      </c>
      <c r="M206" s="13">
        <v>0</v>
      </c>
      <c r="N206" s="13">
        <v>5</v>
      </c>
      <c r="O206" s="16"/>
      <c r="P206" s="16" t="s">
        <v>50</v>
      </c>
      <c r="Q206" s="24">
        <v>24230</v>
      </c>
      <c r="R206" s="16" t="s">
        <v>270</v>
      </c>
      <c r="S206" s="13">
        <v>2015</v>
      </c>
      <c r="T206" s="13">
        <v>5.1999999999999998E-2</v>
      </c>
      <c r="U206" s="13">
        <f t="shared" si="0"/>
        <v>1259.96</v>
      </c>
      <c r="V206" s="25">
        <f t="shared" si="1"/>
        <v>199.9936507936508</v>
      </c>
      <c r="W206" s="15">
        <f t="shared" si="2"/>
        <v>0</v>
      </c>
      <c r="X206" s="15">
        <f t="shared" si="3"/>
        <v>0</v>
      </c>
      <c r="Y206" s="15">
        <f t="shared" si="4"/>
        <v>0</v>
      </c>
      <c r="Z206" s="13">
        <f t="shared" si="5"/>
        <v>0</v>
      </c>
      <c r="AA206" s="16">
        <f>VLOOKUP(S206,[1]CPI!$A$2:$D$67,4,0)</f>
        <v>1.143251327963817</v>
      </c>
      <c r="AB206" s="17">
        <f t="shared" si="6"/>
        <v>1440.450943181291</v>
      </c>
      <c r="AC206" s="17">
        <f t="shared" si="7"/>
        <v>228.64300685417317</v>
      </c>
      <c r="AD206" s="16" t="s">
        <v>43</v>
      </c>
      <c r="AE206" s="29" t="s">
        <v>557</v>
      </c>
      <c r="AF206" s="19"/>
      <c r="AG206" s="19"/>
      <c r="AH206" s="19"/>
      <c r="AI206" s="19"/>
      <c r="AJ206" s="20"/>
      <c r="AK206" s="20"/>
      <c r="AL206" s="20"/>
      <c r="AM206" s="20"/>
      <c r="AN206" s="20"/>
      <c r="AO206" s="20"/>
      <c r="AP206" s="20"/>
      <c r="AQ206" s="20"/>
    </row>
    <row r="207" spans="1:43" ht="15.75" customHeight="1" x14ac:dyDescent="0.2">
      <c r="A207" s="21">
        <v>7544</v>
      </c>
      <c r="B207" s="16" t="s">
        <v>267</v>
      </c>
      <c r="C207" s="16" t="s">
        <v>558</v>
      </c>
      <c r="D207" s="22" t="s">
        <v>558</v>
      </c>
      <c r="E207" s="16" t="s">
        <v>553</v>
      </c>
      <c r="F207" s="13">
        <v>2014</v>
      </c>
      <c r="G207" s="13">
        <v>2020</v>
      </c>
      <c r="H207" s="13">
        <v>0</v>
      </c>
      <c r="I207" s="13">
        <v>38.200000000000003</v>
      </c>
      <c r="J207" s="23">
        <v>0</v>
      </c>
      <c r="K207" s="13">
        <v>0</v>
      </c>
      <c r="L207" s="13">
        <v>0</v>
      </c>
      <c r="M207" s="13">
        <v>0</v>
      </c>
      <c r="N207" s="13">
        <v>40</v>
      </c>
      <c r="O207" s="16"/>
      <c r="P207" s="16" t="s">
        <v>43</v>
      </c>
      <c r="Q207" s="24">
        <v>86800</v>
      </c>
      <c r="R207" s="16" t="s">
        <v>270</v>
      </c>
      <c r="S207" s="13">
        <v>2014</v>
      </c>
      <c r="T207" s="13">
        <v>5.3999999999999999E-2</v>
      </c>
      <c r="U207" s="13">
        <f t="shared" si="0"/>
        <v>4687.2</v>
      </c>
      <c r="V207" s="25">
        <f t="shared" si="1"/>
        <v>122.70157068062827</v>
      </c>
      <c r="W207" s="15">
        <f t="shared" si="2"/>
        <v>0</v>
      </c>
      <c r="X207" s="15">
        <f t="shared" si="3"/>
        <v>0</v>
      </c>
      <c r="Y207" s="15">
        <f t="shared" si="4"/>
        <v>0</v>
      </c>
      <c r="Z207" s="13">
        <f t="shared" si="5"/>
        <v>0</v>
      </c>
      <c r="AA207" s="16">
        <f>VLOOKUP(S207,[1]CPI!$A$2:$D$67,4,0)</f>
        <v>1.1446083400919169</v>
      </c>
      <c r="AB207" s="17">
        <f t="shared" si="6"/>
        <v>5365.0082116788326</v>
      </c>
      <c r="AC207" s="17">
        <f t="shared" si="7"/>
        <v>140.44524114342494</v>
      </c>
      <c r="AD207" s="16" t="s">
        <v>35</v>
      </c>
      <c r="AE207" s="26" t="s">
        <v>559</v>
      </c>
      <c r="AF207" s="19"/>
      <c r="AG207" s="19"/>
      <c r="AH207" s="19"/>
      <c r="AI207" s="19"/>
      <c r="AJ207" s="20"/>
      <c r="AK207" s="20"/>
      <c r="AL207" s="20"/>
      <c r="AM207" s="20"/>
      <c r="AN207" s="20"/>
      <c r="AO207" s="20"/>
      <c r="AP207" s="20"/>
      <c r="AQ207" s="20"/>
    </row>
    <row r="208" spans="1:43" ht="15.75" customHeight="1" x14ac:dyDescent="0.2">
      <c r="A208" s="21">
        <v>7545</v>
      </c>
      <c r="B208" s="16" t="s">
        <v>267</v>
      </c>
      <c r="C208" s="16" t="s">
        <v>558</v>
      </c>
      <c r="D208" s="22" t="s">
        <v>558</v>
      </c>
      <c r="E208" s="16" t="s">
        <v>551</v>
      </c>
      <c r="F208" s="13"/>
      <c r="G208" s="13"/>
      <c r="H208" s="13">
        <v>0</v>
      </c>
      <c r="I208" s="13">
        <v>43.8</v>
      </c>
      <c r="J208" s="23">
        <v>0</v>
      </c>
      <c r="K208" s="13">
        <v>0</v>
      </c>
      <c r="L208" s="13">
        <v>0</v>
      </c>
      <c r="M208" s="13">
        <v>0</v>
      </c>
      <c r="N208" s="13">
        <v>32</v>
      </c>
      <c r="O208" s="16"/>
      <c r="P208" s="16" t="s">
        <v>35</v>
      </c>
      <c r="Q208" s="24">
        <v>112160</v>
      </c>
      <c r="R208" s="16" t="s">
        <v>270</v>
      </c>
      <c r="S208" s="13">
        <v>2018</v>
      </c>
      <c r="T208" s="13">
        <v>4.8000000000000001E-2</v>
      </c>
      <c r="U208" s="13">
        <f t="shared" si="0"/>
        <v>5383.68</v>
      </c>
      <c r="V208" s="25">
        <f t="shared" si="1"/>
        <v>122.9150684931507</v>
      </c>
      <c r="W208" s="15">
        <f t="shared" si="2"/>
        <v>0</v>
      </c>
      <c r="X208" s="15">
        <f t="shared" si="3"/>
        <v>0</v>
      </c>
      <c r="Y208" s="15">
        <f t="shared" si="4"/>
        <v>0</v>
      </c>
      <c r="Z208" s="13">
        <f t="shared" si="5"/>
        <v>0</v>
      </c>
      <c r="AA208" s="16">
        <f>VLOOKUP(S208,[1]CPI!$A$2:$D$67,4,0)</f>
        <v>1.0791017375063221</v>
      </c>
      <c r="AB208" s="17">
        <f t="shared" si="6"/>
        <v>5809.5384421780363</v>
      </c>
      <c r="AC208" s="17">
        <f t="shared" si="7"/>
        <v>132.63786397666752</v>
      </c>
      <c r="AD208" s="16" t="s">
        <v>43</v>
      </c>
      <c r="AE208" s="29" t="s">
        <v>560</v>
      </c>
      <c r="AF208" s="19"/>
      <c r="AG208" s="19"/>
      <c r="AH208" s="19"/>
      <c r="AI208" s="19"/>
      <c r="AJ208" s="20"/>
      <c r="AK208" s="20"/>
      <c r="AL208" s="20"/>
      <c r="AM208" s="20"/>
      <c r="AN208" s="20"/>
      <c r="AO208" s="20"/>
      <c r="AP208" s="20"/>
      <c r="AQ208" s="20"/>
    </row>
    <row r="209" spans="1:43" ht="15.75" customHeight="1" x14ac:dyDescent="0.2">
      <c r="A209" s="21">
        <v>7546</v>
      </c>
      <c r="B209" s="16" t="s">
        <v>267</v>
      </c>
      <c r="C209" s="16" t="s">
        <v>561</v>
      </c>
      <c r="D209" s="22"/>
      <c r="E209" s="16" t="s">
        <v>553</v>
      </c>
      <c r="F209" s="13">
        <v>2015</v>
      </c>
      <c r="G209" s="13">
        <v>2023</v>
      </c>
      <c r="H209" s="13">
        <v>0</v>
      </c>
      <c r="I209" s="13">
        <v>40</v>
      </c>
      <c r="J209" s="23">
        <v>0.16</v>
      </c>
      <c r="K209" s="13">
        <v>6.4</v>
      </c>
      <c r="L209" s="13">
        <v>0</v>
      </c>
      <c r="M209" s="13">
        <v>0</v>
      </c>
      <c r="N209" s="13">
        <v>33</v>
      </c>
      <c r="O209" s="16"/>
      <c r="P209" s="16" t="s">
        <v>50</v>
      </c>
      <c r="Q209" s="24">
        <v>127000</v>
      </c>
      <c r="R209" s="16" t="s">
        <v>270</v>
      </c>
      <c r="S209" s="13">
        <v>2019</v>
      </c>
      <c r="T209" s="13">
        <v>4.7E-2</v>
      </c>
      <c r="U209" s="13">
        <f t="shared" si="0"/>
        <v>5969</v>
      </c>
      <c r="V209" s="25">
        <f t="shared" si="1"/>
        <v>149.22499999999999</v>
      </c>
      <c r="W209" s="15">
        <f t="shared" si="2"/>
        <v>0</v>
      </c>
      <c r="X209" s="15">
        <f t="shared" si="3"/>
        <v>0</v>
      </c>
      <c r="Y209" s="15">
        <f t="shared" si="4"/>
        <v>0</v>
      </c>
      <c r="Z209" s="13">
        <f t="shared" si="5"/>
        <v>0</v>
      </c>
      <c r="AA209" s="16">
        <f>VLOOKUP(S209,[1]CPI!$A$2:$D$67,4,0)</f>
        <v>1.0598966584134211</v>
      </c>
      <c r="AB209" s="17">
        <f t="shared" si="6"/>
        <v>6326.5231540697105</v>
      </c>
      <c r="AC209" s="17">
        <f t="shared" si="7"/>
        <v>158.16307885174274</v>
      </c>
      <c r="AD209" s="16" t="s">
        <v>43</v>
      </c>
      <c r="AE209" s="29" t="s">
        <v>562</v>
      </c>
      <c r="AF209" s="19"/>
      <c r="AG209" s="19"/>
      <c r="AH209" s="19"/>
      <c r="AI209" s="19"/>
      <c r="AJ209" s="20"/>
      <c r="AK209" s="20"/>
      <c r="AL209" s="20"/>
      <c r="AM209" s="20"/>
      <c r="AN209" s="20"/>
      <c r="AO209" s="20"/>
      <c r="AP209" s="20"/>
      <c r="AQ209" s="20"/>
    </row>
    <row r="210" spans="1:43" ht="15.75" customHeight="1" x14ac:dyDescent="0.2">
      <c r="A210" s="21">
        <v>7547</v>
      </c>
      <c r="B210" s="16" t="s">
        <v>267</v>
      </c>
      <c r="C210" s="16" t="s">
        <v>563</v>
      </c>
      <c r="D210" s="22"/>
      <c r="E210" s="16" t="s">
        <v>553</v>
      </c>
      <c r="F210" s="13">
        <v>2012</v>
      </c>
      <c r="G210" s="13">
        <v>2020</v>
      </c>
      <c r="H210" s="13">
        <v>0</v>
      </c>
      <c r="I210" s="13">
        <v>72</v>
      </c>
      <c r="J210" s="23">
        <v>0</v>
      </c>
      <c r="K210" s="13">
        <v>0</v>
      </c>
      <c r="L210" s="13">
        <v>0</v>
      </c>
      <c r="M210" s="13">
        <v>0</v>
      </c>
      <c r="N210" s="13">
        <v>66</v>
      </c>
      <c r="O210" s="16"/>
      <c r="P210" s="16" t="s">
        <v>43</v>
      </c>
      <c r="Q210" s="24">
        <v>188000</v>
      </c>
      <c r="R210" s="16" t="s">
        <v>270</v>
      </c>
      <c r="S210" s="13">
        <v>2016</v>
      </c>
      <c r="T210" s="13">
        <v>0.05</v>
      </c>
      <c r="U210" s="13">
        <f t="shared" si="0"/>
        <v>9400</v>
      </c>
      <c r="V210" s="25">
        <f t="shared" si="1"/>
        <v>130.55555555555554</v>
      </c>
      <c r="W210" s="15">
        <f t="shared" si="2"/>
        <v>0</v>
      </c>
      <c r="X210" s="15">
        <f t="shared" si="3"/>
        <v>0</v>
      </c>
      <c r="Y210" s="15">
        <f t="shared" si="4"/>
        <v>0</v>
      </c>
      <c r="Z210" s="13">
        <f t="shared" si="5"/>
        <v>0</v>
      </c>
      <c r="AA210" s="16">
        <f>VLOOKUP(S210,[1]CPI!$A$2:$D$67,4,0)</f>
        <v>1.1290087372451638</v>
      </c>
      <c r="AB210" s="17">
        <f t="shared" si="6"/>
        <v>10612.68213010454</v>
      </c>
      <c r="AC210" s="17">
        <f t="shared" si="7"/>
        <v>147.39836291811861</v>
      </c>
      <c r="AD210" s="16" t="s">
        <v>43</v>
      </c>
      <c r="AE210" s="29" t="s">
        <v>564</v>
      </c>
      <c r="AF210" s="19"/>
      <c r="AG210" s="19"/>
      <c r="AH210" s="19"/>
      <c r="AI210" s="19"/>
      <c r="AJ210" s="20"/>
      <c r="AK210" s="20"/>
      <c r="AL210" s="20"/>
      <c r="AM210" s="20"/>
      <c r="AN210" s="20"/>
      <c r="AO210" s="20"/>
      <c r="AP210" s="20"/>
      <c r="AQ210" s="20"/>
    </row>
    <row r="211" spans="1:43" ht="15.75" customHeight="1" x14ac:dyDescent="0.2">
      <c r="A211" s="21">
        <v>7552</v>
      </c>
      <c r="B211" s="16" t="s">
        <v>267</v>
      </c>
      <c r="C211" s="16" t="s">
        <v>563</v>
      </c>
      <c r="D211" s="22"/>
      <c r="E211" s="16" t="s">
        <v>565</v>
      </c>
      <c r="F211" s="13">
        <v>2020</v>
      </c>
      <c r="G211" s="16"/>
      <c r="H211" s="13">
        <v>0</v>
      </c>
      <c r="I211" s="13">
        <v>31</v>
      </c>
      <c r="J211" s="23">
        <v>0.08</v>
      </c>
      <c r="K211" s="13">
        <v>2.5</v>
      </c>
      <c r="L211" s="13">
        <v>0</v>
      </c>
      <c r="M211" s="13">
        <v>0</v>
      </c>
      <c r="N211" s="13">
        <v>10</v>
      </c>
      <c r="O211" s="16"/>
      <c r="P211" s="16" t="s">
        <v>43</v>
      </c>
      <c r="Q211" s="24">
        <v>46500</v>
      </c>
      <c r="R211" s="16" t="s">
        <v>270</v>
      </c>
      <c r="S211" s="13">
        <v>2020</v>
      </c>
      <c r="T211" s="13">
        <v>4.7E-2</v>
      </c>
      <c r="U211" s="13">
        <f t="shared" si="0"/>
        <v>2185.5</v>
      </c>
      <c r="V211" s="25">
        <f t="shared" si="1"/>
        <v>70.5</v>
      </c>
      <c r="W211" s="15">
        <f t="shared" si="2"/>
        <v>0</v>
      </c>
      <c r="X211" s="15">
        <f t="shared" si="3"/>
        <v>0</v>
      </c>
      <c r="Y211" s="15">
        <f t="shared" si="4"/>
        <v>0</v>
      </c>
      <c r="Z211" s="13">
        <f t="shared" si="5"/>
        <v>0</v>
      </c>
      <c r="AA211" s="16">
        <f>VLOOKUP(S211,[1]CPI!$A$2:$D$67,4,0)</f>
        <v>1.0469802288156225</v>
      </c>
      <c r="AB211" s="17">
        <f t="shared" si="6"/>
        <v>2288.1752900765428</v>
      </c>
      <c r="AC211" s="17">
        <f t="shared" si="7"/>
        <v>73.81210613150138</v>
      </c>
      <c r="AD211" s="16" t="s">
        <v>43</v>
      </c>
      <c r="AE211" s="29" t="s">
        <v>566</v>
      </c>
      <c r="AF211" s="19"/>
      <c r="AG211" s="19"/>
      <c r="AH211" s="19"/>
      <c r="AI211" s="19"/>
      <c r="AJ211" s="20"/>
      <c r="AK211" s="20"/>
      <c r="AL211" s="20"/>
      <c r="AM211" s="20"/>
      <c r="AN211" s="20"/>
      <c r="AO211" s="20"/>
      <c r="AP211" s="20"/>
      <c r="AQ211" s="20"/>
    </row>
    <row r="212" spans="1:43" ht="15.75" customHeight="1" x14ac:dyDescent="0.2">
      <c r="A212" s="21">
        <v>7553</v>
      </c>
      <c r="B212" s="16" t="s">
        <v>267</v>
      </c>
      <c r="C212" s="16" t="s">
        <v>567</v>
      </c>
      <c r="D212" s="22" t="s">
        <v>553</v>
      </c>
      <c r="E212" s="16" t="s">
        <v>553</v>
      </c>
      <c r="F212" s="13">
        <v>2009</v>
      </c>
      <c r="G212" s="13">
        <v>2019</v>
      </c>
      <c r="H212" s="13">
        <v>0</v>
      </c>
      <c r="I212" s="13">
        <v>45.1</v>
      </c>
      <c r="J212" s="23">
        <v>0.53</v>
      </c>
      <c r="K212" s="13">
        <v>24</v>
      </c>
      <c r="L212" s="13">
        <v>0</v>
      </c>
      <c r="M212" s="13">
        <v>0</v>
      </c>
      <c r="N212" s="13">
        <v>34</v>
      </c>
      <c r="O212" s="16"/>
      <c r="P212" s="16" t="s">
        <v>73</v>
      </c>
      <c r="Q212" s="24">
        <v>200000</v>
      </c>
      <c r="R212" s="16" t="s">
        <v>270</v>
      </c>
      <c r="S212" s="13">
        <v>2014</v>
      </c>
      <c r="T212" s="13">
        <v>5.3999999999999999E-2</v>
      </c>
      <c r="U212" s="13">
        <f t="shared" si="0"/>
        <v>10800</v>
      </c>
      <c r="V212" s="25">
        <f t="shared" si="1"/>
        <v>239.46784922394679</v>
      </c>
      <c r="W212" s="15">
        <f t="shared" si="2"/>
        <v>0</v>
      </c>
      <c r="X212" s="15">
        <f t="shared" si="3"/>
        <v>0</v>
      </c>
      <c r="Y212" s="15">
        <f t="shared" si="4"/>
        <v>0</v>
      </c>
      <c r="Z212" s="13">
        <f t="shared" si="5"/>
        <v>0</v>
      </c>
      <c r="AA212" s="16">
        <f>VLOOKUP(S212,[1]CPI!$A$2:$D$67,4,0)</f>
        <v>1.1446083400919169</v>
      </c>
      <c r="AB212" s="17">
        <f t="shared" si="6"/>
        <v>12361.770072992702</v>
      </c>
      <c r="AC212" s="17">
        <f t="shared" si="7"/>
        <v>274.09689740560316</v>
      </c>
      <c r="AD212" s="16" t="s">
        <v>43</v>
      </c>
      <c r="AE212" s="29" t="s">
        <v>568</v>
      </c>
      <c r="AF212" s="19"/>
      <c r="AG212" s="19"/>
      <c r="AH212" s="19"/>
      <c r="AI212" s="19"/>
      <c r="AJ212" s="20"/>
      <c r="AK212" s="20"/>
      <c r="AL212" s="20"/>
      <c r="AM212" s="20"/>
      <c r="AN212" s="20"/>
      <c r="AO212" s="20"/>
      <c r="AP212" s="20"/>
      <c r="AQ212" s="20"/>
    </row>
    <row r="213" spans="1:43" ht="15.75" customHeight="1" x14ac:dyDescent="0.2">
      <c r="A213" s="21">
        <v>7554</v>
      </c>
      <c r="B213" s="16" t="s">
        <v>267</v>
      </c>
      <c r="C213" s="16" t="s">
        <v>567</v>
      </c>
      <c r="D213" s="22" t="s">
        <v>553</v>
      </c>
      <c r="E213" s="16" t="s">
        <v>569</v>
      </c>
      <c r="F213" s="13">
        <v>2016</v>
      </c>
      <c r="G213" s="13">
        <v>2020</v>
      </c>
      <c r="H213" s="13">
        <v>0</v>
      </c>
      <c r="I213" s="13">
        <v>9.1</v>
      </c>
      <c r="J213" s="23">
        <v>0.26</v>
      </c>
      <c r="K213" s="13">
        <v>2.4</v>
      </c>
      <c r="L213" s="13">
        <v>0</v>
      </c>
      <c r="M213" s="13">
        <v>0</v>
      </c>
      <c r="N213" s="13">
        <v>9</v>
      </c>
      <c r="O213" s="16"/>
      <c r="P213" s="16" t="s">
        <v>73</v>
      </c>
      <c r="Q213" s="24">
        <v>37700</v>
      </c>
      <c r="R213" s="16" t="s">
        <v>270</v>
      </c>
      <c r="S213" s="13">
        <v>2018</v>
      </c>
      <c r="T213" s="13">
        <v>4.8000000000000001E-2</v>
      </c>
      <c r="U213" s="13">
        <f t="shared" si="0"/>
        <v>1809.6000000000001</v>
      </c>
      <c r="V213" s="25">
        <f t="shared" si="1"/>
        <v>198.85714285714289</v>
      </c>
      <c r="W213" s="15">
        <f t="shared" si="2"/>
        <v>0</v>
      </c>
      <c r="X213" s="15">
        <f t="shared" si="3"/>
        <v>0</v>
      </c>
      <c r="Y213" s="15">
        <f t="shared" si="4"/>
        <v>0</v>
      </c>
      <c r="Z213" s="13">
        <f t="shared" si="5"/>
        <v>0</v>
      </c>
      <c r="AA213" s="16">
        <f>VLOOKUP(S213,[1]CPI!$A$2:$D$67,4,0)</f>
        <v>1.0791017375063221</v>
      </c>
      <c r="AB213" s="17">
        <f t="shared" si="6"/>
        <v>1952.7425041914407</v>
      </c>
      <c r="AC213" s="17">
        <f t="shared" si="7"/>
        <v>214.5870883726858</v>
      </c>
      <c r="AD213" s="16" t="s">
        <v>73</v>
      </c>
      <c r="AE213" s="29" t="s">
        <v>570</v>
      </c>
      <c r="AF213" s="19"/>
      <c r="AG213" s="19"/>
      <c r="AH213" s="19"/>
      <c r="AI213" s="19"/>
      <c r="AJ213" s="20"/>
      <c r="AK213" s="20"/>
      <c r="AL213" s="20"/>
      <c r="AM213" s="20"/>
      <c r="AN213" s="20"/>
      <c r="AO213" s="20"/>
      <c r="AP213" s="20"/>
      <c r="AQ213" s="20"/>
    </row>
    <row r="214" spans="1:43" ht="15.75" customHeight="1" x14ac:dyDescent="0.2">
      <c r="A214" s="21">
        <v>7555</v>
      </c>
      <c r="B214" s="16" t="s">
        <v>267</v>
      </c>
      <c r="C214" s="16" t="s">
        <v>567</v>
      </c>
      <c r="D214" s="22"/>
      <c r="E214" s="16" t="s">
        <v>551</v>
      </c>
      <c r="F214" s="13">
        <v>2020</v>
      </c>
      <c r="G214" s="13">
        <v>2026</v>
      </c>
      <c r="H214" s="13">
        <v>0</v>
      </c>
      <c r="I214" s="13">
        <v>118.9</v>
      </c>
      <c r="J214" s="23">
        <v>0.36</v>
      </c>
      <c r="K214" s="13">
        <v>42.8</v>
      </c>
      <c r="L214" s="13">
        <v>0</v>
      </c>
      <c r="M214" s="13">
        <v>0</v>
      </c>
      <c r="N214" s="13">
        <v>128</v>
      </c>
      <c r="O214" s="16"/>
      <c r="P214" s="16" t="s">
        <v>43</v>
      </c>
      <c r="Q214" s="24">
        <v>691800</v>
      </c>
      <c r="R214" s="16" t="s">
        <v>270</v>
      </c>
      <c r="S214" s="13">
        <v>2023</v>
      </c>
      <c r="T214" s="13">
        <v>4.7E-2</v>
      </c>
      <c r="U214" s="13">
        <f t="shared" si="0"/>
        <v>32514.6</v>
      </c>
      <c r="V214" s="25">
        <f t="shared" si="1"/>
        <v>273.46173254835992</v>
      </c>
      <c r="W214" s="15">
        <f t="shared" si="2"/>
        <v>0</v>
      </c>
      <c r="X214" s="15">
        <f t="shared" si="3"/>
        <v>0</v>
      </c>
      <c r="Y214" s="15">
        <f t="shared" si="4"/>
        <v>0</v>
      </c>
      <c r="Z214" s="13">
        <f t="shared" si="5"/>
        <v>0</v>
      </c>
      <c r="AA214" s="16">
        <f>VLOOKUP(S214,[1]CPI!$A$2:$D$67,4,0)</f>
        <v>1</v>
      </c>
      <c r="AB214" s="17">
        <f t="shared" si="6"/>
        <v>32514.6</v>
      </c>
      <c r="AC214" s="17">
        <f t="shared" si="7"/>
        <v>273.46173254835992</v>
      </c>
      <c r="AD214" s="16" t="s">
        <v>43</v>
      </c>
      <c r="AE214" s="29" t="s">
        <v>571</v>
      </c>
      <c r="AF214" s="19"/>
      <c r="AG214" s="19"/>
      <c r="AH214" s="19"/>
      <c r="AI214" s="19"/>
      <c r="AJ214" s="20"/>
      <c r="AK214" s="20"/>
      <c r="AL214" s="20"/>
      <c r="AM214" s="20"/>
      <c r="AN214" s="20"/>
      <c r="AO214" s="20"/>
      <c r="AP214" s="20"/>
      <c r="AQ214" s="20"/>
    </row>
    <row r="215" spans="1:43" ht="15.75" customHeight="1" x14ac:dyDescent="0.2">
      <c r="A215" s="21">
        <v>7560</v>
      </c>
      <c r="B215" s="16" t="s">
        <v>540</v>
      </c>
      <c r="C215" s="16" t="s">
        <v>572</v>
      </c>
      <c r="D215" s="22"/>
      <c r="E215" s="16" t="s">
        <v>573</v>
      </c>
      <c r="F215" s="13">
        <v>2013</v>
      </c>
      <c r="G215" s="13">
        <v>2019</v>
      </c>
      <c r="H215" s="13">
        <v>1</v>
      </c>
      <c r="I215" s="13">
        <v>8.8000000000000007</v>
      </c>
      <c r="J215" s="23">
        <v>0.96</v>
      </c>
      <c r="K215" s="13">
        <v>8.4</v>
      </c>
      <c r="L215" s="13">
        <v>0.14000000000000001</v>
      </c>
      <c r="M215" s="13">
        <v>0.21199999999999999</v>
      </c>
      <c r="N215" s="13">
        <v>4</v>
      </c>
      <c r="O215" s="16"/>
      <c r="P215" s="16" t="s">
        <v>94</v>
      </c>
      <c r="Q215" s="24">
        <v>1567</v>
      </c>
      <c r="R215" s="16" t="s">
        <v>543</v>
      </c>
      <c r="S215" s="13">
        <v>2016</v>
      </c>
      <c r="T215" s="13">
        <v>0.68</v>
      </c>
      <c r="U215" s="13">
        <f t="shared" si="0"/>
        <v>1065.5600000000002</v>
      </c>
      <c r="V215" s="25">
        <f t="shared" si="1"/>
        <v>121.08636363636364</v>
      </c>
      <c r="W215" s="15">
        <f t="shared" si="2"/>
        <v>1</v>
      </c>
      <c r="X215" s="15">
        <f t="shared" si="3"/>
        <v>8.8000000000000007</v>
      </c>
      <c r="Y215" s="15">
        <f t="shared" si="4"/>
        <v>8.4</v>
      </c>
      <c r="Z215" s="13">
        <f t="shared" si="5"/>
        <v>0</v>
      </c>
      <c r="AA215" s="16">
        <f>VLOOKUP(S215,[1]CPI!$A$2:$D$67,4,0)</f>
        <v>1.1290087372451638</v>
      </c>
      <c r="AB215" s="17">
        <f t="shared" si="6"/>
        <v>1203.0265500589569</v>
      </c>
      <c r="AC215" s="17">
        <f t="shared" si="7"/>
        <v>136.70756250669965</v>
      </c>
      <c r="AD215" s="16" t="s">
        <v>35</v>
      </c>
      <c r="AE215" s="29" t="s">
        <v>574</v>
      </c>
      <c r="AF215" s="27"/>
      <c r="AG215" s="27"/>
      <c r="AH215" s="27"/>
      <c r="AI215" s="27"/>
      <c r="AJ215" s="28"/>
      <c r="AK215" s="28"/>
      <c r="AL215" s="28"/>
      <c r="AM215" s="28"/>
      <c r="AN215" s="28"/>
      <c r="AO215" s="28"/>
      <c r="AP215" s="28"/>
      <c r="AQ215" s="28"/>
    </row>
    <row r="216" spans="1:43" ht="15.75" customHeight="1" x14ac:dyDescent="0.2">
      <c r="A216" s="21">
        <v>7561</v>
      </c>
      <c r="B216" s="36" t="s">
        <v>575</v>
      </c>
      <c r="C216" s="36" t="s">
        <v>576</v>
      </c>
      <c r="D216" s="22"/>
      <c r="E216" s="36" t="s">
        <v>577</v>
      </c>
      <c r="F216" s="37">
        <v>2018</v>
      </c>
      <c r="G216" s="37">
        <v>2022</v>
      </c>
      <c r="H216" s="37">
        <v>0</v>
      </c>
      <c r="I216" s="37">
        <v>3.7</v>
      </c>
      <c r="J216" s="38">
        <v>1</v>
      </c>
      <c r="K216" s="37">
        <v>3.7</v>
      </c>
      <c r="L216" s="37">
        <v>0</v>
      </c>
      <c r="M216" s="37">
        <v>0</v>
      </c>
      <c r="N216" s="37">
        <v>2</v>
      </c>
      <c r="O216" s="36"/>
      <c r="P216" s="36" t="s">
        <v>35</v>
      </c>
      <c r="Q216" s="39">
        <v>5993</v>
      </c>
      <c r="R216" s="36" t="s">
        <v>578</v>
      </c>
      <c r="S216" s="37">
        <v>2020</v>
      </c>
      <c r="T216" s="37">
        <v>0.121</v>
      </c>
      <c r="U216" s="37">
        <f t="shared" si="0"/>
        <v>725.15300000000002</v>
      </c>
      <c r="V216" s="25">
        <f t="shared" si="1"/>
        <v>195.98729729729729</v>
      </c>
      <c r="W216" s="15">
        <f t="shared" si="2"/>
        <v>0</v>
      </c>
      <c r="X216" s="15">
        <f t="shared" si="3"/>
        <v>0</v>
      </c>
      <c r="Y216" s="15">
        <f t="shared" si="4"/>
        <v>0</v>
      </c>
      <c r="Z216" s="13">
        <f t="shared" si="5"/>
        <v>0</v>
      </c>
      <c r="AA216" s="16">
        <f>VLOOKUP(S216,[1]CPI!$A$2:$D$67,4,0)</f>
        <v>1.0469802288156225</v>
      </c>
      <c r="AB216" s="17">
        <f t="shared" si="6"/>
        <v>759.22085386633512</v>
      </c>
      <c r="AC216" s="17">
        <f t="shared" si="7"/>
        <v>205.19482536927976</v>
      </c>
      <c r="AD216" s="36" t="s">
        <v>43</v>
      </c>
      <c r="AE216" s="53" t="s">
        <v>579</v>
      </c>
      <c r="AF216" s="19"/>
      <c r="AG216" s="19"/>
      <c r="AH216" s="19"/>
      <c r="AI216" s="19"/>
      <c r="AJ216" s="19"/>
      <c r="AK216" s="19"/>
      <c r="AL216" s="19"/>
      <c r="AM216" s="19"/>
      <c r="AN216" s="19"/>
      <c r="AO216" s="19"/>
      <c r="AP216" s="19"/>
      <c r="AQ216" s="19"/>
    </row>
    <row r="217" spans="1:43" ht="15.75" customHeight="1" x14ac:dyDescent="0.2">
      <c r="A217" s="21">
        <v>7562</v>
      </c>
      <c r="B217" s="22" t="s">
        <v>575</v>
      </c>
      <c r="C217" s="22" t="s">
        <v>576</v>
      </c>
      <c r="D217" s="22"/>
      <c r="E217" s="22" t="s">
        <v>33</v>
      </c>
      <c r="F217" s="15">
        <v>2021</v>
      </c>
      <c r="G217" s="15">
        <v>2026</v>
      </c>
      <c r="H217" s="15">
        <v>0</v>
      </c>
      <c r="I217" s="15">
        <v>20</v>
      </c>
      <c r="J217" s="47">
        <v>0.65</v>
      </c>
      <c r="K217" s="15">
        <v>13</v>
      </c>
      <c r="L217" s="15">
        <v>0</v>
      </c>
      <c r="M217" s="15">
        <v>0</v>
      </c>
      <c r="N217" s="15">
        <v>13</v>
      </c>
      <c r="O217" s="22"/>
      <c r="P217" s="22" t="s">
        <v>73</v>
      </c>
      <c r="Q217" s="48">
        <v>2000</v>
      </c>
      <c r="R217" s="22" t="s">
        <v>66</v>
      </c>
      <c r="S217" s="15">
        <v>2023</v>
      </c>
      <c r="T217" s="15">
        <v>3</v>
      </c>
      <c r="U217" s="15">
        <f t="shared" si="0"/>
        <v>6000</v>
      </c>
      <c r="V217" s="25">
        <f t="shared" si="1"/>
        <v>300</v>
      </c>
      <c r="W217" s="15">
        <f t="shared" si="2"/>
        <v>0</v>
      </c>
      <c r="X217" s="15">
        <f t="shared" si="3"/>
        <v>0</v>
      </c>
      <c r="Y217" s="15">
        <f t="shared" si="4"/>
        <v>0</v>
      </c>
      <c r="Z217" s="13">
        <f t="shared" si="5"/>
        <v>0</v>
      </c>
      <c r="AA217" s="16">
        <f>VLOOKUP(S217,[1]CPI!$A$2:$D$67,4,0)</f>
        <v>1</v>
      </c>
      <c r="AB217" s="17">
        <f t="shared" si="6"/>
        <v>6000</v>
      </c>
      <c r="AC217" s="17">
        <f t="shared" si="7"/>
        <v>300</v>
      </c>
      <c r="AD217" s="22" t="s">
        <v>73</v>
      </c>
      <c r="AE217" s="49" t="s">
        <v>580</v>
      </c>
      <c r="AF217" s="19"/>
      <c r="AG217" s="19"/>
      <c r="AH217" s="19"/>
      <c r="AI217" s="19"/>
      <c r="AJ217" s="19"/>
      <c r="AK217" s="19"/>
      <c r="AL217" s="19"/>
      <c r="AM217" s="19"/>
      <c r="AN217" s="19"/>
      <c r="AO217" s="19"/>
      <c r="AP217" s="19"/>
      <c r="AQ217" s="19"/>
    </row>
    <row r="218" spans="1:43" ht="15.75" customHeight="1" x14ac:dyDescent="0.2">
      <c r="A218" s="21">
        <v>7563</v>
      </c>
      <c r="B218" s="16" t="s">
        <v>575</v>
      </c>
      <c r="C218" s="16" t="s">
        <v>581</v>
      </c>
      <c r="D218" s="22"/>
      <c r="E218" s="16" t="s">
        <v>582</v>
      </c>
      <c r="F218" s="13">
        <v>2018</v>
      </c>
      <c r="G218" s="13">
        <v>2024</v>
      </c>
      <c r="H218" s="13">
        <v>0</v>
      </c>
      <c r="I218" s="13">
        <v>3.5</v>
      </c>
      <c r="J218" s="23">
        <v>1</v>
      </c>
      <c r="K218" s="13">
        <v>3.5</v>
      </c>
      <c r="L218" s="13">
        <v>0</v>
      </c>
      <c r="M218" s="13">
        <v>0</v>
      </c>
      <c r="N218" s="13">
        <v>2</v>
      </c>
      <c r="O218" s="16"/>
      <c r="P218" s="16" t="s">
        <v>35</v>
      </c>
      <c r="Q218" s="24">
        <v>382</v>
      </c>
      <c r="R218" s="16" t="s">
        <v>36</v>
      </c>
      <c r="S218" s="13">
        <v>2021</v>
      </c>
      <c r="T218" s="13">
        <v>3.9</v>
      </c>
      <c r="U218" s="13">
        <f t="shared" si="0"/>
        <v>1489.8</v>
      </c>
      <c r="V218" s="25">
        <f t="shared" si="1"/>
        <v>425.65714285714284</v>
      </c>
      <c r="W218" s="15">
        <f t="shared" si="2"/>
        <v>0</v>
      </c>
      <c r="X218" s="15">
        <f t="shared" si="3"/>
        <v>0</v>
      </c>
      <c r="Y218" s="15">
        <f t="shared" si="4"/>
        <v>0</v>
      </c>
      <c r="Z218" s="13">
        <f t="shared" si="5"/>
        <v>0</v>
      </c>
      <c r="AA218" s="16">
        <f>VLOOKUP(S218,[1]CPI!$A$2:$D$67,4,0)</f>
        <v>1</v>
      </c>
      <c r="AB218" s="17">
        <f t="shared" si="6"/>
        <v>1489.8</v>
      </c>
      <c r="AC218" s="17">
        <f t="shared" si="7"/>
        <v>425.65714285714284</v>
      </c>
      <c r="AD218" s="16" t="s">
        <v>73</v>
      </c>
      <c r="AE218" s="29" t="s">
        <v>583</v>
      </c>
      <c r="AF218" s="19"/>
      <c r="AG218" s="19"/>
      <c r="AH218" s="19"/>
      <c r="AI218" s="19"/>
      <c r="AJ218" s="19"/>
      <c r="AK218" s="19"/>
      <c r="AL218" s="19"/>
      <c r="AM218" s="19"/>
      <c r="AN218" s="19"/>
      <c r="AO218" s="19"/>
      <c r="AP218" s="19"/>
      <c r="AQ218" s="19"/>
    </row>
    <row r="219" spans="1:43" ht="15.75" customHeight="1" x14ac:dyDescent="0.2">
      <c r="A219" s="21">
        <v>7568</v>
      </c>
      <c r="B219" s="16" t="s">
        <v>185</v>
      </c>
      <c r="C219" s="16" t="s">
        <v>186</v>
      </c>
      <c r="D219" s="22"/>
      <c r="E219" s="16" t="s">
        <v>584</v>
      </c>
      <c r="F219" s="13">
        <v>2016</v>
      </c>
      <c r="G219" s="13">
        <v>2023</v>
      </c>
      <c r="H219" s="13">
        <v>0</v>
      </c>
      <c r="I219" s="13">
        <v>14.29</v>
      </c>
      <c r="J219" s="23">
        <v>0</v>
      </c>
      <c r="K219" s="13">
        <v>0</v>
      </c>
      <c r="L219" s="13">
        <v>0</v>
      </c>
      <c r="M219" s="13">
        <v>0</v>
      </c>
      <c r="N219" s="13">
        <v>12</v>
      </c>
      <c r="O219" s="16"/>
      <c r="P219" s="16" t="s">
        <v>35</v>
      </c>
      <c r="Q219" s="24">
        <v>50200</v>
      </c>
      <c r="R219" s="16" t="s">
        <v>188</v>
      </c>
      <c r="S219" s="13">
        <v>2019</v>
      </c>
      <c r="T219" s="13">
        <v>6.6400000000000001E-2</v>
      </c>
      <c r="U219" s="13">
        <f t="shared" si="0"/>
        <v>3333.28</v>
      </c>
      <c r="V219" s="25">
        <f t="shared" si="1"/>
        <v>233.25962211336602</v>
      </c>
      <c r="W219" s="15">
        <f t="shared" si="2"/>
        <v>0</v>
      </c>
      <c r="X219" s="15">
        <f t="shared" si="3"/>
        <v>0</v>
      </c>
      <c r="Y219" s="15">
        <f t="shared" si="4"/>
        <v>0</v>
      </c>
      <c r="Z219" s="13">
        <f t="shared" si="5"/>
        <v>0</v>
      </c>
      <c r="AA219" s="16">
        <f>VLOOKUP(S219,[1]CPI!$A$2:$D$67,4,0)</f>
        <v>1.0598966584134211</v>
      </c>
      <c r="AB219" s="17">
        <f t="shared" si="6"/>
        <v>3532.9323335562885</v>
      </c>
      <c r="AC219" s="17">
        <f t="shared" si="7"/>
        <v>247.23109402073399</v>
      </c>
      <c r="AD219" s="16" t="s">
        <v>35</v>
      </c>
      <c r="AE219" s="29" t="s">
        <v>585</v>
      </c>
      <c r="AF219" s="19"/>
      <c r="AG219" s="19"/>
      <c r="AH219" s="19"/>
      <c r="AI219" s="19"/>
      <c r="AJ219" s="19"/>
      <c r="AK219" s="19"/>
      <c r="AL219" s="19"/>
      <c r="AM219" s="19"/>
      <c r="AN219" s="19"/>
      <c r="AO219" s="19"/>
      <c r="AP219" s="19"/>
      <c r="AQ219" s="19"/>
    </row>
    <row r="220" spans="1:43" ht="15.75" customHeight="1" x14ac:dyDescent="0.2">
      <c r="A220" s="21">
        <v>7569</v>
      </c>
      <c r="B220" s="16" t="s">
        <v>185</v>
      </c>
      <c r="C220" s="16" t="s">
        <v>186</v>
      </c>
      <c r="D220" s="22"/>
      <c r="E220" s="16" t="s">
        <v>586</v>
      </c>
      <c r="F220" s="13">
        <v>2014</v>
      </c>
      <c r="G220" s="13">
        <v>2024</v>
      </c>
      <c r="H220" s="13">
        <v>0</v>
      </c>
      <c r="I220" s="13">
        <v>14</v>
      </c>
      <c r="J220" s="23">
        <v>0</v>
      </c>
      <c r="K220" s="13">
        <v>0</v>
      </c>
      <c r="L220" s="13">
        <v>0</v>
      </c>
      <c r="M220" s="13">
        <v>0</v>
      </c>
      <c r="N220" s="13">
        <v>20</v>
      </c>
      <c r="O220" s="16"/>
      <c r="P220" s="16" t="s">
        <v>50</v>
      </c>
      <c r="Q220" s="24">
        <v>15300</v>
      </c>
      <c r="R220" s="16" t="s">
        <v>188</v>
      </c>
      <c r="S220" s="13">
        <v>2016</v>
      </c>
      <c r="T220" s="13">
        <v>6.6400000000000001E-2</v>
      </c>
      <c r="U220" s="13">
        <f t="shared" si="0"/>
        <v>1015.92</v>
      </c>
      <c r="V220" s="25">
        <f t="shared" si="1"/>
        <v>72.565714285714279</v>
      </c>
      <c r="W220" s="15">
        <f t="shared" si="2"/>
        <v>0</v>
      </c>
      <c r="X220" s="15">
        <f t="shared" si="3"/>
        <v>0</v>
      </c>
      <c r="Y220" s="15">
        <f t="shared" si="4"/>
        <v>0</v>
      </c>
      <c r="Z220" s="13">
        <f t="shared" si="5"/>
        <v>0</v>
      </c>
      <c r="AA220" s="16">
        <f>VLOOKUP(S220,[1]CPI!$A$2:$D$67,4,0)</f>
        <v>1.1290087372451638</v>
      </c>
      <c r="AB220" s="17">
        <f t="shared" si="6"/>
        <v>1146.9825563421068</v>
      </c>
      <c r="AC220" s="17">
        <f t="shared" si="7"/>
        <v>81.927325453007626</v>
      </c>
      <c r="AD220" s="16" t="s">
        <v>43</v>
      </c>
      <c r="AE220" s="26" t="s">
        <v>587</v>
      </c>
      <c r="AF220" s="19"/>
      <c r="AG220" s="19"/>
      <c r="AH220" s="19"/>
      <c r="AI220" s="19"/>
      <c r="AJ220" s="19"/>
      <c r="AK220" s="19"/>
      <c r="AL220" s="19"/>
      <c r="AM220" s="19"/>
      <c r="AN220" s="19"/>
      <c r="AO220" s="19"/>
      <c r="AP220" s="19"/>
      <c r="AQ220" s="19"/>
    </row>
    <row r="221" spans="1:43" ht="15.75" customHeight="1" x14ac:dyDescent="0.2">
      <c r="A221" s="21">
        <v>7570</v>
      </c>
      <c r="B221" s="16" t="s">
        <v>185</v>
      </c>
      <c r="C221" s="16" t="s">
        <v>186</v>
      </c>
      <c r="D221" s="22"/>
      <c r="E221" s="16" t="s">
        <v>588</v>
      </c>
      <c r="F221" s="13">
        <v>2011</v>
      </c>
      <c r="G221" s="13">
        <v>2020</v>
      </c>
      <c r="H221" s="13">
        <v>0</v>
      </c>
      <c r="I221" s="13">
        <v>15.4</v>
      </c>
      <c r="J221" s="23">
        <v>7.0000000000000007E-2</v>
      </c>
      <c r="K221" s="13">
        <v>1.1000000000000001</v>
      </c>
      <c r="L221" s="13">
        <v>0</v>
      </c>
      <c r="M221" s="13">
        <v>0</v>
      </c>
      <c r="N221" s="13">
        <v>14</v>
      </c>
      <c r="O221" s="16"/>
      <c r="P221" s="16" t="s">
        <v>94</v>
      </c>
      <c r="Q221" s="24">
        <v>69970</v>
      </c>
      <c r="R221" s="16" t="s">
        <v>188</v>
      </c>
      <c r="S221" s="13">
        <v>2015</v>
      </c>
      <c r="T221" s="13">
        <v>6.6400000000000001E-2</v>
      </c>
      <c r="U221" s="13">
        <f t="shared" si="0"/>
        <v>4646.0079999999998</v>
      </c>
      <c r="V221" s="25">
        <f t="shared" si="1"/>
        <v>301.68883116883114</v>
      </c>
      <c r="W221" s="15">
        <f t="shared" si="2"/>
        <v>0</v>
      </c>
      <c r="X221" s="15">
        <f t="shared" si="3"/>
        <v>0</v>
      </c>
      <c r="Y221" s="15">
        <f t="shared" si="4"/>
        <v>0</v>
      </c>
      <c r="Z221" s="13">
        <f t="shared" si="5"/>
        <v>0</v>
      </c>
      <c r="AA221" s="16">
        <f>VLOOKUP(S221,[1]CPI!$A$2:$D$67,4,0)</f>
        <v>1.143251327963817</v>
      </c>
      <c r="AB221" s="17">
        <f t="shared" si="6"/>
        <v>5311.5548157305175</v>
      </c>
      <c r="AC221" s="17">
        <f t="shared" si="7"/>
        <v>344.90615686561802</v>
      </c>
      <c r="AD221" s="16" t="s">
        <v>43</v>
      </c>
      <c r="AE221" s="26" t="s">
        <v>589</v>
      </c>
      <c r="AF221" s="19"/>
      <c r="AG221" s="19"/>
      <c r="AH221" s="19"/>
      <c r="AI221" s="19"/>
      <c r="AJ221" s="19"/>
      <c r="AK221" s="19"/>
      <c r="AL221" s="19"/>
      <c r="AM221" s="19"/>
      <c r="AN221" s="19"/>
      <c r="AO221" s="19"/>
      <c r="AP221" s="19"/>
      <c r="AQ221" s="19"/>
    </row>
    <row r="222" spans="1:43" ht="15.75" customHeight="1" x14ac:dyDescent="0.2">
      <c r="A222" s="21">
        <v>7571</v>
      </c>
      <c r="B222" s="16" t="s">
        <v>185</v>
      </c>
      <c r="C222" s="16" t="s">
        <v>186</v>
      </c>
      <c r="D222" s="22"/>
      <c r="E222" s="16" t="s">
        <v>590</v>
      </c>
      <c r="F222" s="13">
        <v>2006</v>
      </c>
      <c r="G222" s="13">
        <v>2017</v>
      </c>
      <c r="H222" s="13">
        <v>0</v>
      </c>
      <c r="I222" s="13">
        <v>51</v>
      </c>
      <c r="J222" s="23">
        <v>0.21</v>
      </c>
      <c r="K222" s="13">
        <v>10.7</v>
      </c>
      <c r="L222" s="13">
        <v>0</v>
      </c>
      <c r="M222" s="13">
        <v>0</v>
      </c>
      <c r="N222" s="13">
        <v>22</v>
      </c>
      <c r="O222" s="16"/>
      <c r="P222" s="16" t="s">
        <v>50</v>
      </c>
      <c r="Q222" s="24">
        <v>113850</v>
      </c>
      <c r="R222" s="16" t="s">
        <v>188</v>
      </c>
      <c r="S222" s="13">
        <v>2011</v>
      </c>
      <c r="T222" s="13">
        <v>6.6400000000000001E-2</v>
      </c>
      <c r="U222" s="13">
        <f t="shared" si="0"/>
        <v>7559.64</v>
      </c>
      <c r="V222" s="25">
        <f t="shared" si="1"/>
        <v>148.22823529411767</v>
      </c>
      <c r="W222" s="15">
        <f t="shared" si="2"/>
        <v>0</v>
      </c>
      <c r="X222" s="15">
        <f t="shared" si="3"/>
        <v>0</v>
      </c>
      <c r="Y222" s="15">
        <f t="shared" si="4"/>
        <v>0</v>
      </c>
      <c r="Z222" s="13">
        <f t="shared" si="5"/>
        <v>0</v>
      </c>
      <c r="AA222" s="16">
        <f>VLOOKUP(S222,[1]CPI!$A$2:$D$67,4,0)</f>
        <v>1.2046377017769263</v>
      </c>
      <c r="AB222" s="17">
        <f t="shared" si="6"/>
        <v>9106.6273558609228</v>
      </c>
      <c r="AC222" s="17">
        <f t="shared" si="7"/>
        <v>178.56132070315539</v>
      </c>
      <c r="AD222" s="16" t="s">
        <v>43</v>
      </c>
      <c r="AE222" s="26" t="s">
        <v>591</v>
      </c>
      <c r="AF222" s="19"/>
      <c r="AG222" s="19"/>
      <c r="AH222" s="19"/>
      <c r="AI222" s="19"/>
      <c r="AJ222" s="19"/>
      <c r="AK222" s="19"/>
      <c r="AL222" s="19"/>
      <c r="AM222" s="19"/>
      <c r="AN222" s="19"/>
      <c r="AO222" s="19"/>
      <c r="AP222" s="19"/>
      <c r="AQ222" s="19"/>
    </row>
    <row r="223" spans="1:43" ht="15.75" customHeight="1" x14ac:dyDescent="0.2">
      <c r="A223" s="21">
        <v>7576</v>
      </c>
      <c r="B223" s="16" t="s">
        <v>185</v>
      </c>
      <c r="C223" s="16" t="s">
        <v>186</v>
      </c>
      <c r="D223" s="22"/>
      <c r="E223" s="16" t="s">
        <v>592</v>
      </c>
      <c r="F223" s="13">
        <v>2019</v>
      </c>
      <c r="G223" s="13">
        <v>2026</v>
      </c>
      <c r="H223" s="13">
        <v>0</v>
      </c>
      <c r="I223" s="13">
        <v>27.8</v>
      </c>
      <c r="J223" s="23">
        <v>0.45</v>
      </c>
      <c r="K223" s="13">
        <v>12.5</v>
      </c>
      <c r="L223" s="13">
        <v>0</v>
      </c>
      <c r="M223" s="13">
        <v>0</v>
      </c>
      <c r="N223" s="13">
        <v>21</v>
      </c>
      <c r="O223" s="16"/>
      <c r="P223" s="16" t="s">
        <v>43</v>
      </c>
      <c r="Q223" s="24">
        <v>98264</v>
      </c>
      <c r="R223" s="16" t="s">
        <v>188</v>
      </c>
      <c r="S223" s="13">
        <v>2022</v>
      </c>
      <c r="T223" s="13">
        <v>6.6400000000000001E-2</v>
      </c>
      <c r="U223" s="13">
        <f t="shared" si="0"/>
        <v>6524.7295999999997</v>
      </c>
      <c r="V223" s="25">
        <f t="shared" si="1"/>
        <v>234.70250359712227</v>
      </c>
      <c r="W223" s="15">
        <f t="shared" si="2"/>
        <v>0</v>
      </c>
      <c r="X223" s="15">
        <f t="shared" si="3"/>
        <v>0</v>
      </c>
      <c r="Y223" s="15">
        <f t="shared" si="4"/>
        <v>0</v>
      </c>
      <c r="Z223" s="13">
        <f t="shared" si="5"/>
        <v>0</v>
      </c>
      <c r="AA223" s="16">
        <f>VLOOKUP(S223,[1]CPI!$A$2:$D$67,4,0)</f>
        <v>1</v>
      </c>
      <c r="AB223" s="17">
        <f t="shared" si="6"/>
        <v>6524.7295999999997</v>
      </c>
      <c r="AC223" s="17">
        <f t="shared" si="7"/>
        <v>234.70250359712227</v>
      </c>
      <c r="AD223" s="16" t="s">
        <v>35</v>
      </c>
      <c r="AE223" s="29" t="s">
        <v>593</v>
      </c>
      <c r="AF223" s="19"/>
      <c r="AG223" s="19"/>
      <c r="AH223" s="19"/>
      <c r="AI223" s="19"/>
      <c r="AJ223" s="19"/>
      <c r="AK223" s="19"/>
      <c r="AL223" s="19"/>
      <c r="AM223" s="19"/>
      <c r="AN223" s="19"/>
      <c r="AO223" s="19"/>
      <c r="AP223" s="19"/>
      <c r="AQ223" s="19"/>
    </row>
    <row r="224" spans="1:43" ht="15.75" customHeight="1" x14ac:dyDescent="0.2">
      <c r="A224" s="21">
        <v>7577</v>
      </c>
      <c r="B224" s="16" t="s">
        <v>185</v>
      </c>
      <c r="C224" s="16" t="s">
        <v>186</v>
      </c>
      <c r="D224" s="22"/>
      <c r="E224" s="16" t="s">
        <v>594</v>
      </c>
      <c r="F224" s="13">
        <v>2019</v>
      </c>
      <c r="G224" s="13"/>
      <c r="H224" s="13">
        <v>0</v>
      </c>
      <c r="I224" s="13">
        <v>11.5</v>
      </c>
      <c r="J224" s="23">
        <v>0</v>
      </c>
      <c r="K224" s="13">
        <v>0</v>
      </c>
      <c r="L224" s="13">
        <v>0</v>
      </c>
      <c r="M224" s="13">
        <v>0</v>
      </c>
      <c r="N224" s="13">
        <v>8</v>
      </c>
      <c r="O224" s="16"/>
      <c r="P224" s="16" t="s">
        <v>35</v>
      </c>
      <c r="Q224" s="24">
        <v>19558</v>
      </c>
      <c r="R224" s="16" t="s">
        <v>188</v>
      </c>
      <c r="S224" s="13">
        <v>2020</v>
      </c>
      <c r="T224" s="13">
        <v>6.6400000000000001E-2</v>
      </c>
      <c r="U224" s="13">
        <f t="shared" si="0"/>
        <v>1298.6512</v>
      </c>
      <c r="V224" s="25">
        <f t="shared" si="1"/>
        <v>112.92619130434782</v>
      </c>
      <c r="W224" s="15">
        <f t="shared" si="2"/>
        <v>0</v>
      </c>
      <c r="X224" s="15">
        <f t="shared" si="3"/>
        <v>0</v>
      </c>
      <c r="Y224" s="15">
        <f t="shared" si="4"/>
        <v>0</v>
      </c>
      <c r="Z224" s="13">
        <f t="shared" si="5"/>
        <v>0</v>
      </c>
      <c r="AA224" s="16">
        <f>VLOOKUP(S224,[1]CPI!$A$2:$D$67,4,0)</f>
        <v>1.0469802288156225</v>
      </c>
      <c r="AB224" s="17">
        <f t="shared" si="6"/>
        <v>1359.6621305276826</v>
      </c>
      <c r="AC224" s="17">
        <f t="shared" si="7"/>
        <v>118.23148961110284</v>
      </c>
      <c r="AD224" s="16" t="s">
        <v>35</v>
      </c>
      <c r="AE224" s="29" t="s">
        <v>595</v>
      </c>
      <c r="AF224" s="19"/>
      <c r="AG224" s="19"/>
      <c r="AH224" s="19"/>
      <c r="AI224" s="19"/>
      <c r="AJ224" s="19"/>
      <c r="AK224" s="19"/>
      <c r="AL224" s="19"/>
      <c r="AM224" s="19"/>
      <c r="AN224" s="19"/>
      <c r="AO224" s="19"/>
      <c r="AP224" s="19"/>
      <c r="AQ224" s="19"/>
    </row>
    <row r="225" spans="1:43" ht="15.75" customHeight="1" x14ac:dyDescent="0.2">
      <c r="A225" s="21">
        <v>7578</v>
      </c>
      <c r="B225" s="16" t="s">
        <v>185</v>
      </c>
      <c r="C225" s="16" t="s">
        <v>186</v>
      </c>
      <c r="D225" s="22"/>
      <c r="E225" s="16" t="s">
        <v>596</v>
      </c>
      <c r="F225" s="13">
        <v>2019</v>
      </c>
      <c r="G225" s="13">
        <v>2030</v>
      </c>
      <c r="H225" s="13">
        <v>1</v>
      </c>
      <c r="I225" s="13">
        <v>17.899999999999999</v>
      </c>
      <c r="J225" s="23">
        <v>1</v>
      </c>
      <c r="K225" s="13">
        <v>17.899999999999999</v>
      </c>
      <c r="L225" s="13">
        <v>0</v>
      </c>
      <c r="M225" s="13">
        <v>0</v>
      </c>
      <c r="N225" s="13">
        <v>8</v>
      </c>
      <c r="O225" s="16"/>
      <c r="P225" s="16" t="s">
        <v>50</v>
      </c>
      <c r="Q225" s="24">
        <v>105600</v>
      </c>
      <c r="R225" s="16" t="s">
        <v>188</v>
      </c>
      <c r="S225" s="13">
        <v>2024</v>
      </c>
      <c r="T225" s="13">
        <v>6.6400000000000001E-2</v>
      </c>
      <c r="U225" s="13">
        <f t="shared" si="0"/>
        <v>7011.84</v>
      </c>
      <c r="V225" s="25">
        <f t="shared" si="1"/>
        <v>391.722905027933</v>
      </c>
      <c r="W225" s="15">
        <f t="shared" si="2"/>
        <v>0</v>
      </c>
      <c r="X225" s="15">
        <f t="shared" si="3"/>
        <v>0</v>
      </c>
      <c r="Y225" s="15">
        <f t="shared" si="4"/>
        <v>0</v>
      </c>
      <c r="Z225" s="13">
        <f t="shared" si="5"/>
        <v>0</v>
      </c>
      <c r="AA225" s="16">
        <f>VLOOKUP(S225,[1]CPI!$A$2:$D$67,4,0)</f>
        <v>1</v>
      </c>
      <c r="AB225" s="17">
        <f t="shared" si="6"/>
        <v>7011.84</v>
      </c>
      <c r="AC225" s="17">
        <f t="shared" si="7"/>
        <v>391.722905027933</v>
      </c>
      <c r="AD225" s="16" t="s">
        <v>43</v>
      </c>
      <c r="AE225" s="29" t="s">
        <v>597</v>
      </c>
      <c r="AF225" s="19"/>
      <c r="AG225" s="19"/>
      <c r="AH225" s="19"/>
      <c r="AI225" s="19"/>
      <c r="AJ225" s="19"/>
      <c r="AK225" s="19"/>
      <c r="AL225" s="19"/>
      <c r="AM225" s="19"/>
      <c r="AN225" s="19"/>
      <c r="AO225" s="19"/>
      <c r="AP225" s="19"/>
      <c r="AQ225" s="19"/>
    </row>
    <row r="226" spans="1:43" ht="15.75" customHeight="1" x14ac:dyDescent="0.2">
      <c r="A226" s="21">
        <v>7579</v>
      </c>
      <c r="B226" s="16" t="s">
        <v>185</v>
      </c>
      <c r="C226" s="16" t="s">
        <v>598</v>
      </c>
      <c r="D226" s="22"/>
      <c r="E226" s="16" t="s">
        <v>599</v>
      </c>
      <c r="F226" s="13">
        <v>2001</v>
      </c>
      <c r="G226" s="13">
        <v>2008</v>
      </c>
      <c r="H226" s="13">
        <v>0</v>
      </c>
      <c r="I226" s="13">
        <v>43</v>
      </c>
      <c r="J226" s="23">
        <v>0.74</v>
      </c>
      <c r="K226" s="13">
        <v>31.8</v>
      </c>
      <c r="L226" s="13">
        <v>0</v>
      </c>
      <c r="M226" s="13">
        <v>0</v>
      </c>
      <c r="N226" s="13">
        <v>38</v>
      </c>
      <c r="O226" s="16"/>
      <c r="P226" s="16" t="s">
        <v>94</v>
      </c>
      <c r="Q226" s="24">
        <v>181300</v>
      </c>
      <c r="R226" s="16" t="s">
        <v>188</v>
      </c>
      <c r="S226" s="13">
        <v>2004</v>
      </c>
      <c r="T226" s="13">
        <v>6.6400000000000001E-2</v>
      </c>
      <c r="U226" s="13">
        <f t="shared" si="0"/>
        <v>12038.32</v>
      </c>
      <c r="V226" s="25">
        <f t="shared" si="1"/>
        <v>279.96093023255816</v>
      </c>
      <c r="W226" s="15">
        <f t="shared" si="2"/>
        <v>0</v>
      </c>
      <c r="X226" s="15">
        <f t="shared" si="3"/>
        <v>0</v>
      </c>
      <c r="Y226" s="15">
        <f t="shared" si="4"/>
        <v>0</v>
      </c>
      <c r="Z226" s="13">
        <f t="shared" si="5"/>
        <v>0</v>
      </c>
      <c r="AA226" s="16">
        <f>VLOOKUP(S226,[1]CPI!$A$2:$D$67,4,0)</f>
        <v>1.4344626786659609</v>
      </c>
      <c r="AB226" s="17">
        <f t="shared" si="6"/>
        <v>17268.520753838009</v>
      </c>
      <c r="AC226" s="17">
        <f t="shared" si="7"/>
        <v>401.59350590320958</v>
      </c>
      <c r="AD226" s="16" t="s">
        <v>73</v>
      </c>
      <c r="AE226" s="29" t="s">
        <v>600</v>
      </c>
      <c r="AF226" s="19"/>
      <c r="AG226" s="19"/>
      <c r="AH226" s="19"/>
      <c r="AI226" s="19"/>
      <c r="AJ226" s="20"/>
      <c r="AK226" s="20"/>
      <c r="AL226" s="20"/>
      <c r="AM226" s="20"/>
      <c r="AN226" s="20"/>
      <c r="AO226" s="20"/>
      <c r="AP226" s="20"/>
      <c r="AQ226" s="20"/>
    </row>
    <row r="227" spans="1:43" ht="15.75" customHeight="1" x14ac:dyDescent="0.2">
      <c r="A227" s="21">
        <v>7584</v>
      </c>
      <c r="B227" s="16" t="s">
        <v>185</v>
      </c>
      <c r="C227" s="16" t="s">
        <v>598</v>
      </c>
      <c r="D227" s="22"/>
      <c r="E227" s="16" t="s">
        <v>601</v>
      </c>
      <c r="F227" s="13">
        <v>2008</v>
      </c>
      <c r="G227" s="13">
        <v>2018</v>
      </c>
      <c r="H227" s="13">
        <v>1</v>
      </c>
      <c r="I227" s="13">
        <v>15.4</v>
      </c>
      <c r="J227" s="23">
        <v>1</v>
      </c>
      <c r="K227" s="13">
        <v>15.4</v>
      </c>
      <c r="L227" s="13">
        <v>0</v>
      </c>
      <c r="M227" s="13">
        <v>0</v>
      </c>
      <c r="N227" s="13">
        <v>10</v>
      </c>
      <c r="O227" s="16"/>
      <c r="P227" s="16" t="s">
        <v>35</v>
      </c>
      <c r="Q227" s="24">
        <v>99870</v>
      </c>
      <c r="R227" s="16" t="s">
        <v>188</v>
      </c>
      <c r="S227" s="13">
        <v>2013</v>
      </c>
      <c r="T227" s="13">
        <v>6.6400000000000001E-2</v>
      </c>
      <c r="U227" s="13">
        <f t="shared" si="0"/>
        <v>6631.3680000000004</v>
      </c>
      <c r="V227" s="25">
        <f t="shared" si="1"/>
        <v>430.60831168831169</v>
      </c>
      <c r="W227" s="15">
        <f t="shared" si="2"/>
        <v>0</v>
      </c>
      <c r="X227" s="15">
        <f t="shared" si="3"/>
        <v>0</v>
      </c>
      <c r="Y227" s="15">
        <f t="shared" si="4"/>
        <v>0</v>
      </c>
      <c r="Z227" s="13">
        <f t="shared" si="5"/>
        <v>0</v>
      </c>
      <c r="AA227" s="16">
        <f>VLOOKUP(S227,[1]CPI!$A$2:$D$67,4,0)</f>
        <v>1.16317603677932</v>
      </c>
      <c r="AB227" s="17">
        <f t="shared" si="6"/>
        <v>7713.4483486652061</v>
      </c>
      <c r="AC227" s="17">
        <f t="shared" si="7"/>
        <v>500.87326939384451</v>
      </c>
      <c r="AD227" s="16" t="s">
        <v>35</v>
      </c>
      <c r="AE227" s="29" t="s">
        <v>602</v>
      </c>
      <c r="AF227" s="19"/>
      <c r="AG227" s="19"/>
      <c r="AH227" s="19"/>
      <c r="AI227" s="19"/>
      <c r="AJ227" s="20"/>
      <c r="AK227" s="20"/>
      <c r="AL227" s="20"/>
      <c r="AM227" s="20"/>
      <c r="AN227" s="20"/>
      <c r="AO227" s="20"/>
      <c r="AP227" s="20"/>
      <c r="AQ227" s="20"/>
    </row>
    <row r="228" spans="1:43" ht="15.75" customHeight="1" x14ac:dyDescent="0.2">
      <c r="A228" s="21">
        <v>7585</v>
      </c>
      <c r="B228" s="16" t="s">
        <v>185</v>
      </c>
      <c r="C228" s="16" t="s">
        <v>603</v>
      </c>
      <c r="D228" s="22"/>
      <c r="E228" s="16" t="s">
        <v>604</v>
      </c>
      <c r="F228" s="13">
        <v>2019</v>
      </c>
      <c r="G228" s="13">
        <v>2024</v>
      </c>
      <c r="H228" s="13">
        <v>1</v>
      </c>
      <c r="I228" s="13">
        <v>8.1999999999999993</v>
      </c>
      <c r="J228" s="23">
        <v>1</v>
      </c>
      <c r="K228" s="13">
        <v>8.1999999999999993</v>
      </c>
      <c r="L228" s="13">
        <v>0</v>
      </c>
      <c r="M228" s="13">
        <v>0</v>
      </c>
      <c r="N228" s="13">
        <v>3</v>
      </c>
      <c r="O228" s="16"/>
      <c r="P228" s="16" t="s">
        <v>35</v>
      </c>
      <c r="Q228" s="24">
        <v>29360</v>
      </c>
      <c r="R228" s="16" t="s">
        <v>188</v>
      </c>
      <c r="S228" s="13">
        <v>2021</v>
      </c>
      <c r="T228" s="13">
        <v>6.6400000000000001E-2</v>
      </c>
      <c r="U228" s="13">
        <f t="shared" si="0"/>
        <v>1949.5040000000001</v>
      </c>
      <c r="V228" s="25">
        <f t="shared" si="1"/>
        <v>237.74439024390247</v>
      </c>
      <c r="W228" s="15">
        <f t="shared" si="2"/>
        <v>0</v>
      </c>
      <c r="X228" s="15">
        <f t="shared" si="3"/>
        <v>0</v>
      </c>
      <c r="Y228" s="15">
        <f t="shared" si="4"/>
        <v>0</v>
      </c>
      <c r="Z228" s="13">
        <f t="shared" si="5"/>
        <v>0</v>
      </c>
      <c r="AA228" s="16">
        <f>VLOOKUP(S228,[1]CPI!$A$2:$D$67,4,0)</f>
        <v>1</v>
      </c>
      <c r="AB228" s="17">
        <f t="shared" si="6"/>
        <v>1949.5040000000001</v>
      </c>
      <c r="AC228" s="17">
        <f t="shared" si="7"/>
        <v>237.74439024390247</v>
      </c>
      <c r="AD228" s="16" t="s">
        <v>35</v>
      </c>
      <c r="AE228" s="29" t="s">
        <v>605</v>
      </c>
      <c r="AF228" s="19"/>
      <c r="AG228" s="19"/>
      <c r="AH228" s="19"/>
      <c r="AI228" s="19"/>
      <c r="AJ228" s="20"/>
      <c r="AK228" s="20"/>
      <c r="AL228" s="20"/>
      <c r="AM228" s="20"/>
      <c r="AN228" s="20"/>
      <c r="AO228" s="20"/>
      <c r="AP228" s="20"/>
      <c r="AQ228" s="20"/>
    </row>
    <row r="229" spans="1:43" ht="15.75" customHeight="1" x14ac:dyDescent="0.2">
      <c r="A229" s="21">
        <v>7586</v>
      </c>
      <c r="B229" s="16" t="s">
        <v>185</v>
      </c>
      <c r="C229" s="16" t="s">
        <v>606</v>
      </c>
      <c r="D229" s="22"/>
      <c r="E229" s="16" t="s">
        <v>430</v>
      </c>
      <c r="F229" s="13">
        <v>2010</v>
      </c>
      <c r="G229" s="13">
        <v>2020</v>
      </c>
      <c r="H229" s="13">
        <v>0</v>
      </c>
      <c r="I229" s="13">
        <v>16.7</v>
      </c>
      <c r="J229" s="23">
        <v>0</v>
      </c>
      <c r="K229" s="13">
        <v>0</v>
      </c>
      <c r="L229" s="13">
        <v>0</v>
      </c>
      <c r="M229" s="13">
        <v>0</v>
      </c>
      <c r="N229" s="13">
        <v>18</v>
      </c>
      <c r="O229" s="16"/>
      <c r="P229" s="16" t="s">
        <v>35</v>
      </c>
      <c r="Q229" s="24">
        <v>59337</v>
      </c>
      <c r="R229" s="16" t="s">
        <v>188</v>
      </c>
      <c r="S229" s="13">
        <v>2015</v>
      </c>
      <c r="T229" s="13">
        <v>6.6400000000000001E-2</v>
      </c>
      <c r="U229" s="13">
        <f t="shared" si="0"/>
        <v>3939.9767999999999</v>
      </c>
      <c r="V229" s="25">
        <f t="shared" si="1"/>
        <v>235.92675449101796</v>
      </c>
      <c r="W229" s="15">
        <f t="shared" si="2"/>
        <v>0</v>
      </c>
      <c r="X229" s="15">
        <f t="shared" si="3"/>
        <v>0</v>
      </c>
      <c r="Y229" s="15">
        <f t="shared" si="4"/>
        <v>0</v>
      </c>
      <c r="Z229" s="13">
        <f t="shared" si="5"/>
        <v>0</v>
      </c>
      <c r="AA229" s="16">
        <f>VLOOKUP(S229,[1]CPI!$A$2:$D$67,4,0)</f>
        <v>1.143251327963817</v>
      </c>
      <c r="AB229" s="17">
        <f t="shared" si="6"/>
        <v>4504.38370874663</v>
      </c>
      <c r="AC229" s="17">
        <f t="shared" si="7"/>
        <v>269.72357537404969</v>
      </c>
      <c r="AD229" s="16" t="s">
        <v>35</v>
      </c>
      <c r="AE229" s="29" t="s">
        <v>607</v>
      </c>
      <c r="AF229" s="19"/>
      <c r="AG229" s="19"/>
      <c r="AH229" s="19"/>
      <c r="AI229" s="19"/>
      <c r="AJ229" s="20"/>
      <c r="AK229" s="20"/>
      <c r="AL229" s="20"/>
      <c r="AM229" s="20"/>
      <c r="AN229" s="20"/>
      <c r="AO229" s="20"/>
      <c r="AP229" s="20"/>
      <c r="AQ229" s="20"/>
    </row>
    <row r="230" spans="1:43" ht="15.75" customHeight="1" x14ac:dyDescent="0.2">
      <c r="A230" s="21">
        <v>7587</v>
      </c>
      <c r="B230" s="16" t="s">
        <v>248</v>
      </c>
      <c r="C230" s="16" t="s">
        <v>608</v>
      </c>
      <c r="D230" s="22"/>
      <c r="E230" s="16" t="s">
        <v>609</v>
      </c>
      <c r="F230" s="13">
        <v>2016</v>
      </c>
      <c r="G230" s="13">
        <v>2021</v>
      </c>
      <c r="H230" s="13">
        <v>1</v>
      </c>
      <c r="I230" s="13">
        <v>8.5</v>
      </c>
      <c r="J230" s="23">
        <v>1</v>
      </c>
      <c r="K230" s="13">
        <v>8.5</v>
      </c>
      <c r="L230" s="13">
        <v>0</v>
      </c>
      <c r="M230" s="13">
        <v>0</v>
      </c>
      <c r="N230" s="13">
        <v>3</v>
      </c>
      <c r="O230" s="16"/>
      <c r="P230" s="16" t="s">
        <v>35</v>
      </c>
      <c r="Q230" s="24">
        <v>1860</v>
      </c>
      <c r="R230" s="16" t="s">
        <v>251</v>
      </c>
      <c r="S230" s="13">
        <v>2018</v>
      </c>
      <c r="T230" s="13">
        <v>0.69</v>
      </c>
      <c r="U230" s="13">
        <f t="shared" si="0"/>
        <v>1283.3999999999999</v>
      </c>
      <c r="V230" s="25">
        <f t="shared" si="1"/>
        <v>150.98823529411763</v>
      </c>
      <c r="W230" s="15">
        <f t="shared" si="2"/>
        <v>0</v>
      </c>
      <c r="X230" s="15">
        <f t="shared" si="3"/>
        <v>0</v>
      </c>
      <c r="Y230" s="15">
        <f t="shared" si="4"/>
        <v>0</v>
      </c>
      <c r="Z230" s="13">
        <f t="shared" si="5"/>
        <v>1</v>
      </c>
      <c r="AA230" s="16">
        <f>VLOOKUP(S230,[1]CPI!$A$2:$D$67,4,0)</f>
        <v>1.0791017375063221</v>
      </c>
      <c r="AB230" s="17">
        <f t="shared" si="6"/>
        <v>1384.9191699156136</v>
      </c>
      <c r="AC230" s="17">
        <f t="shared" si="7"/>
        <v>162.93166704889572</v>
      </c>
      <c r="AD230" s="16" t="s">
        <v>35</v>
      </c>
      <c r="AE230" s="26" t="s">
        <v>610</v>
      </c>
      <c r="AF230" s="27"/>
      <c r="AG230" s="27"/>
      <c r="AH230" s="27"/>
      <c r="AI230" s="27"/>
      <c r="AJ230" s="28"/>
      <c r="AK230" s="28"/>
      <c r="AL230" s="28"/>
      <c r="AM230" s="28"/>
      <c r="AN230" s="28"/>
      <c r="AO230" s="28"/>
      <c r="AP230" s="28"/>
      <c r="AQ230" s="28"/>
    </row>
    <row r="231" spans="1:43" ht="15.75" customHeight="1" x14ac:dyDescent="0.2">
      <c r="A231" s="21">
        <v>7592</v>
      </c>
      <c r="B231" s="16" t="s">
        <v>507</v>
      </c>
      <c r="C231" s="16" t="s">
        <v>515</v>
      </c>
      <c r="D231" s="22"/>
      <c r="E231" s="16" t="s">
        <v>611</v>
      </c>
      <c r="F231" s="13">
        <v>1988</v>
      </c>
      <c r="G231" s="13">
        <v>1995</v>
      </c>
      <c r="H231" s="13">
        <v>0</v>
      </c>
      <c r="I231" s="13">
        <v>12</v>
      </c>
      <c r="J231" s="23">
        <v>0</v>
      </c>
      <c r="K231" s="13">
        <v>0</v>
      </c>
      <c r="L231" s="13">
        <v>0</v>
      </c>
      <c r="M231" s="13">
        <v>0</v>
      </c>
      <c r="N231" s="13">
        <v>12</v>
      </c>
      <c r="O231" s="16"/>
      <c r="P231" s="16" t="s">
        <v>73</v>
      </c>
      <c r="Q231" s="24">
        <v>170200</v>
      </c>
      <c r="R231" s="16" t="s">
        <v>510</v>
      </c>
      <c r="S231" s="13">
        <v>1991</v>
      </c>
      <c r="T231" s="13">
        <v>5.4000000000000003E-3</v>
      </c>
      <c r="U231" s="13">
        <f t="shared" si="0"/>
        <v>919.08</v>
      </c>
      <c r="V231" s="25">
        <f t="shared" si="1"/>
        <v>76.59</v>
      </c>
      <c r="W231" s="15">
        <f t="shared" si="2"/>
        <v>0</v>
      </c>
      <c r="X231" s="15">
        <f t="shared" si="3"/>
        <v>0</v>
      </c>
      <c r="Y231" s="15">
        <f t="shared" si="4"/>
        <v>0</v>
      </c>
      <c r="Z231" s="13">
        <f t="shared" si="5"/>
        <v>0</v>
      </c>
      <c r="AA231" s="16">
        <f>VLOOKUP(S231,[1]CPI!$A$2:$D$67,4,0)</f>
        <v>1.9895007342143909</v>
      </c>
      <c r="AB231" s="17">
        <f t="shared" si="6"/>
        <v>1828.5103348017624</v>
      </c>
      <c r="AC231" s="17">
        <f t="shared" si="7"/>
        <v>152.37586123348021</v>
      </c>
      <c r="AD231" s="16" t="s">
        <v>73</v>
      </c>
      <c r="AE231" s="26" t="s">
        <v>612</v>
      </c>
      <c r="AF231" s="19"/>
      <c r="AG231" s="19"/>
      <c r="AH231" s="19"/>
      <c r="AI231" s="19"/>
      <c r="AJ231" s="20"/>
      <c r="AK231" s="20"/>
      <c r="AL231" s="20"/>
      <c r="AM231" s="20"/>
      <c r="AN231" s="20"/>
      <c r="AO231" s="20"/>
      <c r="AP231" s="20"/>
      <c r="AQ231" s="20"/>
    </row>
    <row r="232" spans="1:43" ht="15.75" customHeight="1" x14ac:dyDescent="0.2">
      <c r="A232" s="21">
        <v>7593</v>
      </c>
      <c r="B232" s="22" t="s">
        <v>613</v>
      </c>
      <c r="C232" s="22" t="s">
        <v>614</v>
      </c>
      <c r="D232" s="22"/>
      <c r="E232" s="22" t="s">
        <v>615</v>
      </c>
      <c r="F232" s="15">
        <v>2020</v>
      </c>
      <c r="G232" s="15">
        <v>2026</v>
      </c>
      <c r="H232" s="15">
        <v>1</v>
      </c>
      <c r="I232" s="15">
        <v>20</v>
      </c>
      <c r="J232" s="47">
        <v>1</v>
      </c>
      <c r="K232" s="15">
        <v>20</v>
      </c>
      <c r="L232" s="15">
        <v>0</v>
      </c>
      <c r="M232" s="15">
        <v>0</v>
      </c>
      <c r="N232" s="15">
        <v>4</v>
      </c>
      <c r="O232" s="22"/>
      <c r="P232" s="22" t="s">
        <v>43</v>
      </c>
      <c r="Q232" s="48">
        <v>2300</v>
      </c>
      <c r="R232" s="22" t="s">
        <v>66</v>
      </c>
      <c r="S232" s="15">
        <v>2023</v>
      </c>
      <c r="T232" s="15">
        <v>2.02</v>
      </c>
      <c r="U232" s="15">
        <f t="shared" si="0"/>
        <v>4646</v>
      </c>
      <c r="V232" s="25">
        <f t="shared" si="1"/>
        <v>232.3</v>
      </c>
      <c r="W232" s="15">
        <f t="shared" si="2"/>
        <v>0</v>
      </c>
      <c r="X232" s="15">
        <f t="shared" si="3"/>
        <v>0</v>
      </c>
      <c r="Y232" s="15">
        <f t="shared" si="4"/>
        <v>0</v>
      </c>
      <c r="Z232" s="13">
        <f t="shared" si="5"/>
        <v>0</v>
      </c>
      <c r="AA232" s="16">
        <f>VLOOKUP(S232,[1]CPI!$A$2:$D$67,4,0)</f>
        <v>1</v>
      </c>
      <c r="AB232" s="17">
        <f t="shared" si="6"/>
        <v>4646</v>
      </c>
      <c r="AC232" s="17">
        <f t="shared" si="7"/>
        <v>232.3</v>
      </c>
      <c r="AD232" s="22" t="s">
        <v>43</v>
      </c>
      <c r="AE232" s="49" t="s">
        <v>616</v>
      </c>
      <c r="AF232" s="27"/>
      <c r="AG232" s="27"/>
      <c r="AH232" s="27"/>
      <c r="AI232" s="27"/>
      <c r="AJ232" s="28"/>
      <c r="AK232" s="28"/>
      <c r="AL232" s="28"/>
      <c r="AM232" s="28"/>
      <c r="AN232" s="28"/>
      <c r="AO232" s="28"/>
      <c r="AP232" s="28"/>
      <c r="AQ232" s="28"/>
    </row>
    <row r="233" spans="1:43" ht="15.75" customHeight="1" x14ac:dyDescent="0.2">
      <c r="A233" s="21">
        <v>7594</v>
      </c>
      <c r="B233" s="16" t="s">
        <v>216</v>
      </c>
      <c r="C233" s="16" t="s">
        <v>617</v>
      </c>
      <c r="D233" s="22" t="s">
        <v>618</v>
      </c>
      <c r="E233" s="16" t="s">
        <v>619</v>
      </c>
      <c r="F233" s="13">
        <v>2014</v>
      </c>
      <c r="G233" s="13">
        <v>2020</v>
      </c>
      <c r="H233" s="13">
        <v>0</v>
      </c>
      <c r="I233" s="13">
        <v>1.1000000000000001</v>
      </c>
      <c r="J233" s="23">
        <v>1</v>
      </c>
      <c r="K233" s="13">
        <v>1.1000000000000001</v>
      </c>
      <c r="L233" s="13">
        <v>0</v>
      </c>
      <c r="M233" s="13">
        <v>0</v>
      </c>
      <c r="N233" s="13">
        <v>1</v>
      </c>
      <c r="O233" s="16">
        <v>90</v>
      </c>
      <c r="P233" s="16" t="s">
        <v>35</v>
      </c>
      <c r="Q233" s="24">
        <v>69</v>
      </c>
      <c r="R233" s="16" t="s">
        <v>36</v>
      </c>
      <c r="S233" s="13">
        <v>2017</v>
      </c>
      <c r="T233" s="13">
        <v>1.3</v>
      </c>
      <c r="U233" s="13">
        <f t="shared" si="0"/>
        <v>89.7</v>
      </c>
      <c r="V233" s="25">
        <f t="shared" si="1"/>
        <v>81.545454545454547</v>
      </c>
      <c r="W233" s="15">
        <f t="shared" si="2"/>
        <v>0</v>
      </c>
      <c r="X233" s="15">
        <f t="shared" si="3"/>
        <v>0</v>
      </c>
      <c r="Y233" s="15">
        <f t="shared" si="4"/>
        <v>0</v>
      </c>
      <c r="Z233" s="13">
        <f t="shared" si="5"/>
        <v>0</v>
      </c>
      <c r="AA233" s="16">
        <f>VLOOKUP(S233,[1]CPI!$A$2:$D$67,4,0)</f>
        <v>1.1054585509138382</v>
      </c>
      <c r="AB233" s="17">
        <f t="shared" si="6"/>
        <v>99.159632016971287</v>
      </c>
      <c r="AC233" s="17">
        <f t="shared" si="7"/>
        <v>90.145120015428446</v>
      </c>
      <c r="AD233" s="16" t="s">
        <v>43</v>
      </c>
      <c r="AE233" s="29" t="s">
        <v>620</v>
      </c>
      <c r="AF233" s="19"/>
      <c r="AG233" s="19"/>
      <c r="AH233" s="19"/>
      <c r="AI233" s="19"/>
      <c r="AJ233" s="20"/>
      <c r="AK233" s="20"/>
      <c r="AL233" s="20"/>
      <c r="AM233" s="20"/>
      <c r="AN233" s="20"/>
      <c r="AO233" s="20"/>
      <c r="AP233" s="20"/>
      <c r="AQ233" s="20"/>
    </row>
    <row r="234" spans="1:43" ht="15.75" customHeight="1" x14ac:dyDescent="0.2">
      <c r="A234" s="21">
        <v>7595</v>
      </c>
      <c r="B234" s="16" t="s">
        <v>216</v>
      </c>
      <c r="C234" s="16" t="s">
        <v>621</v>
      </c>
      <c r="D234" s="22"/>
      <c r="E234" s="16" t="s">
        <v>622</v>
      </c>
      <c r="F234" s="13">
        <v>2003</v>
      </c>
      <c r="G234" s="13">
        <v>2015</v>
      </c>
      <c r="H234" s="13">
        <v>0</v>
      </c>
      <c r="I234" s="13">
        <v>4</v>
      </c>
      <c r="J234" s="23">
        <v>1</v>
      </c>
      <c r="K234" s="13">
        <v>4</v>
      </c>
      <c r="L234" s="13">
        <v>0</v>
      </c>
      <c r="M234" s="13">
        <v>0</v>
      </c>
      <c r="N234" s="13">
        <v>6</v>
      </c>
      <c r="O234" s="16"/>
      <c r="P234" s="16" t="s">
        <v>50</v>
      </c>
      <c r="Q234" s="24">
        <v>1040</v>
      </c>
      <c r="R234" s="16" t="s">
        <v>36</v>
      </c>
      <c r="S234" s="13">
        <v>2009</v>
      </c>
      <c r="T234" s="13">
        <v>1.3</v>
      </c>
      <c r="U234" s="13">
        <f t="shared" si="0"/>
        <v>1352</v>
      </c>
      <c r="V234" s="25">
        <f t="shared" si="1"/>
        <v>338</v>
      </c>
      <c r="W234" s="15">
        <f t="shared" si="2"/>
        <v>0</v>
      </c>
      <c r="X234" s="15">
        <f t="shared" si="3"/>
        <v>0</v>
      </c>
      <c r="Y234" s="15">
        <f t="shared" si="4"/>
        <v>0</v>
      </c>
      <c r="Z234" s="13">
        <f t="shared" si="5"/>
        <v>0</v>
      </c>
      <c r="AA234" s="16">
        <f>VLOOKUP(S234,[1]CPI!$A$2:$D$67,4,0)</f>
        <v>1.2630455352689747</v>
      </c>
      <c r="AB234" s="17">
        <f t="shared" si="6"/>
        <v>1707.6375636836538</v>
      </c>
      <c r="AC234" s="17">
        <f t="shared" si="7"/>
        <v>426.90939092091344</v>
      </c>
      <c r="AD234" s="16" t="s">
        <v>35</v>
      </c>
      <c r="AE234" s="29" t="s">
        <v>623</v>
      </c>
      <c r="AF234" s="19"/>
      <c r="AG234" s="19"/>
      <c r="AH234" s="19"/>
      <c r="AI234" s="19"/>
      <c r="AJ234" s="20"/>
      <c r="AK234" s="20"/>
      <c r="AL234" s="20"/>
      <c r="AM234" s="20"/>
      <c r="AN234" s="20"/>
      <c r="AO234" s="20"/>
      <c r="AP234" s="20"/>
      <c r="AQ234" s="20"/>
    </row>
    <row r="235" spans="1:43" ht="15.75" customHeight="1" x14ac:dyDescent="0.2">
      <c r="A235" s="21">
        <v>7600</v>
      </c>
      <c r="B235" s="16" t="s">
        <v>216</v>
      </c>
      <c r="C235" s="16" t="s">
        <v>228</v>
      </c>
      <c r="D235" s="22" t="s">
        <v>624</v>
      </c>
      <c r="E235" s="16" t="s">
        <v>625</v>
      </c>
      <c r="F235" s="13">
        <v>1985</v>
      </c>
      <c r="G235" s="13">
        <v>1994</v>
      </c>
      <c r="H235" s="13">
        <v>0</v>
      </c>
      <c r="I235" s="13">
        <v>3.6</v>
      </c>
      <c r="J235" s="23">
        <v>1</v>
      </c>
      <c r="K235" s="13">
        <v>3.6</v>
      </c>
      <c r="L235" s="13">
        <v>0</v>
      </c>
      <c r="M235" s="13">
        <v>0</v>
      </c>
      <c r="N235" s="13">
        <v>4</v>
      </c>
      <c r="O235" s="16">
        <v>100</v>
      </c>
      <c r="P235" s="16" t="s">
        <v>50</v>
      </c>
      <c r="Q235" s="24">
        <v>520</v>
      </c>
      <c r="R235" s="16" t="s">
        <v>36</v>
      </c>
      <c r="S235" s="13">
        <v>2020</v>
      </c>
      <c r="T235" s="13">
        <v>1.3</v>
      </c>
      <c r="U235" s="13">
        <f t="shared" si="0"/>
        <v>676</v>
      </c>
      <c r="V235" s="25">
        <f t="shared" si="1"/>
        <v>187.77777777777777</v>
      </c>
      <c r="W235" s="15">
        <f t="shared" si="2"/>
        <v>0</v>
      </c>
      <c r="X235" s="15">
        <f t="shared" si="3"/>
        <v>0</v>
      </c>
      <c r="Y235" s="15">
        <f t="shared" si="4"/>
        <v>0</v>
      </c>
      <c r="Z235" s="13">
        <f t="shared" si="5"/>
        <v>0</v>
      </c>
      <c r="AA235" s="16">
        <f>VLOOKUP(S235,[1]CPI!$A$2:$D$67,4,0)</f>
        <v>1.0469802288156225</v>
      </c>
      <c r="AB235" s="17">
        <f t="shared" si="6"/>
        <v>707.75863467936074</v>
      </c>
      <c r="AC235" s="17">
        <f t="shared" si="7"/>
        <v>196.59962074426687</v>
      </c>
      <c r="AD235" s="16" t="s">
        <v>73</v>
      </c>
      <c r="AE235" s="29" t="s">
        <v>626</v>
      </c>
      <c r="AF235" s="19"/>
      <c r="AG235" s="19"/>
      <c r="AH235" s="19"/>
      <c r="AI235" s="19"/>
      <c r="AJ235" s="20"/>
      <c r="AK235" s="20"/>
      <c r="AL235" s="20"/>
      <c r="AM235" s="20"/>
      <c r="AN235" s="20"/>
      <c r="AO235" s="20"/>
      <c r="AP235" s="20"/>
      <c r="AQ235" s="20"/>
    </row>
    <row r="236" spans="1:43" ht="15.75" customHeight="1" x14ac:dyDescent="0.2">
      <c r="A236" s="21">
        <v>7601</v>
      </c>
      <c r="B236" s="16" t="s">
        <v>216</v>
      </c>
      <c r="C236" s="16" t="s">
        <v>228</v>
      </c>
      <c r="D236" s="22" t="s">
        <v>627</v>
      </c>
      <c r="E236" s="16" t="s">
        <v>628</v>
      </c>
      <c r="F236" s="13">
        <v>1997</v>
      </c>
      <c r="G236" s="13">
        <v>2000</v>
      </c>
      <c r="H236" s="13">
        <v>0</v>
      </c>
      <c r="I236" s="13">
        <v>0.8</v>
      </c>
      <c r="J236" s="23">
        <v>1</v>
      </c>
      <c r="K236" s="13">
        <v>0.8</v>
      </c>
      <c r="L236" s="13">
        <v>0</v>
      </c>
      <c r="M236" s="13">
        <v>0</v>
      </c>
      <c r="N236" s="13">
        <v>1</v>
      </c>
      <c r="O236" s="16">
        <v>100</v>
      </c>
      <c r="P236" s="16" t="s">
        <v>43</v>
      </c>
      <c r="Q236" s="24">
        <v>54</v>
      </c>
      <c r="R236" s="16" t="s">
        <v>36</v>
      </c>
      <c r="S236" s="13">
        <v>1998</v>
      </c>
      <c r="T236" s="13">
        <v>1.3</v>
      </c>
      <c r="U236" s="13">
        <f t="shared" si="0"/>
        <v>70.2</v>
      </c>
      <c r="V236" s="25">
        <f t="shared" si="1"/>
        <v>87.75</v>
      </c>
      <c r="W236" s="15">
        <f t="shared" si="2"/>
        <v>0</v>
      </c>
      <c r="X236" s="15">
        <f t="shared" si="3"/>
        <v>0</v>
      </c>
      <c r="Y236" s="15">
        <f t="shared" si="4"/>
        <v>0</v>
      </c>
      <c r="Z236" s="13">
        <f t="shared" si="5"/>
        <v>0</v>
      </c>
      <c r="AA236" s="16">
        <f>VLOOKUP(S236,[1]CPI!$A$2:$D$67,4,0)</f>
        <v>1.6623926380368099</v>
      </c>
      <c r="AB236" s="17">
        <f t="shared" si="6"/>
        <v>116.69996319018406</v>
      </c>
      <c r="AC236" s="17">
        <f t="shared" si="7"/>
        <v>145.87495398773007</v>
      </c>
      <c r="AD236" s="16" t="s">
        <v>43</v>
      </c>
      <c r="AE236" s="29" t="s">
        <v>629</v>
      </c>
      <c r="AF236" s="19"/>
      <c r="AG236" s="19"/>
      <c r="AH236" s="19"/>
      <c r="AI236" s="19"/>
      <c r="AJ236" s="20"/>
      <c r="AK236" s="20"/>
      <c r="AL236" s="20"/>
      <c r="AM236" s="20"/>
      <c r="AN236" s="20"/>
      <c r="AO236" s="20"/>
      <c r="AP236" s="20"/>
      <c r="AQ236" s="20"/>
    </row>
    <row r="237" spans="1:43" ht="15.75" customHeight="1" x14ac:dyDescent="0.2">
      <c r="A237" s="21">
        <v>7602</v>
      </c>
      <c r="B237" s="16" t="s">
        <v>216</v>
      </c>
      <c r="C237" s="16" t="s">
        <v>630</v>
      </c>
      <c r="D237" s="22"/>
      <c r="E237" s="16" t="s">
        <v>631</v>
      </c>
      <c r="F237" s="13">
        <v>2019</v>
      </c>
      <c r="G237" s="13">
        <v>2025</v>
      </c>
      <c r="H237" s="13">
        <v>0</v>
      </c>
      <c r="I237" s="13">
        <v>2.7</v>
      </c>
      <c r="J237" s="23">
        <v>0.52</v>
      </c>
      <c r="K237" s="13">
        <v>1.4</v>
      </c>
      <c r="L237" s="13">
        <v>0</v>
      </c>
      <c r="M237" s="13">
        <v>0</v>
      </c>
      <c r="N237" s="13">
        <v>4</v>
      </c>
      <c r="O237" s="16"/>
      <c r="P237" s="16" t="s">
        <v>94</v>
      </c>
      <c r="Q237" s="24">
        <v>373.5</v>
      </c>
      <c r="R237" s="16" t="s">
        <v>36</v>
      </c>
      <c r="S237" s="13">
        <v>2022</v>
      </c>
      <c r="T237" s="13">
        <v>1.3</v>
      </c>
      <c r="U237" s="13">
        <f t="shared" si="0"/>
        <v>485.55</v>
      </c>
      <c r="V237" s="25">
        <f t="shared" si="1"/>
        <v>179.83333333333331</v>
      </c>
      <c r="W237" s="15">
        <f t="shared" si="2"/>
        <v>0</v>
      </c>
      <c r="X237" s="15">
        <f t="shared" si="3"/>
        <v>0</v>
      </c>
      <c r="Y237" s="15">
        <f t="shared" si="4"/>
        <v>0</v>
      </c>
      <c r="Z237" s="13">
        <f t="shared" si="5"/>
        <v>0</v>
      </c>
      <c r="AA237" s="16">
        <f>VLOOKUP(S237,[1]CPI!$A$2:$D$67,4,0)</f>
        <v>1</v>
      </c>
      <c r="AB237" s="17">
        <f t="shared" si="6"/>
        <v>485.55</v>
      </c>
      <c r="AC237" s="17">
        <f t="shared" si="7"/>
        <v>179.83333333333331</v>
      </c>
      <c r="AD237" s="16" t="s">
        <v>43</v>
      </c>
      <c r="AE237" s="29" t="s">
        <v>632</v>
      </c>
      <c r="AF237" s="19"/>
      <c r="AG237" s="19"/>
      <c r="AH237" s="19"/>
      <c r="AI237" s="19"/>
      <c r="AJ237" s="20"/>
      <c r="AK237" s="20"/>
      <c r="AL237" s="20"/>
      <c r="AM237" s="20"/>
      <c r="AN237" s="20"/>
      <c r="AO237" s="20"/>
      <c r="AP237" s="20"/>
      <c r="AQ237" s="20"/>
    </row>
    <row r="238" spans="1:43" ht="15.75" customHeight="1" x14ac:dyDescent="0.2">
      <c r="A238" s="21">
        <v>7603</v>
      </c>
      <c r="B238" s="16" t="s">
        <v>633</v>
      </c>
      <c r="C238" s="16" t="s">
        <v>634</v>
      </c>
      <c r="D238" s="22"/>
      <c r="E238" s="16" t="s">
        <v>99</v>
      </c>
      <c r="F238" s="13">
        <v>2014</v>
      </c>
      <c r="G238" s="13">
        <v>2025</v>
      </c>
      <c r="H238" s="13">
        <v>0</v>
      </c>
      <c r="I238" s="13">
        <v>35</v>
      </c>
      <c r="J238" s="23">
        <v>1</v>
      </c>
      <c r="K238" s="13">
        <v>35</v>
      </c>
      <c r="L238" s="13">
        <v>0</v>
      </c>
      <c r="M238" s="13">
        <v>0</v>
      </c>
      <c r="N238" s="13">
        <v>35</v>
      </c>
      <c r="O238" s="16"/>
      <c r="P238" s="16" t="s">
        <v>73</v>
      </c>
      <c r="Q238" s="24">
        <v>5836</v>
      </c>
      <c r="R238" s="16" t="s">
        <v>66</v>
      </c>
      <c r="S238" s="13">
        <v>2019</v>
      </c>
      <c r="T238" s="13">
        <v>1.9</v>
      </c>
      <c r="U238" s="13">
        <f t="shared" si="0"/>
        <v>11088.4</v>
      </c>
      <c r="V238" s="25">
        <f t="shared" si="1"/>
        <v>316.81142857142856</v>
      </c>
      <c r="W238" s="15">
        <f t="shared" si="2"/>
        <v>0</v>
      </c>
      <c r="X238" s="15">
        <f t="shared" si="3"/>
        <v>0</v>
      </c>
      <c r="Y238" s="15">
        <f t="shared" si="4"/>
        <v>0</v>
      </c>
      <c r="Z238" s="13">
        <f t="shared" si="5"/>
        <v>0</v>
      </c>
      <c r="AA238" s="16">
        <f>VLOOKUP(S238,[1]CPI!$A$2:$D$67,4,0)</f>
        <v>1.0598966584134211</v>
      </c>
      <c r="AB238" s="17">
        <f t="shared" si="6"/>
        <v>11752.558107151377</v>
      </c>
      <c r="AC238" s="17">
        <f t="shared" si="7"/>
        <v>335.78737449003938</v>
      </c>
      <c r="AD238" s="16" t="s">
        <v>35</v>
      </c>
      <c r="AE238" s="29" t="s">
        <v>635</v>
      </c>
      <c r="AF238" s="19"/>
      <c r="AG238" s="19"/>
      <c r="AH238" s="19"/>
      <c r="AI238" s="19"/>
      <c r="AJ238" s="20"/>
      <c r="AK238" s="20"/>
      <c r="AL238" s="20"/>
      <c r="AM238" s="20"/>
      <c r="AN238" s="20"/>
      <c r="AO238" s="20"/>
      <c r="AP238" s="20"/>
      <c r="AQ238" s="20"/>
    </row>
    <row r="239" spans="1:43" ht="15.75" customHeight="1" x14ac:dyDescent="0.2">
      <c r="A239" s="21">
        <v>7608</v>
      </c>
      <c r="B239" s="16" t="s">
        <v>636</v>
      </c>
      <c r="C239" s="16" t="s">
        <v>637</v>
      </c>
      <c r="D239" s="22"/>
      <c r="E239" s="16" t="s">
        <v>638</v>
      </c>
      <c r="F239" s="13">
        <v>2012</v>
      </c>
      <c r="G239" s="13">
        <v>2017</v>
      </c>
      <c r="H239" s="13">
        <v>0</v>
      </c>
      <c r="I239" s="13">
        <v>51</v>
      </c>
      <c r="J239" s="23">
        <v>0.19</v>
      </c>
      <c r="K239" s="13">
        <v>9.5</v>
      </c>
      <c r="L239" s="13">
        <v>0</v>
      </c>
      <c r="M239" s="13">
        <v>0</v>
      </c>
      <c r="N239" s="13">
        <v>31</v>
      </c>
      <c r="O239" s="16"/>
      <c r="P239" s="16" t="s">
        <v>50</v>
      </c>
      <c r="Q239" s="24">
        <v>21000</v>
      </c>
      <c r="R239" s="16" t="s">
        <v>639</v>
      </c>
      <c r="S239" s="13">
        <v>2014</v>
      </c>
      <c r="T239" s="13">
        <v>0.7</v>
      </c>
      <c r="U239" s="13">
        <f t="shared" si="0"/>
        <v>14699.999999999998</v>
      </c>
      <c r="V239" s="25">
        <f t="shared" si="1"/>
        <v>288.23529411764702</v>
      </c>
      <c r="W239" s="15">
        <f t="shared" si="2"/>
        <v>0</v>
      </c>
      <c r="X239" s="15">
        <f t="shared" si="3"/>
        <v>0</v>
      </c>
      <c r="Y239" s="15">
        <f t="shared" si="4"/>
        <v>0</v>
      </c>
      <c r="Z239" s="13">
        <f t="shared" si="5"/>
        <v>0</v>
      </c>
      <c r="AA239" s="16">
        <f>VLOOKUP(S239,[1]CPI!$A$2:$D$67,4,0)</f>
        <v>1.1446083400919169</v>
      </c>
      <c r="AB239" s="17">
        <f t="shared" si="6"/>
        <v>16825.742599351175</v>
      </c>
      <c r="AC239" s="17">
        <f t="shared" si="7"/>
        <v>329.91652155590543</v>
      </c>
      <c r="AD239" s="16" t="s">
        <v>43</v>
      </c>
      <c r="AE239" s="29" t="s">
        <v>640</v>
      </c>
      <c r="AF239" s="19"/>
      <c r="AG239" s="19"/>
      <c r="AH239" s="19"/>
      <c r="AI239" s="19"/>
      <c r="AJ239" s="20"/>
      <c r="AK239" s="20"/>
      <c r="AL239" s="20"/>
      <c r="AM239" s="20"/>
      <c r="AN239" s="20"/>
      <c r="AO239" s="20"/>
      <c r="AP239" s="20"/>
      <c r="AQ239" s="20"/>
    </row>
    <row r="240" spans="1:43" ht="15.75" customHeight="1" x14ac:dyDescent="0.2">
      <c r="A240" s="21">
        <v>7609</v>
      </c>
      <c r="B240" s="16" t="s">
        <v>636</v>
      </c>
      <c r="C240" s="16" t="s">
        <v>637</v>
      </c>
      <c r="D240" s="22"/>
      <c r="E240" s="16" t="s">
        <v>641</v>
      </c>
      <c r="F240" s="13">
        <v>2016</v>
      </c>
      <c r="G240" s="13">
        <v>2023</v>
      </c>
      <c r="H240" s="13">
        <v>0</v>
      </c>
      <c r="I240" s="13">
        <v>52.2</v>
      </c>
      <c r="J240" s="23">
        <v>0.26</v>
      </c>
      <c r="K240" s="13">
        <v>13.5</v>
      </c>
      <c r="L240" s="13">
        <v>0</v>
      </c>
      <c r="M240" s="13">
        <v>0</v>
      </c>
      <c r="N240" s="13">
        <v>41</v>
      </c>
      <c r="O240" s="16"/>
      <c r="P240" s="16" t="s">
        <v>50</v>
      </c>
      <c r="Q240" s="24">
        <v>30530</v>
      </c>
      <c r="R240" s="16" t="s">
        <v>639</v>
      </c>
      <c r="S240" s="13">
        <v>2019</v>
      </c>
      <c r="T240" s="13">
        <v>0.7</v>
      </c>
      <c r="U240" s="13">
        <f t="shared" si="0"/>
        <v>21371</v>
      </c>
      <c r="V240" s="25">
        <f t="shared" si="1"/>
        <v>409.40613026819921</v>
      </c>
      <c r="W240" s="15">
        <f t="shared" si="2"/>
        <v>0</v>
      </c>
      <c r="X240" s="15">
        <f t="shared" si="3"/>
        <v>0</v>
      </c>
      <c r="Y240" s="15">
        <f t="shared" si="4"/>
        <v>0</v>
      </c>
      <c r="Z240" s="13">
        <f t="shared" si="5"/>
        <v>0</v>
      </c>
      <c r="AA240" s="16">
        <f>VLOOKUP(S240,[1]CPI!$A$2:$D$67,4,0)</f>
        <v>1.0598966584134211</v>
      </c>
      <c r="AB240" s="17">
        <f t="shared" si="6"/>
        <v>22651.05148695322</v>
      </c>
      <c r="AC240" s="17">
        <f t="shared" si="7"/>
        <v>433.92818940523409</v>
      </c>
      <c r="AD240" s="16" t="s">
        <v>43</v>
      </c>
      <c r="AE240" s="29" t="s">
        <v>642</v>
      </c>
      <c r="AF240" s="19"/>
      <c r="AG240" s="19"/>
      <c r="AH240" s="19"/>
      <c r="AI240" s="19"/>
      <c r="AJ240" s="20"/>
      <c r="AK240" s="20"/>
      <c r="AL240" s="20"/>
      <c r="AM240" s="20"/>
      <c r="AN240" s="20"/>
      <c r="AO240" s="20"/>
      <c r="AP240" s="20"/>
      <c r="AQ240" s="20"/>
    </row>
    <row r="241" spans="1:43" ht="15.75" customHeight="1" x14ac:dyDescent="0.2">
      <c r="A241" s="21">
        <v>7610</v>
      </c>
      <c r="B241" s="27" t="s">
        <v>31</v>
      </c>
      <c r="C241" s="8" t="s">
        <v>32</v>
      </c>
      <c r="D241" s="9"/>
      <c r="E241" s="8" t="s">
        <v>643</v>
      </c>
      <c r="F241" s="10">
        <v>1992</v>
      </c>
      <c r="G241" s="10">
        <v>2014</v>
      </c>
      <c r="H241" s="10">
        <v>0</v>
      </c>
      <c r="I241" s="10">
        <v>23.5</v>
      </c>
      <c r="J241" s="11">
        <f>K241/I241</f>
        <v>0.91489361702127658</v>
      </c>
      <c r="K241" s="10">
        <v>21.5</v>
      </c>
      <c r="L241" s="10">
        <v>0</v>
      </c>
      <c r="M241" s="10">
        <v>0</v>
      </c>
      <c r="N241" s="10">
        <v>17</v>
      </c>
      <c r="O241" s="8">
        <v>180</v>
      </c>
      <c r="P241" s="8" t="s">
        <v>35</v>
      </c>
      <c r="Q241" s="12">
        <v>2510</v>
      </c>
      <c r="R241" s="8" t="s">
        <v>66</v>
      </c>
      <c r="S241" s="10">
        <v>2003</v>
      </c>
      <c r="T241" s="10">
        <v>2</v>
      </c>
      <c r="U241" s="10">
        <f t="shared" si="0"/>
        <v>5020</v>
      </c>
      <c r="V241" s="14">
        <f t="shared" si="1"/>
        <v>213.61702127659575</v>
      </c>
      <c r="W241" s="15">
        <f t="shared" si="2"/>
        <v>1</v>
      </c>
      <c r="X241" s="15">
        <f t="shared" si="3"/>
        <v>23.5</v>
      </c>
      <c r="Y241" s="15">
        <f t="shared" si="4"/>
        <v>21.5</v>
      </c>
      <c r="Z241" s="13">
        <f t="shared" si="5"/>
        <v>0</v>
      </c>
      <c r="AA241" s="16">
        <f>VLOOKUP(S241,[1]CPI!$A$2:$D$67,4,0)</f>
        <v>1.472663043478261</v>
      </c>
      <c r="AB241" s="17">
        <f t="shared" si="6"/>
        <v>7392.7684782608703</v>
      </c>
      <c r="AC241" s="17">
        <f t="shared" si="7"/>
        <v>314.58589269195193</v>
      </c>
      <c r="AD241" s="8" t="s">
        <v>35</v>
      </c>
      <c r="AE241" s="46" t="s">
        <v>644</v>
      </c>
      <c r="AF241" s="19"/>
      <c r="AG241" s="19"/>
      <c r="AH241" s="19"/>
      <c r="AI241" s="19"/>
      <c r="AJ241" s="20"/>
      <c r="AK241" s="20"/>
      <c r="AL241" s="20"/>
      <c r="AM241" s="20"/>
      <c r="AN241" s="20"/>
      <c r="AO241" s="20"/>
      <c r="AP241" s="20"/>
      <c r="AQ241" s="20"/>
    </row>
    <row r="242" spans="1:43" ht="15.75" customHeight="1" x14ac:dyDescent="0.2">
      <c r="A242" s="21">
        <v>7611</v>
      </c>
      <c r="B242" s="8" t="s">
        <v>31</v>
      </c>
      <c r="C242" s="8" t="s">
        <v>32</v>
      </c>
      <c r="D242" s="9" t="s">
        <v>645</v>
      </c>
      <c r="E242" s="8" t="s">
        <v>646</v>
      </c>
      <c r="F242" s="10">
        <v>2006</v>
      </c>
      <c r="G242" s="10">
        <v>2013</v>
      </c>
      <c r="H242" s="10">
        <v>0</v>
      </c>
      <c r="I242" s="10">
        <v>16.100000000000001</v>
      </c>
      <c r="J242" s="11">
        <v>1</v>
      </c>
      <c r="K242" s="10">
        <v>15.9</v>
      </c>
      <c r="L242" s="10">
        <v>0</v>
      </c>
      <c r="M242" s="10">
        <v>0</v>
      </c>
      <c r="N242" s="10">
        <v>11</v>
      </c>
      <c r="O242" s="8">
        <v>180</v>
      </c>
      <c r="P242" s="8" t="s">
        <v>43</v>
      </c>
      <c r="Q242" s="12">
        <v>1344</v>
      </c>
      <c r="R242" s="8" t="s">
        <v>66</v>
      </c>
      <c r="S242" s="10">
        <v>2010</v>
      </c>
      <c r="T242" s="10">
        <v>1.6</v>
      </c>
      <c r="U242" s="10">
        <f t="shared" si="0"/>
        <v>2150.4</v>
      </c>
      <c r="V242" s="14">
        <f t="shared" si="1"/>
        <v>133.56521739130434</v>
      </c>
      <c r="W242" s="15">
        <f t="shared" si="2"/>
        <v>1</v>
      </c>
      <c r="X242" s="15">
        <f t="shared" si="3"/>
        <v>16.100000000000001</v>
      </c>
      <c r="Y242" s="15">
        <f t="shared" si="4"/>
        <v>15.9</v>
      </c>
      <c r="Z242" s="13">
        <f t="shared" si="5"/>
        <v>0</v>
      </c>
      <c r="AA242" s="16">
        <f>VLOOKUP(S242,[1]CPI!$A$2:$D$67,4,0)</f>
        <v>1.2426624353377114</v>
      </c>
      <c r="AB242" s="17">
        <f t="shared" si="6"/>
        <v>2672.2213009502148</v>
      </c>
      <c r="AC242" s="17">
        <f t="shared" si="7"/>
        <v>165.97647831988908</v>
      </c>
      <c r="AD242" s="8" t="s">
        <v>43</v>
      </c>
      <c r="AE242" s="18" t="s">
        <v>647</v>
      </c>
      <c r="AF242" s="19"/>
      <c r="AG242" s="19"/>
      <c r="AH242" s="19"/>
      <c r="AI242" s="19"/>
      <c r="AJ242" s="20"/>
      <c r="AK242" s="20"/>
      <c r="AL242" s="20"/>
      <c r="AM242" s="20"/>
      <c r="AN242" s="20"/>
      <c r="AO242" s="20"/>
      <c r="AP242" s="20"/>
      <c r="AQ242" s="20"/>
    </row>
    <row r="243" spans="1:43" ht="15.75" customHeight="1" x14ac:dyDescent="0.2">
      <c r="A243" s="21">
        <v>7616</v>
      </c>
      <c r="B243" s="8" t="s">
        <v>31</v>
      </c>
      <c r="C243" s="8" t="s">
        <v>32</v>
      </c>
      <c r="D243" s="9" t="s">
        <v>33</v>
      </c>
      <c r="E243" s="8" t="s">
        <v>648</v>
      </c>
      <c r="F243" s="10">
        <v>2005</v>
      </c>
      <c r="G243" s="10">
        <v>2012</v>
      </c>
      <c r="H243" s="10">
        <v>0</v>
      </c>
      <c r="I243" s="10">
        <v>21.7</v>
      </c>
      <c r="J243" s="11">
        <v>1</v>
      </c>
      <c r="K243" s="10">
        <v>21.7</v>
      </c>
      <c r="L243" s="10">
        <v>0</v>
      </c>
      <c r="M243" s="10">
        <v>0</v>
      </c>
      <c r="N243" s="10">
        <v>16</v>
      </c>
      <c r="O243" s="8">
        <v>180</v>
      </c>
      <c r="P243" s="8" t="s">
        <v>35</v>
      </c>
      <c r="Q243" s="12">
        <v>1299</v>
      </c>
      <c r="R243" s="8" t="s">
        <v>66</v>
      </c>
      <c r="S243" s="10">
        <v>2009</v>
      </c>
      <c r="T243" s="10">
        <v>1.7</v>
      </c>
      <c r="U243" s="10">
        <f t="shared" si="0"/>
        <v>2208.2999999999997</v>
      </c>
      <c r="V243" s="14">
        <f t="shared" si="1"/>
        <v>101.76497695852534</v>
      </c>
      <c r="W243" s="15">
        <f t="shared" si="2"/>
        <v>1</v>
      </c>
      <c r="X243" s="15">
        <f t="shared" si="3"/>
        <v>21.7</v>
      </c>
      <c r="Y243" s="15">
        <f t="shared" si="4"/>
        <v>21.7</v>
      </c>
      <c r="Z243" s="13">
        <f t="shared" si="5"/>
        <v>0</v>
      </c>
      <c r="AA243" s="16">
        <f>VLOOKUP(S243,[1]CPI!$A$2:$D$67,4,0)</f>
        <v>1.2630455352689747</v>
      </c>
      <c r="AB243" s="17">
        <f t="shared" si="6"/>
        <v>2789.1834555344763</v>
      </c>
      <c r="AC243" s="17">
        <f t="shared" si="7"/>
        <v>128.5337997942155</v>
      </c>
      <c r="AD243" s="8" t="s">
        <v>43</v>
      </c>
      <c r="AE243" s="18" t="s">
        <v>649</v>
      </c>
      <c r="AF243" s="19"/>
      <c r="AG243" s="19"/>
      <c r="AH243" s="19"/>
      <c r="AI243" s="19"/>
      <c r="AJ243" s="20"/>
      <c r="AK243" s="20"/>
      <c r="AL243" s="20"/>
      <c r="AM243" s="20"/>
      <c r="AN243" s="20"/>
      <c r="AO243" s="20"/>
      <c r="AP243" s="20"/>
      <c r="AQ243" s="20"/>
    </row>
    <row r="244" spans="1:43" ht="15.75" customHeight="1" x14ac:dyDescent="0.2">
      <c r="A244" s="21">
        <v>7617</v>
      </c>
      <c r="B244" s="8" t="s">
        <v>31</v>
      </c>
      <c r="C244" s="8" t="s">
        <v>32</v>
      </c>
      <c r="D244" s="9" t="s">
        <v>33</v>
      </c>
      <c r="E244" s="8" t="s">
        <v>650</v>
      </c>
      <c r="F244" s="10">
        <v>2013</v>
      </c>
      <c r="G244" s="10">
        <v>2016</v>
      </c>
      <c r="H244" s="10">
        <v>0</v>
      </c>
      <c r="I244" s="10">
        <v>4.4000000000000004</v>
      </c>
      <c r="J244" s="11">
        <v>1</v>
      </c>
      <c r="K244" s="10">
        <v>4.4000000000000004</v>
      </c>
      <c r="L244" s="10">
        <v>0</v>
      </c>
      <c r="M244" s="10">
        <v>0</v>
      </c>
      <c r="N244" s="10">
        <v>3</v>
      </c>
      <c r="O244" s="8">
        <v>180</v>
      </c>
      <c r="P244" s="8" t="s">
        <v>43</v>
      </c>
      <c r="Q244" s="12">
        <v>151</v>
      </c>
      <c r="R244" s="8" t="s">
        <v>66</v>
      </c>
      <c r="S244" s="10">
        <v>2015</v>
      </c>
      <c r="T244" s="10">
        <v>2.2999999999999998</v>
      </c>
      <c r="U244" s="10">
        <f t="shared" si="0"/>
        <v>347.29999999999995</v>
      </c>
      <c r="V244" s="14">
        <f t="shared" si="1"/>
        <v>78.931818181818159</v>
      </c>
      <c r="W244" s="15">
        <f t="shared" si="2"/>
        <v>1</v>
      </c>
      <c r="X244" s="15">
        <f t="shared" si="3"/>
        <v>4.4000000000000004</v>
      </c>
      <c r="Y244" s="15">
        <f t="shared" si="4"/>
        <v>4.4000000000000004</v>
      </c>
      <c r="Z244" s="13">
        <f t="shared" si="5"/>
        <v>0</v>
      </c>
      <c r="AA244" s="16">
        <f>VLOOKUP(S244,[1]CPI!$A$2:$D$67,4,0)</f>
        <v>1.143251327963817</v>
      </c>
      <c r="AB244" s="17">
        <f t="shared" si="6"/>
        <v>397.05118620183362</v>
      </c>
      <c r="AC244" s="17">
        <f t="shared" si="7"/>
        <v>90.238905954962163</v>
      </c>
      <c r="AD244" s="8" t="s">
        <v>43</v>
      </c>
      <c r="AE244" s="18" t="s">
        <v>649</v>
      </c>
      <c r="AF244" s="19"/>
      <c r="AG244" s="19"/>
      <c r="AH244" s="19"/>
      <c r="AI244" s="19"/>
      <c r="AJ244" s="20"/>
      <c r="AK244" s="20"/>
      <c r="AL244" s="20"/>
      <c r="AM244" s="20"/>
      <c r="AN244" s="20"/>
      <c r="AO244" s="20"/>
      <c r="AP244" s="20"/>
      <c r="AQ244" s="20"/>
    </row>
    <row r="245" spans="1:43" ht="15.75" customHeight="1" x14ac:dyDescent="0.2">
      <c r="A245" s="21">
        <v>7618</v>
      </c>
      <c r="B245" s="8" t="s">
        <v>31</v>
      </c>
      <c r="C245" s="8" t="s">
        <v>32</v>
      </c>
      <c r="D245" s="9"/>
      <c r="E245" s="8" t="s">
        <v>651</v>
      </c>
      <c r="F245" s="10">
        <v>2011</v>
      </c>
      <c r="G245" s="10">
        <v>2018</v>
      </c>
      <c r="H245" s="10">
        <v>0</v>
      </c>
      <c r="I245" s="10">
        <v>19.7</v>
      </c>
      <c r="J245" s="11">
        <v>1</v>
      </c>
      <c r="K245" s="10">
        <v>19.7</v>
      </c>
      <c r="L245" s="10">
        <v>0</v>
      </c>
      <c r="M245" s="10">
        <v>0</v>
      </c>
      <c r="N245" s="10">
        <v>16</v>
      </c>
      <c r="O245" s="8">
        <v>140</v>
      </c>
      <c r="P245" s="8" t="s">
        <v>35</v>
      </c>
      <c r="Q245" s="12">
        <v>866</v>
      </c>
      <c r="R245" s="8" t="s">
        <v>66</v>
      </c>
      <c r="S245" s="10">
        <v>2015</v>
      </c>
      <c r="T245" s="10">
        <v>2.2999999999999998</v>
      </c>
      <c r="U245" s="10">
        <f t="shared" si="0"/>
        <v>1991.8</v>
      </c>
      <c r="V245" s="14">
        <f t="shared" si="1"/>
        <v>101.10659898477158</v>
      </c>
      <c r="W245" s="15">
        <f t="shared" si="2"/>
        <v>1</v>
      </c>
      <c r="X245" s="15">
        <f t="shared" si="3"/>
        <v>19.7</v>
      </c>
      <c r="Y245" s="15">
        <f t="shared" si="4"/>
        <v>19.7</v>
      </c>
      <c r="Z245" s="13">
        <f t="shared" si="5"/>
        <v>0</v>
      </c>
      <c r="AA245" s="16">
        <f>VLOOKUP(S245,[1]CPI!$A$2:$D$67,4,0)</f>
        <v>1.143251327963817</v>
      </c>
      <c r="AB245" s="17">
        <f t="shared" si="6"/>
        <v>2277.1279950383305</v>
      </c>
      <c r="AC245" s="17">
        <f t="shared" si="7"/>
        <v>115.59025355524523</v>
      </c>
      <c r="AD245" s="8" t="s">
        <v>43</v>
      </c>
      <c r="AE245" s="18" t="s">
        <v>652</v>
      </c>
      <c r="AF245" s="19"/>
      <c r="AG245" s="19"/>
      <c r="AH245" s="19"/>
      <c r="AI245" s="19"/>
      <c r="AJ245" s="20"/>
      <c r="AK245" s="20"/>
      <c r="AL245" s="20"/>
      <c r="AM245" s="20"/>
      <c r="AN245" s="20"/>
      <c r="AO245" s="20"/>
      <c r="AP245" s="20"/>
      <c r="AQ245" s="20"/>
    </row>
    <row r="246" spans="1:43" ht="15.75" customHeight="1" x14ac:dyDescent="0.2">
      <c r="A246" s="21">
        <v>7619</v>
      </c>
      <c r="B246" s="8" t="s">
        <v>31</v>
      </c>
      <c r="C246" s="8" t="s">
        <v>32</v>
      </c>
      <c r="D246" s="9"/>
      <c r="E246" s="8" t="s">
        <v>653</v>
      </c>
      <c r="F246" s="10">
        <v>2004</v>
      </c>
      <c r="G246" s="10">
        <v>2013</v>
      </c>
      <c r="H246" s="10">
        <v>1</v>
      </c>
      <c r="I246" s="10">
        <v>13.6</v>
      </c>
      <c r="J246" s="11">
        <v>1</v>
      </c>
      <c r="K246" s="10">
        <v>13.6</v>
      </c>
      <c r="L246" s="10">
        <v>0</v>
      </c>
      <c r="M246" s="10">
        <v>0</v>
      </c>
      <c r="N246" s="10">
        <v>4</v>
      </c>
      <c r="O246" s="8">
        <v>225</v>
      </c>
      <c r="P246" s="8" t="s">
        <v>35</v>
      </c>
      <c r="Q246" s="12">
        <v>1823</v>
      </c>
      <c r="R246" s="8" t="s">
        <v>66</v>
      </c>
      <c r="S246" s="10">
        <v>2009</v>
      </c>
      <c r="T246" s="10">
        <v>1.7</v>
      </c>
      <c r="U246" s="10">
        <f t="shared" si="0"/>
        <v>3099.1</v>
      </c>
      <c r="V246" s="14">
        <f t="shared" si="1"/>
        <v>227.875</v>
      </c>
      <c r="W246" s="15">
        <f t="shared" si="2"/>
        <v>1</v>
      </c>
      <c r="X246" s="15">
        <f t="shared" si="3"/>
        <v>13.6</v>
      </c>
      <c r="Y246" s="15">
        <f t="shared" si="4"/>
        <v>13.6</v>
      </c>
      <c r="Z246" s="13">
        <f t="shared" si="5"/>
        <v>0</v>
      </c>
      <c r="AA246" s="16">
        <f>VLOOKUP(S246,[1]CPI!$A$2:$D$67,4,0)</f>
        <v>1.2630455352689747</v>
      </c>
      <c r="AB246" s="17">
        <f t="shared" si="6"/>
        <v>3914.3044183520792</v>
      </c>
      <c r="AC246" s="17">
        <f t="shared" si="7"/>
        <v>287.81650134941759</v>
      </c>
      <c r="AD246" s="8" t="s">
        <v>35</v>
      </c>
      <c r="AE246" s="54"/>
      <c r="AF246" s="19"/>
      <c r="AG246" s="19"/>
      <c r="AH246" s="19"/>
      <c r="AI246" s="19"/>
      <c r="AJ246" s="20"/>
      <c r="AK246" s="20"/>
      <c r="AL246" s="20"/>
      <c r="AM246" s="20"/>
      <c r="AN246" s="20"/>
      <c r="AO246" s="20"/>
      <c r="AP246" s="20"/>
      <c r="AQ246" s="20"/>
    </row>
    <row r="247" spans="1:43" ht="15.75" customHeight="1" x14ac:dyDescent="0.2">
      <c r="A247" s="21">
        <v>7624</v>
      </c>
      <c r="B247" s="8" t="s">
        <v>31</v>
      </c>
      <c r="C247" s="8" t="s">
        <v>32</v>
      </c>
      <c r="D247" s="9"/>
      <c r="E247" s="8" t="s">
        <v>654</v>
      </c>
      <c r="F247" s="10">
        <v>2011</v>
      </c>
      <c r="G247" s="10">
        <v>2019</v>
      </c>
      <c r="H247" s="10">
        <v>1</v>
      </c>
      <c r="I247" s="10">
        <v>63</v>
      </c>
      <c r="J247" s="11">
        <v>0</v>
      </c>
      <c r="K247" s="10">
        <v>0</v>
      </c>
      <c r="L247" s="10">
        <v>0</v>
      </c>
      <c r="M247" s="10">
        <v>0</v>
      </c>
      <c r="N247" s="10">
        <v>36</v>
      </c>
      <c r="O247" s="8">
        <v>225</v>
      </c>
      <c r="P247" s="8" t="s">
        <v>35</v>
      </c>
      <c r="Q247" s="12">
        <v>1298</v>
      </c>
      <c r="R247" s="8" t="s">
        <v>66</v>
      </c>
      <c r="S247" s="10">
        <v>2015</v>
      </c>
      <c r="T247" s="10">
        <v>2.2999999999999998</v>
      </c>
      <c r="U247" s="10">
        <f t="shared" si="0"/>
        <v>2985.3999999999996</v>
      </c>
      <c r="V247" s="14">
        <f t="shared" si="1"/>
        <v>47.387301587301579</v>
      </c>
      <c r="W247" s="15">
        <f t="shared" si="2"/>
        <v>1</v>
      </c>
      <c r="X247" s="15">
        <f t="shared" si="3"/>
        <v>63</v>
      </c>
      <c r="Y247" s="15">
        <f t="shared" si="4"/>
        <v>0</v>
      </c>
      <c r="Z247" s="13">
        <f t="shared" si="5"/>
        <v>0</v>
      </c>
      <c r="AA247" s="16">
        <f>VLOOKUP(S247,[1]CPI!$A$2:$D$67,4,0)</f>
        <v>1.143251327963817</v>
      </c>
      <c r="AB247" s="17">
        <f t="shared" si="6"/>
        <v>3413.062514503179</v>
      </c>
      <c r="AC247" s="17">
        <f t="shared" si="7"/>
        <v>54.175595468304422</v>
      </c>
      <c r="AD247" s="8" t="s">
        <v>73</v>
      </c>
      <c r="AE247" s="18" t="s">
        <v>655</v>
      </c>
      <c r="AF247" s="19"/>
      <c r="AG247" s="19"/>
      <c r="AH247" s="19"/>
      <c r="AI247" s="19"/>
      <c r="AJ247" s="20"/>
      <c r="AK247" s="20"/>
      <c r="AL247" s="20"/>
      <c r="AM247" s="20"/>
      <c r="AN247" s="20"/>
      <c r="AO247" s="20"/>
      <c r="AP247" s="20"/>
      <c r="AQ247" s="20"/>
    </row>
    <row r="248" spans="1:43" ht="15.75" customHeight="1" x14ac:dyDescent="0.2">
      <c r="A248" s="21">
        <v>7625</v>
      </c>
      <c r="B248" s="8" t="s">
        <v>31</v>
      </c>
      <c r="C248" s="8" t="s">
        <v>32</v>
      </c>
      <c r="D248" s="9" t="s">
        <v>656</v>
      </c>
      <c r="E248" s="8" t="s">
        <v>657</v>
      </c>
      <c r="F248" s="10">
        <v>2014</v>
      </c>
      <c r="G248" s="10">
        <v>2024</v>
      </c>
      <c r="H248" s="10">
        <v>0</v>
      </c>
      <c r="I248" s="10">
        <v>23.75</v>
      </c>
      <c r="J248" s="11">
        <v>0.96209999999999996</v>
      </c>
      <c r="K248" s="10">
        <v>22.85</v>
      </c>
      <c r="L248" s="10">
        <v>0</v>
      </c>
      <c r="M248" s="10">
        <v>0</v>
      </c>
      <c r="N248" s="10">
        <v>19</v>
      </c>
      <c r="O248" s="8">
        <v>180</v>
      </c>
      <c r="P248" s="8" t="s">
        <v>35</v>
      </c>
      <c r="Q248" s="12">
        <v>896</v>
      </c>
      <c r="R248" s="8" t="s">
        <v>66</v>
      </c>
      <c r="S248" s="10">
        <v>2019</v>
      </c>
      <c r="T248" s="10">
        <v>3</v>
      </c>
      <c r="U248" s="10">
        <f t="shared" si="0"/>
        <v>2688</v>
      </c>
      <c r="V248" s="14">
        <f t="shared" si="1"/>
        <v>113.17894736842105</v>
      </c>
      <c r="W248" s="15">
        <f t="shared" si="2"/>
        <v>1</v>
      </c>
      <c r="X248" s="15">
        <f t="shared" si="3"/>
        <v>23.75</v>
      </c>
      <c r="Y248" s="15">
        <f t="shared" si="4"/>
        <v>22.85</v>
      </c>
      <c r="Z248" s="13">
        <f t="shared" si="5"/>
        <v>0</v>
      </c>
      <c r="AA248" s="16">
        <f>VLOOKUP(S248,[1]CPI!$A$2:$D$67,4,0)</f>
        <v>1.0598966584134211</v>
      </c>
      <c r="AB248" s="17">
        <f t="shared" si="6"/>
        <v>2849.0022178152758</v>
      </c>
      <c r="AC248" s="17">
        <f t="shared" si="7"/>
        <v>119.95798811853793</v>
      </c>
      <c r="AD248" s="8" t="s">
        <v>43</v>
      </c>
      <c r="AE248" s="18" t="s">
        <v>658</v>
      </c>
      <c r="AF248" s="19"/>
      <c r="AG248" s="19"/>
      <c r="AH248" s="19"/>
      <c r="AI248" s="19"/>
      <c r="AJ248" s="20"/>
      <c r="AK248" s="20"/>
      <c r="AL248" s="20"/>
      <c r="AM248" s="20"/>
      <c r="AN248" s="20"/>
      <c r="AO248" s="20"/>
      <c r="AP248" s="20"/>
      <c r="AQ248" s="20"/>
    </row>
    <row r="249" spans="1:43" ht="15.75" customHeight="1" x14ac:dyDescent="0.2">
      <c r="A249" s="21">
        <v>7626</v>
      </c>
      <c r="B249" s="9" t="s">
        <v>31</v>
      </c>
      <c r="C249" s="54" t="s">
        <v>659</v>
      </c>
      <c r="D249" s="9" t="s">
        <v>660</v>
      </c>
      <c r="E249" s="9" t="s">
        <v>661</v>
      </c>
      <c r="F249" s="9">
        <v>1995</v>
      </c>
      <c r="G249" s="9">
        <v>2000</v>
      </c>
      <c r="H249" s="9">
        <v>0</v>
      </c>
      <c r="I249" s="9">
        <v>11.6</v>
      </c>
      <c r="J249" s="55">
        <v>0.29310000000000003</v>
      </c>
      <c r="K249" s="9">
        <v>3.4</v>
      </c>
      <c r="L249" s="9">
        <v>0</v>
      </c>
      <c r="M249" s="9">
        <v>0</v>
      </c>
      <c r="N249" s="9">
        <v>10</v>
      </c>
      <c r="O249" s="9"/>
      <c r="P249" s="9" t="s">
        <v>35</v>
      </c>
      <c r="Q249" s="56">
        <v>600</v>
      </c>
      <c r="R249" s="9" t="s">
        <v>66</v>
      </c>
      <c r="S249" s="9">
        <v>1998</v>
      </c>
      <c r="T249" s="9">
        <v>2</v>
      </c>
      <c r="U249" s="9">
        <f t="shared" si="0"/>
        <v>1200</v>
      </c>
      <c r="V249" s="14">
        <f t="shared" si="1"/>
        <v>103.44827586206897</v>
      </c>
      <c r="W249" s="15">
        <f t="shared" si="2"/>
        <v>1</v>
      </c>
      <c r="X249" s="15">
        <f t="shared" si="3"/>
        <v>11.6</v>
      </c>
      <c r="Y249" s="15">
        <f t="shared" si="4"/>
        <v>3.4</v>
      </c>
      <c r="Z249" s="13">
        <f t="shared" si="5"/>
        <v>0</v>
      </c>
      <c r="AA249" s="16">
        <f>VLOOKUP(S249,[1]CPI!$A$2:$D$67,4,0)</f>
        <v>1.6623926380368099</v>
      </c>
      <c r="AB249" s="17">
        <f t="shared" si="6"/>
        <v>1994.8711656441719</v>
      </c>
      <c r="AC249" s="17">
        <f t="shared" si="7"/>
        <v>171.97165221070449</v>
      </c>
      <c r="AD249" s="9" t="s">
        <v>43</v>
      </c>
      <c r="AE249" s="46" t="s">
        <v>662</v>
      </c>
      <c r="AF249" s="19"/>
      <c r="AG249" s="19"/>
      <c r="AH249" s="19"/>
      <c r="AI249" s="19"/>
      <c r="AJ249" s="20"/>
      <c r="AK249" s="20"/>
      <c r="AL249" s="20"/>
      <c r="AM249" s="20"/>
      <c r="AN249" s="20"/>
      <c r="AO249" s="20"/>
      <c r="AP249" s="20"/>
      <c r="AQ249" s="20"/>
    </row>
    <row r="250" spans="1:43" ht="15.75" customHeight="1" x14ac:dyDescent="0.2">
      <c r="A250" s="21">
        <v>7627</v>
      </c>
      <c r="B250" s="9" t="s">
        <v>31</v>
      </c>
      <c r="C250" s="54" t="s">
        <v>659</v>
      </c>
      <c r="D250" s="9" t="s">
        <v>660</v>
      </c>
      <c r="E250" s="9" t="s">
        <v>663</v>
      </c>
      <c r="F250" s="9">
        <v>2005</v>
      </c>
      <c r="G250" s="9">
        <v>2014</v>
      </c>
      <c r="H250" s="9">
        <v>0</v>
      </c>
      <c r="I250" s="9">
        <v>5.35</v>
      </c>
      <c r="J250" s="55">
        <v>1</v>
      </c>
      <c r="K250" s="9">
        <v>5.35</v>
      </c>
      <c r="L250" s="9">
        <v>0</v>
      </c>
      <c r="M250" s="9">
        <v>0</v>
      </c>
      <c r="N250" s="9">
        <v>6</v>
      </c>
      <c r="O250" s="9"/>
      <c r="P250" s="9" t="s">
        <v>35</v>
      </c>
      <c r="Q250" s="56">
        <v>252</v>
      </c>
      <c r="R250" s="9" t="s">
        <v>664</v>
      </c>
      <c r="S250" s="9">
        <v>2010</v>
      </c>
      <c r="T250" s="9">
        <v>1.1000000000000001</v>
      </c>
      <c r="U250" s="9">
        <f t="shared" si="0"/>
        <v>277.20000000000005</v>
      </c>
      <c r="V250" s="14">
        <f t="shared" si="1"/>
        <v>51.813084112149546</v>
      </c>
      <c r="W250" s="15">
        <f t="shared" si="2"/>
        <v>1</v>
      </c>
      <c r="X250" s="15">
        <f t="shared" si="3"/>
        <v>5.35</v>
      </c>
      <c r="Y250" s="15">
        <f t="shared" si="4"/>
        <v>5.35</v>
      </c>
      <c r="Z250" s="13">
        <f t="shared" si="5"/>
        <v>0</v>
      </c>
      <c r="AA250" s="16">
        <f>VLOOKUP(S250,[1]CPI!$A$2:$D$67,4,0)</f>
        <v>1.2426624353377114</v>
      </c>
      <c r="AB250" s="17">
        <f t="shared" si="6"/>
        <v>344.46602707561362</v>
      </c>
      <c r="AC250" s="17">
        <f t="shared" si="7"/>
        <v>64.386173285161433</v>
      </c>
      <c r="AD250" s="9" t="s">
        <v>35</v>
      </c>
      <c r="AE250" s="46" t="s">
        <v>665</v>
      </c>
      <c r="AF250" s="19"/>
      <c r="AG250" s="19"/>
      <c r="AH250" s="19"/>
      <c r="AI250" s="19"/>
      <c r="AJ250" s="20"/>
      <c r="AK250" s="20"/>
      <c r="AL250" s="20"/>
      <c r="AM250" s="20"/>
      <c r="AN250" s="20"/>
      <c r="AO250" s="20"/>
      <c r="AP250" s="20"/>
      <c r="AQ250" s="20"/>
    </row>
    <row r="251" spans="1:43" ht="15.75" customHeight="1" x14ac:dyDescent="0.2">
      <c r="A251" s="21">
        <v>7632</v>
      </c>
      <c r="B251" s="9" t="s">
        <v>31</v>
      </c>
      <c r="C251" s="54" t="s">
        <v>659</v>
      </c>
      <c r="D251" s="9" t="s">
        <v>660</v>
      </c>
      <c r="E251" s="9" t="s">
        <v>666</v>
      </c>
      <c r="F251" s="9">
        <v>2010</v>
      </c>
      <c r="G251" s="9">
        <v>2012</v>
      </c>
      <c r="H251" s="9">
        <v>0</v>
      </c>
      <c r="I251" s="9">
        <v>2.25</v>
      </c>
      <c r="J251" s="55">
        <v>1</v>
      </c>
      <c r="K251" s="9">
        <v>2.25</v>
      </c>
      <c r="L251" s="9">
        <v>0</v>
      </c>
      <c r="M251" s="9">
        <v>0</v>
      </c>
      <c r="N251" s="9">
        <v>2</v>
      </c>
      <c r="O251" s="9"/>
      <c r="P251" s="9" t="s">
        <v>35</v>
      </c>
      <c r="Q251" s="56">
        <v>106</v>
      </c>
      <c r="R251" s="9" t="s">
        <v>664</v>
      </c>
      <c r="S251" s="9">
        <v>2011</v>
      </c>
      <c r="T251" s="9">
        <v>1</v>
      </c>
      <c r="U251" s="9">
        <f t="shared" si="0"/>
        <v>106</v>
      </c>
      <c r="V251" s="14">
        <f t="shared" si="1"/>
        <v>47.111111111111114</v>
      </c>
      <c r="W251" s="15">
        <f t="shared" si="2"/>
        <v>1</v>
      </c>
      <c r="X251" s="15">
        <f t="shared" si="3"/>
        <v>2.25</v>
      </c>
      <c r="Y251" s="15">
        <f t="shared" si="4"/>
        <v>2.25</v>
      </c>
      <c r="Z251" s="13">
        <f t="shared" si="5"/>
        <v>0</v>
      </c>
      <c r="AA251" s="16">
        <f>VLOOKUP(S251,[1]CPI!$A$2:$D$67,4,0)</f>
        <v>1.2046377017769263</v>
      </c>
      <c r="AB251" s="17">
        <f t="shared" si="6"/>
        <v>127.69159638835418</v>
      </c>
      <c r="AC251" s="17">
        <f t="shared" si="7"/>
        <v>56.751820617046313</v>
      </c>
      <c r="AD251" s="9" t="s">
        <v>35</v>
      </c>
      <c r="AE251" s="46" t="s">
        <v>665</v>
      </c>
      <c r="AF251" s="19"/>
      <c r="AG251" s="19"/>
      <c r="AH251" s="19"/>
      <c r="AI251" s="19"/>
      <c r="AJ251" s="20"/>
      <c r="AK251" s="20"/>
      <c r="AL251" s="20"/>
      <c r="AM251" s="20"/>
      <c r="AN251" s="20"/>
      <c r="AO251" s="20"/>
      <c r="AP251" s="20"/>
      <c r="AQ251" s="20"/>
    </row>
    <row r="252" spans="1:43" ht="15.75" customHeight="1" x14ac:dyDescent="0.2">
      <c r="A252" s="21">
        <v>7633</v>
      </c>
      <c r="B252" s="9" t="s">
        <v>31</v>
      </c>
      <c r="C252" s="9" t="s">
        <v>667</v>
      </c>
      <c r="D252" s="9"/>
      <c r="E252" s="9" t="s">
        <v>33</v>
      </c>
      <c r="F252" s="9">
        <v>2003</v>
      </c>
      <c r="G252" s="9">
        <v>2017</v>
      </c>
      <c r="H252" s="9">
        <v>0</v>
      </c>
      <c r="I252" s="9">
        <v>9.2200000000000006</v>
      </c>
      <c r="J252" s="55">
        <v>1</v>
      </c>
      <c r="K252" s="9">
        <v>9.2200000000000006</v>
      </c>
      <c r="L252" s="9">
        <v>0</v>
      </c>
      <c r="M252" s="9">
        <v>0</v>
      </c>
      <c r="N252" s="9">
        <v>9</v>
      </c>
      <c r="O252" s="9"/>
      <c r="P252" s="9" t="s">
        <v>35</v>
      </c>
      <c r="Q252" s="56">
        <v>1000</v>
      </c>
      <c r="R252" s="9" t="s">
        <v>664</v>
      </c>
      <c r="S252" s="9">
        <v>2010</v>
      </c>
      <c r="T252" s="9">
        <v>1.1000000000000001</v>
      </c>
      <c r="U252" s="9">
        <f t="shared" si="0"/>
        <v>1100</v>
      </c>
      <c r="V252" s="14">
        <f t="shared" si="1"/>
        <v>119.3058568329718</v>
      </c>
      <c r="W252" s="15">
        <f t="shared" si="2"/>
        <v>1</v>
      </c>
      <c r="X252" s="15">
        <f t="shared" si="3"/>
        <v>9.2200000000000006</v>
      </c>
      <c r="Y252" s="15">
        <f t="shared" si="4"/>
        <v>9.2200000000000006</v>
      </c>
      <c r="Z252" s="13">
        <f t="shared" si="5"/>
        <v>0</v>
      </c>
      <c r="AA252" s="16">
        <f>VLOOKUP(S252,[1]CPI!$A$2:$D$67,4,0)</f>
        <v>1.2426624353377114</v>
      </c>
      <c r="AB252" s="17">
        <f t="shared" si="6"/>
        <v>1366.9286788714826</v>
      </c>
      <c r="AC252" s="17">
        <f t="shared" si="7"/>
        <v>148.25690660211308</v>
      </c>
      <c r="AD252" s="9" t="s">
        <v>43</v>
      </c>
      <c r="AE252" s="46" t="s">
        <v>668</v>
      </c>
      <c r="AF252" s="19"/>
      <c r="AG252" s="19"/>
      <c r="AH252" s="19"/>
      <c r="AI252" s="19"/>
      <c r="AJ252" s="20"/>
      <c r="AK252" s="20"/>
      <c r="AL252" s="20"/>
      <c r="AM252" s="20"/>
      <c r="AN252" s="20"/>
      <c r="AO252" s="20"/>
      <c r="AP252" s="20"/>
      <c r="AQ252" s="20"/>
    </row>
    <row r="253" spans="1:43" ht="15.75" customHeight="1" x14ac:dyDescent="0.2">
      <c r="A253" s="21">
        <v>7634</v>
      </c>
      <c r="B253" s="9" t="s">
        <v>31</v>
      </c>
      <c r="C253" s="9" t="s">
        <v>669</v>
      </c>
      <c r="D253" s="9"/>
      <c r="E253" s="9" t="s">
        <v>670</v>
      </c>
      <c r="F253" s="9">
        <v>1997</v>
      </c>
      <c r="G253" s="9">
        <v>2014</v>
      </c>
      <c r="H253" s="9">
        <v>0</v>
      </c>
      <c r="I253" s="9">
        <v>39</v>
      </c>
      <c r="J253" s="55">
        <v>0.1603</v>
      </c>
      <c r="K253" s="9">
        <v>6.25</v>
      </c>
      <c r="L253" s="9">
        <v>0</v>
      </c>
      <c r="M253" s="9">
        <v>0</v>
      </c>
      <c r="N253" s="9">
        <v>38</v>
      </c>
      <c r="O253" s="9"/>
      <c r="P253" s="9" t="s">
        <v>43</v>
      </c>
      <c r="Q253" s="56">
        <v>425</v>
      </c>
      <c r="R253" s="9" t="s">
        <v>36</v>
      </c>
      <c r="S253" s="9">
        <v>2006</v>
      </c>
      <c r="T253" s="9">
        <v>2.1</v>
      </c>
      <c r="U253" s="9">
        <f t="shared" si="0"/>
        <v>892.5</v>
      </c>
      <c r="V253" s="14">
        <f t="shared" si="1"/>
        <v>22.884615384615383</v>
      </c>
      <c r="W253" s="15">
        <f t="shared" si="2"/>
        <v>1</v>
      </c>
      <c r="X253" s="15">
        <f t="shared" si="3"/>
        <v>39</v>
      </c>
      <c r="Y253" s="15">
        <f t="shared" si="4"/>
        <v>6.25</v>
      </c>
      <c r="Z253" s="13">
        <f t="shared" si="5"/>
        <v>0</v>
      </c>
      <c r="AA253" s="16">
        <f>VLOOKUP(S253,[1]CPI!$A$2:$D$67,4,0)</f>
        <v>1.3440972222222225</v>
      </c>
      <c r="AB253" s="17">
        <f t="shared" si="6"/>
        <v>1199.6067708333335</v>
      </c>
      <c r="AC253" s="17">
        <f t="shared" si="7"/>
        <v>30.759147970085476</v>
      </c>
      <c r="AD253" s="9" t="s">
        <v>43</v>
      </c>
      <c r="AE253" s="49" t="s">
        <v>671</v>
      </c>
      <c r="AF253" s="19"/>
      <c r="AG253" s="19"/>
      <c r="AH253" s="19"/>
      <c r="AI253" s="19"/>
      <c r="AJ253" s="20"/>
      <c r="AK253" s="20"/>
      <c r="AL253" s="20"/>
      <c r="AM253" s="20"/>
      <c r="AN253" s="20"/>
      <c r="AO253" s="20"/>
      <c r="AP253" s="20"/>
      <c r="AQ253" s="20"/>
    </row>
    <row r="254" spans="1:43" ht="15.75" customHeight="1" x14ac:dyDescent="0.2">
      <c r="A254" s="21">
        <v>7635</v>
      </c>
      <c r="B254" s="57" t="s">
        <v>672</v>
      </c>
      <c r="C254" s="57" t="s">
        <v>673</v>
      </c>
      <c r="D254" s="9" t="s">
        <v>674</v>
      </c>
      <c r="E254" s="57" t="s">
        <v>675</v>
      </c>
      <c r="F254" s="58">
        <v>2019</v>
      </c>
      <c r="G254" s="58">
        <v>2021</v>
      </c>
      <c r="H254" s="58">
        <v>0</v>
      </c>
      <c r="I254" s="58">
        <v>3.6</v>
      </c>
      <c r="J254" s="59">
        <v>1</v>
      </c>
      <c r="K254" s="58">
        <f>I254</f>
        <v>3.6</v>
      </c>
      <c r="L254" s="58">
        <v>0</v>
      </c>
      <c r="M254" s="58">
        <v>0</v>
      </c>
      <c r="N254" s="58">
        <v>3</v>
      </c>
      <c r="O254" s="57"/>
      <c r="P254" s="57" t="s">
        <v>43</v>
      </c>
      <c r="Q254" s="60"/>
      <c r="R254" s="57" t="s">
        <v>676</v>
      </c>
      <c r="S254" s="58">
        <v>2020</v>
      </c>
      <c r="T254" s="61">
        <v>0.23899999999999999</v>
      </c>
      <c r="U254" s="62"/>
      <c r="V254" s="14"/>
      <c r="W254" s="15">
        <f t="shared" si="2"/>
        <v>0</v>
      </c>
      <c r="X254" s="15">
        <f t="shared" si="3"/>
        <v>0</v>
      </c>
      <c r="Y254" s="15">
        <f t="shared" si="4"/>
        <v>0</v>
      </c>
      <c r="Z254" s="13">
        <f t="shared" si="5"/>
        <v>0</v>
      </c>
      <c r="AA254" s="16">
        <f>VLOOKUP(S254,[1]CPI!$A$2:$D$67,4,0)</f>
        <v>1.0469802288156225</v>
      </c>
      <c r="AB254" s="17"/>
      <c r="AC254" s="17"/>
      <c r="AD254" s="57" t="s">
        <v>43</v>
      </c>
      <c r="AE254" s="63" t="s">
        <v>677</v>
      </c>
      <c r="AF254" s="27"/>
      <c r="AG254" s="27"/>
      <c r="AH254" s="27"/>
      <c r="AI254" s="27"/>
      <c r="AJ254" s="28"/>
      <c r="AK254" s="28"/>
      <c r="AL254" s="28"/>
      <c r="AM254" s="28"/>
      <c r="AN254" s="28"/>
      <c r="AO254" s="28"/>
      <c r="AP254" s="28"/>
      <c r="AQ254" s="28"/>
    </row>
    <row r="255" spans="1:43" ht="15.75" customHeight="1" x14ac:dyDescent="0.2">
      <c r="A255" s="21">
        <v>7640</v>
      </c>
      <c r="B255" s="19" t="s">
        <v>672</v>
      </c>
      <c r="C255" s="19" t="s">
        <v>673</v>
      </c>
      <c r="D255" s="9"/>
      <c r="E255" s="19" t="s">
        <v>142</v>
      </c>
      <c r="F255" s="19">
        <v>2004</v>
      </c>
      <c r="G255" s="19">
        <v>2009</v>
      </c>
      <c r="H255" s="19">
        <v>0</v>
      </c>
      <c r="I255" s="19">
        <v>28.2</v>
      </c>
      <c r="J255" s="64">
        <f>K255/I255</f>
        <v>0.95166666666666666</v>
      </c>
      <c r="K255" s="19">
        <v>26.837</v>
      </c>
      <c r="L255" s="19">
        <v>0</v>
      </c>
      <c r="M255" s="19">
        <v>0</v>
      </c>
      <c r="N255" s="19">
        <v>24</v>
      </c>
      <c r="O255" s="19">
        <v>117</v>
      </c>
      <c r="P255" s="19" t="s">
        <v>43</v>
      </c>
      <c r="Q255" s="65">
        <v>15380</v>
      </c>
      <c r="R255" s="19" t="s">
        <v>676</v>
      </c>
      <c r="S255" s="19">
        <v>2005</v>
      </c>
      <c r="T255" s="61">
        <v>0.35189999999999999</v>
      </c>
      <c r="U255" s="62">
        <f>Q255*T255</f>
        <v>5412.2219999999998</v>
      </c>
      <c r="V255" s="14">
        <f>U255/I255</f>
        <v>191.92276595744681</v>
      </c>
      <c r="W255" s="15">
        <f t="shared" si="2"/>
        <v>0</v>
      </c>
      <c r="X255" s="15">
        <f t="shared" si="3"/>
        <v>0</v>
      </c>
      <c r="Y255" s="15">
        <f t="shared" si="4"/>
        <v>0</v>
      </c>
      <c r="Z255" s="13">
        <f t="shared" si="5"/>
        <v>0</v>
      </c>
      <c r="AA255" s="16">
        <f>VLOOKUP(S255,[1]CPI!$A$2:$D$67,4,0)</f>
        <v>1.3874551971326166</v>
      </c>
      <c r="AB255" s="17">
        <f>U255*AA255</f>
        <v>7509.215541935484</v>
      </c>
      <c r="AC255" s="17">
        <f>V255*AA255</f>
        <v>266.28423907572642</v>
      </c>
      <c r="AD255" s="19" t="s">
        <v>43</v>
      </c>
      <c r="AE255" s="66" t="s">
        <v>678</v>
      </c>
      <c r="AF255" s="27"/>
      <c r="AG255" s="27"/>
      <c r="AH255" s="27"/>
      <c r="AI255" s="27"/>
      <c r="AJ255" s="28"/>
      <c r="AK255" s="28"/>
      <c r="AL255" s="28"/>
      <c r="AM255" s="28"/>
      <c r="AN255" s="28"/>
      <c r="AO255" s="28"/>
      <c r="AP255" s="28"/>
      <c r="AQ255" s="28"/>
    </row>
    <row r="256" spans="1:43" ht="15.75" customHeight="1" x14ac:dyDescent="0.2">
      <c r="A256" s="21">
        <v>7641</v>
      </c>
      <c r="B256" s="57" t="s">
        <v>672</v>
      </c>
      <c r="C256" s="57" t="s">
        <v>673</v>
      </c>
      <c r="D256" s="9"/>
      <c r="E256" s="57" t="s">
        <v>679</v>
      </c>
      <c r="F256" s="58">
        <v>1965</v>
      </c>
      <c r="G256" s="58">
        <v>1969</v>
      </c>
      <c r="H256" s="58">
        <v>0</v>
      </c>
      <c r="I256" s="58">
        <v>23.6</v>
      </c>
      <c r="J256" s="59">
        <v>1</v>
      </c>
      <c r="K256" s="58">
        <v>23.6</v>
      </c>
      <c r="L256" s="58">
        <v>0</v>
      </c>
      <c r="M256" s="58">
        <v>0</v>
      </c>
      <c r="N256" s="58">
        <v>17</v>
      </c>
      <c r="O256" s="57"/>
      <c r="P256" s="57" t="s">
        <v>680</v>
      </c>
      <c r="Q256" s="67">
        <f>0.7*10^3</f>
        <v>700</v>
      </c>
      <c r="R256" s="57" t="s">
        <v>676</v>
      </c>
      <c r="S256" s="58">
        <v>1965</v>
      </c>
      <c r="T256" s="68"/>
      <c r="U256" s="62"/>
      <c r="V256" s="14"/>
      <c r="W256" s="15">
        <f t="shared" si="2"/>
        <v>0</v>
      </c>
      <c r="X256" s="15">
        <f t="shared" si="3"/>
        <v>0</v>
      </c>
      <c r="Y256" s="15">
        <f t="shared" si="4"/>
        <v>0</v>
      </c>
      <c r="Z256" s="13">
        <f t="shared" si="5"/>
        <v>0</v>
      </c>
      <c r="AA256" s="16">
        <f>VLOOKUP(S256,[1]CPI!$A$2:$D$67,4,0)</f>
        <v>8.6022222222222222</v>
      </c>
      <c r="AB256" s="17"/>
      <c r="AC256" s="17"/>
      <c r="AD256" s="57" t="s">
        <v>43</v>
      </c>
      <c r="AE256" s="63" t="s">
        <v>681</v>
      </c>
      <c r="AF256" s="27"/>
      <c r="AG256" s="27"/>
      <c r="AH256" s="27"/>
      <c r="AI256" s="27"/>
      <c r="AJ256" s="28"/>
      <c r="AK256" s="28"/>
      <c r="AL256" s="28"/>
      <c r="AM256" s="28"/>
      <c r="AN256" s="28"/>
      <c r="AO256" s="28"/>
      <c r="AP256" s="28"/>
      <c r="AQ256" s="28"/>
    </row>
    <row r="257" spans="1:43" ht="15.75" customHeight="1" x14ac:dyDescent="0.2">
      <c r="A257" s="21">
        <v>7642</v>
      </c>
      <c r="B257" s="57" t="s">
        <v>672</v>
      </c>
      <c r="C257" s="57" t="s">
        <v>673</v>
      </c>
      <c r="D257" s="9" t="s">
        <v>386</v>
      </c>
      <c r="E257" s="57" t="s">
        <v>682</v>
      </c>
      <c r="F257" s="58">
        <v>2010</v>
      </c>
      <c r="G257" s="57"/>
      <c r="H257" s="58">
        <v>0</v>
      </c>
      <c r="I257" s="58">
        <v>12.4</v>
      </c>
      <c r="J257" s="59">
        <v>0.59677419350000005</v>
      </c>
      <c r="K257" s="58">
        <v>7.4</v>
      </c>
      <c r="L257" s="58">
        <v>4.5650000000000004</v>
      </c>
      <c r="M257" s="58">
        <v>0.51900000000000002</v>
      </c>
      <c r="N257" s="58">
        <v>7</v>
      </c>
      <c r="O257" s="57"/>
      <c r="P257" s="57" t="s">
        <v>43</v>
      </c>
      <c r="Q257" s="60"/>
      <c r="R257" s="57" t="s">
        <v>676</v>
      </c>
      <c r="S257" s="58">
        <v>2012</v>
      </c>
      <c r="T257" s="61">
        <v>0.28079999999999999</v>
      </c>
      <c r="U257" s="69"/>
      <c r="V257" s="70"/>
      <c r="W257" s="15">
        <f t="shared" ref="W257:W511" si="8">IF(OR(B257 = "BG",B257 = "GR",B257 = "IT",B257 = "ES",B257 = "PT",B257 = "TR", B257 = "KR",B257 = "SE",B257 = "CH",B257 = "NO",B257 = "DK",B257 = "FI"), 1, 0)</f>
        <v>0</v>
      </c>
      <c r="X257" s="15">
        <f t="shared" ref="X257:X511" si="9">W257*I257</f>
        <v>0</v>
      </c>
      <c r="Y257" s="15">
        <f t="shared" ref="Y257:Y511" si="10">W257*K257</f>
        <v>0</v>
      </c>
      <c r="Z257" s="13">
        <f t="shared" ref="Z257:Z511" si="11">IF(OR(B257 = "US",B257 = "CA",B257 = "UK",B257 = "NZ",B257 = "AU",B257 = "SG"), 1, 0)</f>
        <v>0</v>
      </c>
      <c r="AA257" s="16">
        <f>VLOOKUP(S257,[1]CPI!$A$2:$D$67,4,0)</f>
        <v>1.1802137686524912</v>
      </c>
      <c r="AB257" s="17"/>
      <c r="AC257" s="17"/>
      <c r="AD257" s="57" t="s">
        <v>43</v>
      </c>
      <c r="AE257" s="57" t="s">
        <v>683</v>
      </c>
      <c r="AF257" s="27"/>
      <c r="AG257" s="27"/>
      <c r="AH257" s="27"/>
      <c r="AI257" s="27"/>
      <c r="AJ257" s="28"/>
      <c r="AK257" s="28"/>
      <c r="AL257" s="28"/>
      <c r="AM257" s="28"/>
      <c r="AN257" s="28"/>
      <c r="AO257" s="28"/>
      <c r="AP257" s="28"/>
      <c r="AQ257" s="28"/>
    </row>
    <row r="258" spans="1:43" ht="15.75" customHeight="1" x14ac:dyDescent="0.2">
      <c r="A258" s="21">
        <v>7643</v>
      </c>
      <c r="B258" s="57" t="s">
        <v>672</v>
      </c>
      <c r="C258" s="57" t="s">
        <v>673</v>
      </c>
      <c r="D258" s="9" t="s">
        <v>386</v>
      </c>
      <c r="E258" s="57" t="s">
        <v>684</v>
      </c>
      <c r="F258" s="58">
        <v>2010</v>
      </c>
      <c r="G258" s="58">
        <v>2015</v>
      </c>
      <c r="H258" s="58">
        <v>0</v>
      </c>
      <c r="I258" s="58">
        <v>31.4</v>
      </c>
      <c r="J258" s="59">
        <v>1</v>
      </c>
      <c r="K258" s="58">
        <v>31.4</v>
      </c>
      <c r="L258" s="58">
        <v>0</v>
      </c>
      <c r="M258" s="58">
        <v>0</v>
      </c>
      <c r="N258" s="58">
        <v>23</v>
      </c>
      <c r="O258" s="57"/>
      <c r="P258" s="57" t="s">
        <v>43</v>
      </c>
      <c r="Q258" s="60"/>
      <c r="R258" s="57" t="s">
        <v>676</v>
      </c>
      <c r="S258" s="58">
        <v>2012</v>
      </c>
      <c r="T258" s="61">
        <v>0.28079999999999999</v>
      </c>
      <c r="U258" s="62"/>
      <c r="V258" s="14"/>
      <c r="W258" s="15">
        <f t="shared" si="8"/>
        <v>0</v>
      </c>
      <c r="X258" s="15">
        <f t="shared" si="9"/>
        <v>0</v>
      </c>
      <c r="Y258" s="15">
        <f t="shared" si="10"/>
        <v>0</v>
      </c>
      <c r="Z258" s="13">
        <f t="shared" si="11"/>
        <v>0</v>
      </c>
      <c r="AA258" s="16">
        <f>VLOOKUP(S258,[1]CPI!$A$2:$D$67,4,0)</f>
        <v>1.1802137686524912</v>
      </c>
      <c r="AB258" s="17"/>
      <c r="AC258" s="17"/>
      <c r="AD258" s="57" t="s">
        <v>43</v>
      </c>
      <c r="AE258" s="57" t="s">
        <v>683</v>
      </c>
      <c r="AF258" s="27"/>
      <c r="AG258" s="27"/>
      <c r="AH258" s="27"/>
      <c r="AI258" s="27"/>
      <c r="AJ258" s="28"/>
      <c r="AK258" s="28"/>
      <c r="AL258" s="28"/>
      <c r="AM258" s="28"/>
      <c r="AN258" s="28"/>
      <c r="AO258" s="28"/>
      <c r="AP258" s="28"/>
      <c r="AQ258" s="28"/>
    </row>
    <row r="259" spans="1:43" ht="15.75" customHeight="1" x14ac:dyDescent="0.2">
      <c r="A259" s="71">
        <v>7648</v>
      </c>
      <c r="B259" s="54" t="s">
        <v>672</v>
      </c>
      <c r="C259" s="54" t="s">
        <v>673</v>
      </c>
      <c r="D259" s="9" t="s">
        <v>685</v>
      </c>
      <c r="E259" s="54" t="s">
        <v>686</v>
      </c>
      <c r="F259" s="72">
        <v>2016</v>
      </c>
      <c r="G259" s="72">
        <v>2020</v>
      </c>
      <c r="H259" s="72">
        <v>0</v>
      </c>
      <c r="I259" s="72">
        <v>1.83</v>
      </c>
      <c r="J259" s="73">
        <v>1</v>
      </c>
      <c r="K259" s="72">
        <v>1.83</v>
      </c>
      <c r="L259" s="54"/>
      <c r="M259" s="54"/>
      <c r="N259" s="72">
        <v>1</v>
      </c>
      <c r="O259" s="72">
        <v>68</v>
      </c>
      <c r="P259" s="54"/>
      <c r="Q259" s="65">
        <v>1800</v>
      </c>
      <c r="R259" s="54" t="s">
        <v>676</v>
      </c>
      <c r="S259" s="72">
        <v>2018</v>
      </c>
      <c r="T259" s="61">
        <v>0.23699999999999999</v>
      </c>
      <c r="U259" s="74">
        <f t="shared" ref="U259:U260" si="12">Q259*T259</f>
        <v>426.59999999999997</v>
      </c>
      <c r="V259" s="75">
        <f t="shared" ref="V259:V260" si="13">U259/I259</f>
        <v>233.11475409836063</v>
      </c>
      <c r="W259" s="15">
        <f t="shared" si="8"/>
        <v>0</v>
      </c>
      <c r="X259" s="15">
        <f t="shared" si="9"/>
        <v>0</v>
      </c>
      <c r="Y259" s="15">
        <f t="shared" si="10"/>
        <v>0</v>
      </c>
      <c r="Z259" s="13">
        <f t="shared" si="11"/>
        <v>0</v>
      </c>
      <c r="AA259" s="16">
        <f>VLOOKUP(S259,[1]CPI!$A$2:$D$67,4,0)</f>
        <v>1.0791017375063221</v>
      </c>
      <c r="AB259" s="17">
        <f t="shared" ref="AB259:AB260" si="14">U259*AA259</f>
        <v>460.34480122019698</v>
      </c>
      <c r="AC259" s="17">
        <f t="shared" ref="AC259:AC260" si="15">V259*AA259</f>
        <v>251.55453618589999</v>
      </c>
      <c r="AD259" s="54" t="s">
        <v>43</v>
      </c>
      <c r="AE259" s="76" t="s">
        <v>687</v>
      </c>
      <c r="AF259" s="9"/>
      <c r="AG259" s="9"/>
      <c r="AH259" s="9"/>
      <c r="AI259" s="9"/>
      <c r="AJ259" s="77"/>
      <c r="AK259" s="77"/>
      <c r="AL259" s="77"/>
      <c r="AM259" s="77"/>
      <c r="AN259" s="77"/>
      <c r="AO259" s="77"/>
      <c r="AP259" s="77"/>
      <c r="AQ259" s="77"/>
    </row>
    <row r="260" spans="1:43" ht="15.75" customHeight="1" x14ac:dyDescent="0.2">
      <c r="A260" s="21">
        <v>7649</v>
      </c>
      <c r="B260" s="19" t="s">
        <v>672</v>
      </c>
      <c r="C260" s="19" t="s">
        <v>673</v>
      </c>
      <c r="D260" s="9" t="s">
        <v>688</v>
      </c>
      <c r="E260" s="19" t="s">
        <v>688</v>
      </c>
      <c r="F260" s="19">
        <v>1999</v>
      </c>
      <c r="G260" s="19">
        <v>2003</v>
      </c>
      <c r="H260" s="19">
        <v>0</v>
      </c>
      <c r="I260" s="19">
        <v>40.85</v>
      </c>
      <c r="J260" s="64">
        <v>0</v>
      </c>
      <c r="K260" s="19">
        <v>0</v>
      </c>
      <c r="L260" s="19">
        <v>13.855</v>
      </c>
      <c r="M260" s="19">
        <v>26.995000000000001</v>
      </c>
      <c r="N260" s="19">
        <v>17</v>
      </c>
      <c r="O260" s="19">
        <v>117</v>
      </c>
      <c r="P260" s="19" t="s">
        <v>689</v>
      </c>
      <c r="Q260" s="78">
        <f>6.57*10^3</f>
        <v>6570</v>
      </c>
      <c r="R260" s="19" t="s">
        <v>676</v>
      </c>
      <c r="S260" s="19">
        <v>1999</v>
      </c>
      <c r="T260" s="61">
        <v>0.36699999999999999</v>
      </c>
      <c r="U260" s="62">
        <f t="shared" si="12"/>
        <v>2411.19</v>
      </c>
      <c r="V260" s="14">
        <f t="shared" si="13"/>
        <v>59.025458996328027</v>
      </c>
      <c r="W260" s="15">
        <f t="shared" si="8"/>
        <v>0</v>
      </c>
      <c r="X260" s="15">
        <f t="shared" si="9"/>
        <v>0</v>
      </c>
      <c r="Y260" s="15">
        <f t="shared" si="10"/>
        <v>0</v>
      </c>
      <c r="Z260" s="13">
        <f t="shared" si="11"/>
        <v>0</v>
      </c>
      <c r="AA260" s="16">
        <f>VLOOKUP(S260,[1]CPI!$A$2:$D$67,4,0)</f>
        <v>1.6264705882352943</v>
      </c>
      <c r="AB260" s="17">
        <f t="shared" si="14"/>
        <v>3921.7296176470595</v>
      </c>
      <c r="AC260" s="17">
        <f t="shared" si="15"/>
        <v>96.003173014615896</v>
      </c>
      <c r="AD260" s="19" t="s">
        <v>43</v>
      </c>
      <c r="AE260" s="66" t="s">
        <v>690</v>
      </c>
      <c r="AF260" s="27"/>
      <c r="AG260" s="27"/>
      <c r="AH260" s="27"/>
      <c r="AI260" s="27"/>
      <c r="AJ260" s="28"/>
      <c r="AK260" s="28"/>
      <c r="AL260" s="28"/>
      <c r="AM260" s="28"/>
      <c r="AN260" s="28"/>
      <c r="AO260" s="28"/>
      <c r="AP260" s="28"/>
      <c r="AQ260" s="28"/>
    </row>
    <row r="261" spans="1:43" ht="15.75" customHeight="1" x14ac:dyDescent="0.2">
      <c r="A261" s="21">
        <v>7650</v>
      </c>
      <c r="B261" s="57" t="s">
        <v>672</v>
      </c>
      <c r="C261" s="57" t="s">
        <v>673</v>
      </c>
      <c r="D261" s="9" t="s">
        <v>674</v>
      </c>
      <c r="E261" s="57" t="s">
        <v>691</v>
      </c>
      <c r="F261" s="57"/>
      <c r="G261" s="58">
        <v>2011</v>
      </c>
      <c r="H261" s="58">
        <v>0</v>
      </c>
      <c r="I261" s="58">
        <v>10.7</v>
      </c>
      <c r="J261" s="59">
        <v>1</v>
      </c>
      <c r="K261" s="58">
        <v>10.7</v>
      </c>
      <c r="L261" s="58">
        <v>0</v>
      </c>
      <c r="M261" s="58">
        <v>0</v>
      </c>
      <c r="N261" s="58">
        <v>6</v>
      </c>
      <c r="O261" s="57"/>
      <c r="P261" s="57" t="s">
        <v>43</v>
      </c>
      <c r="Q261" s="60"/>
      <c r="R261" s="57" t="s">
        <v>676</v>
      </c>
      <c r="S261" s="57">
        <v>2011</v>
      </c>
      <c r="T261" s="61">
        <v>0.28399999999999997</v>
      </c>
      <c r="U261" s="62"/>
      <c r="V261" s="14"/>
      <c r="W261" s="15">
        <f t="shared" si="8"/>
        <v>0</v>
      </c>
      <c r="X261" s="15">
        <f t="shared" si="9"/>
        <v>0</v>
      </c>
      <c r="Y261" s="15">
        <f t="shared" si="10"/>
        <v>0</v>
      </c>
      <c r="Z261" s="13">
        <f t="shared" si="11"/>
        <v>0</v>
      </c>
      <c r="AA261" s="16">
        <f>VLOOKUP(S261,[1]CPI!$A$2:$D$67,4,0)</f>
        <v>1.2046377017769263</v>
      </c>
      <c r="AB261" s="17"/>
      <c r="AC261" s="17"/>
      <c r="AD261" s="57" t="s">
        <v>43</v>
      </c>
      <c r="AE261" s="63" t="s">
        <v>692</v>
      </c>
      <c r="AF261" s="27"/>
      <c r="AG261" s="27"/>
      <c r="AH261" s="27"/>
      <c r="AI261" s="27"/>
      <c r="AJ261" s="28"/>
      <c r="AK261" s="28"/>
      <c r="AL261" s="28"/>
      <c r="AM261" s="28"/>
      <c r="AN261" s="28"/>
      <c r="AO261" s="28"/>
      <c r="AP261" s="28"/>
      <c r="AQ261" s="28"/>
    </row>
    <row r="262" spans="1:43" ht="15.75" customHeight="1" x14ac:dyDescent="0.2">
      <c r="A262" s="21">
        <v>7651</v>
      </c>
      <c r="B262" s="57" t="s">
        <v>672</v>
      </c>
      <c r="C262" s="57" t="s">
        <v>673</v>
      </c>
      <c r="D262" s="9" t="s">
        <v>674</v>
      </c>
      <c r="E262" s="57" t="s">
        <v>693</v>
      </c>
      <c r="F262" s="57"/>
      <c r="G262" s="58">
        <v>2013</v>
      </c>
      <c r="H262" s="58">
        <v>0</v>
      </c>
      <c r="I262" s="58">
        <v>4.4470000000000001</v>
      </c>
      <c r="J262" s="59">
        <v>1</v>
      </c>
      <c r="K262" s="58">
        <v>4.4470000000000001</v>
      </c>
      <c r="L262" s="58">
        <v>0</v>
      </c>
      <c r="M262" s="58">
        <v>0</v>
      </c>
      <c r="N262" s="58">
        <v>6</v>
      </c>
      <c r="O262" s="57"/>
      <c r="P262" s="57" t="s">
        <v>50</v>
      </c>
      <c r="Q262" s="60"/>
      <c r="R262" s="57" t="s">
        <v>676</v>
      </c>
      <c r="S262" s="57">
        <v>2013</v>
      </c>
      <c r="T262" s="61">
        <v>0.27300000000000002</v>
      </c>
      <c r="U262" s="62"/>
      <c r="V262" s="14"/>
      <c r="W262" s="15">
        <f t="shared" si="8"/>
        <v>0</v>
      </c>
      <c r="X262" s="15">
        <f t="shared" si="9"/>
        <v>0</v>
      </c>
      <c r="Y262" s="15">
        <f t="shared" si="10"/>
        <v>0</v>
      </c>
      <c r="Z262" s="13">
        <f t="shared" si="11"/>
        <v>0</v>
      </c>
      <c r="AA262" s="16">
        <f>VLOOKUP(S262,[1]CPI!$A$2:$D$67,4,0)</f>
        <v>1.16317603677932</v>
      </c>
      <c r="AB262" s="17"/>
      <c r="AC262" s="17"/>
      <c r="AD262" s="57" t="s">
        <v>43</v>
      </c>
      <c r="AE262" s="63" t="s">
        <v>694</v>
      </c>
      <c r="AF262" s="27"/>
      <c r="AG262" s="27"/>
      <c r="AH262" s="27"/>
      <c r="AI262" s="27"/>
      <c r="AJ262" s="28"/>
      <c r="AK262" s="28"/>
      <c r="AL262" s="28"/>
      <c r="AM262" s="28"/>
      <c r="AN262" s="28"/>
      <c r="AO262" s="28"/>
      <c r="AP262" s="28"/>
      <c r="AQ262" s="28"/>
    </row>
    <row r="263" spans="1:43" ht="15.75" customHeight="1" x14ac:dyDescent="0.2">
      <c r="A263" s="21">
        <v>7656</v>
      </c>
      <c r="B263" s="57" t="s">
        <v>672</v>
      </c>
      <c r="C263" s="57" t="s">
        <v>695</v>
      </c>
      <c r="D263" s="9" t="s">
        <v>92</v>
      </c>
      <c r="E263" s="57" t="s">
        <v>696</v>
      </c>
      <c r="F263" s="58">
        <v>1990</v>
      </c>
      <c r="G263" s="58">
        <v>1995</v>
      </c>
      <c r="H263" s="58">
        <v>0</v>
      </c>
      <c r="I263" s="58">
        <v>16.100000000000001</v>
      </c>
      <c r="J263" s="79"/>
      <c r="K263" s="57"/>
      <c r="L263" s="58" t="e">
        <v>#N/A</v>
      </c>
      <c r="M263" s="58" t="e">
        <v>#N/A</v>
      </c>
      <c r="N263" s="58">
        <v>13</v>
      </c>
      <c r="O263" s="57"/>
      <c r="P263" s="57" t="s">
        <v>50</v>
      </c>
      <c r="Q263" s="67">
        <f>5.39*10^3</f>
        <v>5390</v>
      </c>
      <c r="R263" s="57" t="s">
        <v>676</v>
      </c>
      <c r="S263" s="58">
        <v>1995</v>
      </c>
      <c r="T263" s="61">
        <v>0.36499999999999999</v>
      </c>
      <c r="U263" s="69">
        <f t="shared" ref="U263:U304" si="16">Q263*T263</f>
        <v>1967.35</v>
      </c>
      <c r="V263" s="70">
        <f t="shared" ref="V263:V304" si="17">U263/I263</f>
        <v>122.19565217391303</v>
      </c>
      <c r="W263" s="15">
        <f t="shared" si="8"/>
        <v>0</v>
      </c>
      <c r="X263" s="15">
        <f t="shared" si="9"/>
        <v>0</v>
      </c>
      <c r="Y263" s="15">
        <f t="shared" si="10"/>
        <v>0</v>
      </c>
      <c r="Z263" s="13">
        <f t="shared" si="11"/>
        <v>0</v>
      </c>
      <c r="AA263" s="16">
        <f>VLOOKUP(S263,[1]CPI!$A$2:$D$67,4,0)</f>
        <v>1.7780183727034122</v>
      </c>
      <c r="AB263" s="17">
        <f t="shared" ref="AB263:AB304" si="18">U263*AA263</f>
        <v>3497.984445538058</v>
      </c>
      <c r="AC263" s="17">
        <f t="shared" ref="AC263:AC304" si="19">V263*AA263</f>
        <v>217.26611462969302</v>
      </c>
      <c r="AD263" s="57" t="s">
        <v>43</v>
      </c>
      <c r="AE263" s="63" t="s">
        <v>697</v>
      </c>
      <c r="AF263" s="27"/>
      <c r="AG263" s="27"/>
      <c r="AH263" s="27"/>
      <c r="AI263" s="27"/>
      <c r="AJ263" s="28"/>
      <c r="AK263" s="28"/>
      <c r="AL263" s="28"/>
      <c r="AM263" s="28"/>
      <c r="AN263" s="28"/>
      <c r="AO263" s="28"/>
      <c r="AP263" s="28"/>
      <c r="AQ263" s="28"/>
    </row>
    <row r="264" spans="1:43" ht="15.75" customHeight="1" x14ac:dyDescent="0.2">
      <c r="A264" s="21">
        <v>7657</v>
      </c>
      <c r="B264" s="57" t="s">
        <v>672</v>
      </c>
      <c r="C264" s="57" t="s">
        <v>695</v>
      </c>
      <c r="D264" s="9" t="s">
        <v>99</v>
      </c>
      <c r="E264" s="57" t="s">
        <v>698</v>
      </c>
      <c r="F264" s="58">
        <v>1995</v>
      </c>
      <c r="G264" s="58">
        <v>1999</v>
      </c>
      <c r="H264" s="58">
        <v>0</v>
      </c>
      <c r="I264" s="58">
        <v>16.3</v>
      </c>
      <c r="J264" s="59">
        <v>1</v>
      </c>
      <c r="K264" s="58">
        <v>16.3</v>
      </c>
      <c r="L264" s="58">
        <v>0</v>
      </c>
      <c r="M264" s="58">
        <v>0</v>
      </c>
      <c r="N264" s="58">
        <v>12</v>
      </c>
      <c r="O264" s="57"/>
      <c r="P264" s="57" t="s">
        <v>50</v>
      </c>
      <c r="Q264" s="67">
        <f>12.4*10^3</f>
        <v>12400</v>
      </c>
      <c r="R264" s="57" t="s">
        <v>676</v>
      </c>
      <c r="S264" s="58">
        <v>1995</v>
      </c>
      <c r="T264" s="61">
        <v>0.36499999999999999</v>
      </c>
      <c r="U264" s="69">
        <f t="shared" si="16"/>
        <v>4526</v>
      </c>
      <c r="V264" s="70">
        <f t="shared" si="17"/>
        <v>277.6687116564417</v>
      </c>
      <c r="W264" s="15">
        <f t="shared" si="8"/>
        <v>0</v>
      </c>
      <c r="X264" s="15">
        <f t="shared" si="9"/>
        <v>0</v>
      </c>
      <c r="Y264" s="15">
        <f t="shared" si="10"/>
        <v>0</v>
      </c>
      <c r="Z264" s="13">
        <f t="shared" si="11"/>
        <v>0</v>
      </c>
      <c r="AA264" s="16">
        <f>VLOOKUP(S264,[1]CPI!$A$2:$D$67,4,0)</f>
        <v>1.7780183727034122</v>
      </c>
      <c r="AB264" s="17">
        <f t="shared" si="18"/>
        <v>8047.3111548556435</v>
      </c>
      <c r="AC264" s="17">
        <f t="shared" si="19"/>
        <v>493.70007085003948</v>
      </c>
      <c r="AD264" s="57" t="s">
        <v>35</v>
      </c>
      <c r="AE264" s="63" t="s">
        <v>699</v>
      </c>
      <c r="AF264" s="27"/>
      <c r="AG264" s="27"/>
      <c r="AH264" s="27"/>
      <c r="AI264" s="27"/>
      <c r="AJ264" s="28"/>
      <c r="AK264" s="28"/>
      <c r="AL264" s="28"/>
      <c r="AM264" s="28"/>
      <c r="AN264" s="28"/>
      <c r="AO264" s="28"/>
      <c r="AP264" s="28"/>
      <c r="AQ264" s="28"/>
    </row>
    <row r="265" spans="1:43" ht="15.75" customHeight="1" x14ac:dyDescent="0.2">
      <c r="A265" s="21">
        <v>7658</v>
      </c>
      <c r="B265" s="19" t="s">
        <v>672</v>
      </c>
      <c r="C265" s="19" t="s">
        <v>695</v>
      </c>
      <c r="D265" s="9" t="s">
        <v>99</v>
      </c>
      <c r="E265" s="19" t="s">
        <v>700</v>
      </c>
      <c r="F265" s="19">
        <v>1999</v>
      </c>
      <c r="G265" s="19">
        <v>2000</v>
      </c>
      <c r="H265" s="19">
        <v>0</v>
      </c>
      <c r="I265" s="19">
        <v>2.72</v>
      </c>
      <c r="J265" s="64">
        <v>0.31985294120000002</v>
      </c>
      <c r="K265" s="19">
        <v>0.87</v>
      </c>
      <c r="L265" s="19">
        <v>0.30499999999999999</v>
      </c>
      <c r="M265" s="19">
        <v>1.5718000000000001</v>
      </c>
      <c r="N265" s="19">
        <v>1</v>
      </c>
      <c r="O265" s="19"/>
      <c r="P265" s="19" t="s">
        <v>50</v>
      </c>
      <c r="Q265" s="78">
        <f>0.31477*10^3</f>
        <v>314.77</v>
      </c>
      <c r="R265" s="19" t="s">
        <v>676</v>
      </c>
      <c r="S265" s="19">
        <v>1999</v>
      </c>
      <c r="T265" s="61">
        <v>0.36699999999999999</v>
      </c>
      <c r="U265" s="62">
        <f t="shared" si="16"/>
        <v>115.52058999999998</v>
      </c>
      <c r="V265" s="14">
        <f t="shared" si="17"/>
        <v>42.470805147058812</v>
      </c>
      <c r="W265" s="15">
        <f t="shared" si="8"/>
        <v>0</v>
      </c>
      <c r="X265" s="15">
        <f t="shared" si="9"/>
        <v>0</v>
      </c>
      <c r="Y265" s="15">
        <f t="shared" si="10"/>
        <v>0</v>
      </c>
      <c r="Z265" s="13">
        <f t="shared" si="11"/>
        <v>0</v>
      </c>
      <c r="AA265" s="16">
        <f>VLOOKUP(S265,[1]CPI!$A$2:$D$67,4,0)</f>
        <v>1.6264705882352943</v>
      </c>
      <c r="AB265" s="17">
        <f t="shared" si="18"/>
        <v>187.89084197058824</v>
      </c>
      <c r="AC265" s="17">
        <f t="shared" si="19"/>
        <v>69.077515430363306</v>
      </c>
      <c r="AD265" s="19" t="s">
        <v>35</v>
      </c>
      <c r="AE265" s="66" t="s">
        <v>699</v>
      </c>
      <c r="AF265" s="27"/>
      <c r="AG265" s="27"/>
      <c r="AH265" s="27"/>
      <c r="AI265" s="27"/>
      <c r="AJ265" s="28"/>
      <c r="AK265" s="28"/>
      <c r="AL265" s="28"/>
      <c r="AM265" s="28"/>
      <c r="AN265" s="28"/>
      <c r="AO265" s="28"/>
      <c r="AP265" s="28"/>
      <c r="AQ265" s="28"/>
    </row>
    <row r="266" spans="1:43" ht="15.75" customHeight="1" x14ac:dyDescent="0.2">
      <c r="A266" s="21">
        <v>7659</v>
      </c>
      <c r="B266" s="19" t="s">
        <v>672</v>
      </c>
      <c r="C266" s="19" t="s">
        <v>695</v>
      </c>
      <c r="D266" s="9" t="s">
        <v>99</v>
      </c>
      <c r="E266" s="19" t="s">
        <v>701</v>
      </c>
      <c r="F266" s="19">
        <v>2001</v>
      </c>
      <c r="G266" s="19">
        <v>2006</v>
      </c>
      <c r="H266" s="19">
        <v>0</v>
      </c>
      <c r="I266" s="19">
        <v>6.1550000000000002</v>
      </c>
      <c r="J266" s="64">
        <v>1</v>
      </c>
      <c r="K266" s="19">
        <v>6.1550000000000002</v>
      </c>
      <c r="L266" s="19">
        <v>0</v>
      </c>
      <c r="M266" s="19">
        <v>0</v>
      </c>
      <c r="N266" s="19">
        <v>4</v>
      </c>
      <c r="O266" s="19"/>
      <c r="P266" s="19" t="s">
        <v>50</v>
      </c>
      <c r="Q266" s="78">
        <f>3.48842*10^3</f>
        <v>3488.42</v>
      </c>
      <c r="R266" s="19" t="s">
        <v>676</v>
      </c>
      <c r="S266" s="19">
        <v>2004</v>
      </c>
      <c r="T266" s="61">
        <v>0.35499999999999998</v>
      </c>
      <c r="U266" s="62">
        <f t="shared" si="16"/>
        <v>1238.3890999999999</v>
      </c>
      <c r="V266" s="14">
        <f t="shared" si="17"/>
        <v>201.20050365556455</v>
      </c>
      <c r="W266" s="15">
        <f t="shared" si="8"/>
        <v>0</v>
      </c>
      <c r="X266" s="15">
        <f t="shared" si="9"/>
        <v>0</v>
      </c>
      <c r="Y266" s="15">
        <f t="shared" si="10"/>
        <v>0</v>
      </c>
      <c r="Z266" s="13">
        <f t="shared" si="11"/>
        <v>0</v>
      </c>
      <c r="AA266" s="16">
        <f>VLOOKUP(S266,[1]CPI!$A$2:$D$67,4,0)</f>
        <v>1.4344626786659609</v>
      </c>
      <c r="AB266" s="17">
        <f t="shared" si="18"/>
        <v>1776.4229456167284</v>
      </c>
      <c r="AC266" s="17">
        <f t="shared" si="19"/>
        <v>288.61461342270155</v>
      </c>
      <c r="AD266" s="19" t="s">
        <v>35</v>
      </c>
      <c r="AE266" s="66" t="s">
        <v>699</v>
      </c>
      <c r="AF266" s="27"/>
      <c r="AG266" s="27"/>
      <c r="AH266" s="27"/>
      <c r="AI266" s="27"/>
      <c r="AJ266" s="28"/>
      <c r="AK266" s="28"/>
      <c r="AL266" s="28"/>
      <c r="AM266" s="28"/>
      <c r="AN266" s="28"/>
      <c r="AO266" s="28"/>
      <c r="AP266" s="28"/>
      <c r="AQ266" s="28"/>
    </row>
    <row r="267" spans="1:43" ht="15.75" customHeight="1" x14ac:dyDescent="0.2">
      <c r="A267" s="21">
        <v>7664</v>
      </c>
      <c r="B267" s="19" t="s">
        <v>672</v>
      </c>
      <c r="C267" s="19" t="s">
        <v>695</v>
      </c>
      <c r="D267" s="9" t="s">
        <v>99</v>
      </c>
      <c r="E267" s="19" t="s">
        <v>702</v>
      </c>
      <c r="F267" s="19">
        <v>2006</v>
      </c>
      <c r="G267" s="19">
        <v>2010</v>
      </c>
      <c r="H267" s="19">
        <v>0</v>
      </c>
      <c r="I267" s="19">
        <v>30.8</v>
      </c>
      <c r="J267" s="64">
        <f>215/308</f>
        <v>0.69805194805194803</v>
      </c>
      <c r="K267" s="19">
        <v>21.5</v>
      </c>
      <c r="L267" s="19">
        <v>8.5649999999999995</v>
      </c>
      <c r="M267" s="19">
        <v>0.98299999999999998</v>
      </c>
      <c r="N267" s="19">
        <v>10</v>
      </c>
      <c r="O267" s="19"/>
      <c r="P267" s="19" t="s">
        <v>94</v>
      </c>
      <c r="Q267" s="78">
        <f>11.032*10^3</f>
        <v>11032</v>
      </c>
      <c r="R267" s="19" t="s">
        <v>676</v>
      </c>
      <c r="S267" s="19">
        <v>2008</v>
      </c>
      <c r="T267" s="61">
        <v>0.315</v>
      </c>
      <c r="U267" s="62">
        <f t="shared" si="16"/>
        <v>3475.08</v>
      </c>
      <c r="V267" s="14">
        <f t="shared" si="17"/>
        <v>112.82727272727273</v>
      </c>
      <c r="W267" s="15">
        <f t="shared" si="8"/>
        <v>0</v>
      </c>
      <c r="X267" s="15">
        <f t="shared" si="9"/>
        <v>0</v>
      </c>
      <c r="Y267" s="15">
        <f t="shared" si="10"/>
        <v>0</v>
      </c>
      <c r="Z267" s="13">
        <f t="shared" si="11"/>
        <v>0</v>
      </c>
      <c r="AA267" s="16">
        <f>VLOOKUP(S267,[1]CPI!$A$2:$D$67,4,0)</f>
        <v>1.2585519012740187</v>
      </c>
      <c r="AB267" s="17">
        <f t="shared" si="18"/>
        <v>4373.5685410793167</v>
      </c>
      <c r="AC267" s="17">
        <f t="shared" si="19"/>
        <v>141.99897860647133</v>
      </c>
      <c r="AD267" s="19" t="s">
        <v>35</v>
      </c>
      <c r="AE267" s="66" t="s">
        <v>699</v>
      </c>
      <c r="AF267" s="27"/>
      <c r="AG267" s="27"/>
      <c r="AH267" s="27"/>
      <c r="AI267" s="27"/>
      <c r="AJ267" s="28"/>
      <c r="AK267" s="28"/>
      <c r="AL267" s="28"/>
      <c r="AM267" s="28"/>
      <c r="AN267" s="28"/>
      <c r="AO267" s="28"/>
      <c r="AP267" s="28"/>
      <c r="AQ267" s="28"/>
    </row>
    <row r="268" spans="1:43" ht="15.75" customHeight="1" x14ac:dyDescent="0.2">
      <c r="A268" s="21">
        <v>7665</v>
      </c>
      <c r="B268" s="57" t="s">
        <v>672</v>
      </c>
      <c r="C268" s="57" t="s">
        <v>695</v>
      </c>
      <c r="D268" s="9" t="s">
        <v>99</v>
      </c>
      <c r="E268" s="57" t="s">
        <v>703</v>
      </c>
      <c r="F268" s="57"/>
      <c r="G268" s="58">
        <v>2010</v>
      </c>
      <c r="H268" s="58">
        <v>0</v>
      </c>
      <c r="I268" s="58">
        <v>8.5299999999999994</v>
      </c>
      <c r="J268" s="79"/>
      <c r="K268" s="57"/>
      <c r="L268" s="58" t="e">
        <v>#N/A</v>
      </c>
      <c r="M268" s="58" t="e">
        <v>#N/A</v>
      </c>
      <c r="N268" s="58">
        <v>3</v>
      </c>
      <c r="O268" s="57"/>
      <c r="P268" s="57" t="s">
        <v>50</v>
      </c>
      <c r="Q268" s="67">
        <f>2.5*10^3</f>
        <v>2500</v>
      </c>
      <c r="R268" s="57" t="s">
        <v>676</v>
      </c>
      <c r="S268" s="57">
        <v>2010</v>
      </c>
      <c r="T268" s="61">
        <v>0.3</v>
      </c>
      <c r="U268" s="62">
        <f t="shared" si="16"/>
        <v>750</v>
      </c>
      <c r="V268" s="14">
        <f t="shared" si="17"/>
        <v>87.92497069167645</v>
      </c>
      <c r="W268" s="15">
        <f t="shared" si="8"/>
        <v>0</v>
      </c>
      <c r="X268" s="15">
        <f t="shared" si="9"/>
        <v>0</v>
      </c>
      <c r="Y268" s="15">
        <f t="shared" si="10"/>
        <v>0</v>
      </c>
      <c r="Z268" s="13">
        <f t="shared" si="11"/>
        <v>0</v>
      </c>
      <c r="AA268" s="16">
        <f>VLOOKUP(S268,[1]CPI!$A$2:$D$67,4,0)</f>
        <v>1.2426624353377114</v>
      </c>
      <c r="AB268" s="17">
        <f t="shared" si="18"/>
        <v>931.9968265032835</v>
      </c>
      <c r="AC268" s="17">
        <f t="shared" si="19"/>
        <v>109.26105820671555</v>
      </c>
      <c r="AD268" s="57" t="s">
        <v>35</v>
      </c>
      <c r="AE268" s="63" t="s">
        <v>699</v>
      </c>
      <c r="AF268" s="27"/>
      <c r="AG268" s="27"/>
      <c r="AH268" s="27"/>
      <c r="AI268" s="27"/>
      <c r="AJ268" s="28"/>
      <c r="AK268" s="28"/>
      <c r="AL268" s="28"/>
      <c r="AM268" s="28"/>
      <c r="AN268" s="28"/>
      <c r="AO268" s="28"/>
      <c r="AP268" s="28"/>
      <c r="AQ268" s="28"/>
    </row>
    <row r="269" spans="1:43" ht="15.75" customHeight="1" x14ac:dyDescent="0.2">
      <c r="A269" s="21">
        <v>7666</v>
      </c>
      <c r="B269" s="19" t="s">
        <v>672</v>
      </c>
      <c r="C269" s="19" t="s">
        <v>695</v>
      </c>
      <c r="D269" s="9" t="s">
        <v>103</v>
      </c>
      <c r="E269" s="19" t="s">
        <v>103</v>
      </c>
      <c r="F269" s="19">
        <v>1997</v>
      </c>
      <c r="G269" s="19">
        <v>2000</v>
      </c>
      <c r="H269" s="19">
        <v>0</v>
      </c>
      <c r="I269" s="19">
        <v>24.975000000000001</v>
      </c>
      <c r="J269" s="64">
        <v>0</v>
      </c>
      <c r="K269" s="19">
        <v>0</v>
      </c>
      <c r="L269" s="19">
        <v>21.605</v>
      </c>
      <c r="M269" s="19">
        <v>3.375</v>
      </c>
      <c r="N269" s="19"/>
      <c r="O269" s="19"/>
      <c r="P269" s="19" t="s">
        <v>50</v>
      </c>
      <c r="Q269" s="78">
        <f>9.378*10^3</f>
        <v>9378</v>
      </c>
      <c r="R269" s="19" t="s">
        <v>676</v>
      </c>
      <c r="S269" s="19">
        <v>1998</v>
      </c>
      <c r="T269" s="61">
        <v>0.35699999999999998</v>
      </c>
      <c r="U269" s="62">
        <f t="shared" si="16"/>
        <v>3347.9459999999999</v>
      </c>
      <c r="V269" s="14">
        <f t="shared" si="17"/>
        <v>134.05189189189187</v>
      </c>
      <c r="W269" s="15">
        <f t="shared" si="8"/>
        <v>0</v>
      </c>
      <c r="X269" s="15">
        <f t="shared" si="9"/>
        <v>0</v>
      </c>
      <c r="Y269" s="15">
        <f t="shared" si="10"/>
        <v>0</v>
      </c>
      <c r="Z269" s="13">
        <f t="shared" si="11"/>
        <v>0</v>
      </c>
      <c r="AA269" s="16">
        <f>VLOOKUP(S269,[1]CPI!$A$2:$D$67,4,0)</f>
        <v>1.6623926380368099</v>
      </c>
      <c r="AB269" s="17">
        <f t="shared" si="18"/>
        <v>5565.6007829447854</v>
      </c>
      <c r="AC269" s="17">
        <f t="shared" si="19"/>
        <v>222.84687819598739</v>
      </c>
      <c r="AD269" s="19" t="s">
        <v>35</v>
      </c>
      <c r="AE269" s="66" t="s">
        <v>704</v>
      </c>
      <c r="AF269" s="27"/>
      <c r="AG269" s="27"/>
      <c r="AH269" s="27"/>
      <c r="AI269" s="27"/>
      <c r="AJ269" s="28"/>
      <c r="AK269" s="28"/>
      <c r="AL269" s="28"/>
      <c r="AM269" s="28"/>
      <c r="AN269" s="28"/>
      <c r="AO269" s="28"/>
      <c r="AP269" s="28"/>
      <c r="AQ269" s="28"/>
    </row>
    <row r="270" spans="1:43" ht="15.75" customHeight="1" x14ac:dyDescent="0.2">
      <c r="A270" s="21">
        <v>7667</v>
      </c>
      <c r="B270" s="57" t="s">
        <v>672</v>
      </c>
      <c r="C270" s="57" t="s">
        <v>695</v>
      </c>
      <c r="D270" s="9" t="s">
        <v>103</v>
      </c>
      <c r="E270" s="57" t="s">
        <v>705</v>
      </c>
      <c r="F270" s="57"/>
      <c r="G270" s="58">
        <v>2006</v>
      </c>
      <c r="H270" s="58">
        <v>0</v>
      </c>
      <c r="I270" s="58">
        <v>15.365</v>
      </c>
      <c r="J270" s="59">
        <v>0.12879921899999999</v>
      </c>
      <c r="K270" s="58">
        <v>1.9790000000000001</v>
      </c>
      <c r="L270" s="58">
        <v>13.395</v>
      </c>
      <c r="M270" s="58">
        <v>0.13059999999999999</v>
      </c>
      <c r="N270" s="58">
        <v>10</v>
      </c>
      <c r="O270" s="57"/>
      <c r="P270" s="57" t="s">
        <v>50</v>
      </c>
      <c r="Q270" s="67">
        <f>3.5*10^3</f>
        <v>3500</v>
      </c>
      <c r="R270" s="57" t="s">
        <v>676</v>
      </c>
      <c r="S270" s="57">
        <v>2006</v>
      </c>
      <c r="T270" s="61">
        <v>0.34899999999999998</v>
      </c>
      <c r="U270" s="69">
        <f t="shared" si="16"/>
        <v>1221.5</v>
      </c>
      <c r="V270" s="70">
        <f t="shared" si="17"/>
        <v>79.498861047835987</v>
      </c>
      <c r="W270" s="15">
        <f t="shared" si="8"/>
        <v>0</v>
      </c>
      <c r="X270" s="15">
        <f t="shared" si="9"/>
        <v>0</v>
      </c>
      <c r="Y270" s="15">
        <f t="shared" si="10"/>
        <v>0</v>
      </c>
      <c r="Z270" s="13">
        <f t="shared" si="11"/>
        <v>0</v>
      </c>
      <c r="AA270" s="16">
        <f>VLOOKUP(S270,[1]CPI!$A$2:$D$67,4,0)</f>
        <v>1.3440972222222225</v>
      </c>
      <c r="AB270" s="17">
        <f t="shared" si="18"/>
        <v>1641.8147569444448</v>
      </c>
      <c r="AC270" s="17">
        <f t="shared" si="19"/>
        <v>106.8541983042268</v>
      </c>
      <c r="AD270" s="57" t="s">
        <v>35</v>
      </c>
      <c r="AE270" s="63" t="s">
        <v>704</v>
      </c>
      <c r="AF270" s="27"/>
      <c r="AG270" s="27"/>
      <c r="AH270" s="27"/>
      <c r="AI270" s="27"/>
      <c r="AJ270" s="28"/>
      <c r="AK270" s="28"/>
      <c r="AL270" s="28"/>
      <c r="AM270" s="28"/>
      <c r="AN270" s="28"/>
      <c r="AO270" s="28"/>
      <c r="AP270" s="28"/>
      <c r="AQ270" s="28"/>
    </row>
    <row r="271" spans="1:43" ht="15.75" customHeight="1" x14ac:dyDescent="0.2">
      <c r="A271" s="7">
        <v>7672</v>
      </c>
      <c r="B271" s="57" t="s">
        <v>672</v>
      </c>
      <c r="C271" s="57" t="s">
        <v>695</v>
      </c>
      <c r="D271" s="9"/>
      <c r="E271" s="57" t="s">
        <v>706</v>
      </c>
      <c r="F271" s="57"/>
      <c r="G271" s="58">
        <v>2005</v>
      </c>
      <c r="H271" s="58">
        <v>0</v>
      </c>
      <c r="I271" s="58">
        <v>22.032</v>
      </c>
      <c r="J271" s="59">
        <v>0.94326434280000004</v>
      </c>
      <c r="K271" s="58">
        <v>20.782</v>
      </c>
      <c r="L271" s="58">
        <v>1.2849999999999999</v>
      </c>
      <c r="M271" s="58">
        <v>3.6799999999999999E-2</v>
      </c>
      <c r="N271" s="58">
        <v>9</v>
      </c>
      <c r="O271" s="57"/>
      <c r="P271" s="57" t="s">
        <v>50</v>
      </c>
      <c r="Q271" s="67">
        <f>12.6*10^3</f>
        <v>12600</v>
      </c>
      <c r="R271" s="57" t="s">
        <v>676</v>
      </c>
      <c r="S271" s="57">
        <v>2005</v>
      </c>
      <c r="T271" s="61">
        <v>0.35189999999999999</v>
      </c>
      <c r="U271" s="62">
        <f t="shared" si="16"/>
        <v>4433.9399999999996</v>
      </c>
      <c r="V271" s="14">
        <f t="shared" si="17"/>
        <v>201.24999999999997</v>
      </c>
      <c r="W271" s="15">
        <f t="shared" si="8"/>
        <v>0</v>
      </c>
      <c r="X271" s="15">
        <f t="shared" si="9"/>
        <v>0</v>
      </c>
      <c r="Y271" s="15">
        <f t="shared" si="10"/>
        <v>0</v>
      </c>
      <c r="Z271" s="13">
        <f t="shared" si="11"/>
        <v>0</v>
      </c>
      <c r="AA271" s="16">
        <f>VLOOKUP(S271,[1]CPI!$A$2:$D$67,4,0)</f>
        <v>1.3874551971326166</v>
      </c>
      <c r="AB271" s="17">
        <f t="shared" si="18"/>
        <v>6151.8930967741935</v>
      </c>
      <c r="AC271" s="17">
        <f t="shared" si="19"/>
        <v>279.22535842293905</v>
      </c>
      <c r="AD271" s="57" t="s">
        <v>35</v>
      </c>
      <c r="AE271" s="63" t="s">
        <v>707</v>
      </c>
      <c r="AF271" s="27"/>
      <c r="AG271" s="27"/>
      <c r="AH271" s="27"/>
      <c r="AI271" s="27"/>
      <c r="AJ271" s="28"/>
      <c r="AK271" s="28"/>
      <c r="AL271" s="28"/>
      <c r="AM271" s="28"/>
      <c r="AN271" s="28"/>
      <c r="AO271" s="28"/>
      <c r="AP271" s="28"/>
      <c r="AQ271" s="28"/>
    </row>
    <row r="272" spans="1:43" ht="15.75" customHeight="1" x14ac:dyDescent="0.2">
      <c r="A272" s="21">
        <v>7673</v>
      </c>
      <c r="B272" s="19" t="s">
        <v>672</v>
      </c>
      <c r="C272" s="19" t="s">
        <v>695</v>
      </c>
      <c r="D272" s="9" t="s">
        <v>119</v>
      </c>
      <c r="E272" s="19" t="s">
        <v>708</v>
      </c>
      <c r="F272" s="19">
        <v>2000</v>
      </c>
      <c r="G272" s="19">
        <v>2002</v>
      </c>
      <c r="H272" s="19">
        <v>0</v>
      </c>
      <c r="I272" s="19">
        <v>17.206</v>
      </c>
      <c r="J272" s="64">
        <v>0</v>
      </c>
      <c r="K272" s="19">
        <v>0</v>
      </c>
      <c r="L272" s="19">
        <v>16.7</v>
      </c>
      <c r="M272" s="19">
        <v>0.51</v>
      </c>
      <c r="N272" s="19">
        <v>11</v>
      </c>
      <c r="O272" s="19"/>
      <c r="P272" s="19" t="s">
        <v>50</v>
      </c>
      <c r="Q272" s="78">
        <f>3.437*10^3</f>
        <v>3437</v>
      </c>
      <c r="R272" s="19" t="s">
        <v>676</v>
      </c>
      <c r="S272" s="19">
        <v>2001</v>
      </c>
      <c r="T272" s="61">
        <v>0.36799999999999999</v>
      </c>
      <c r="U272" s="62">
        <f t="shared" si="16"/>
        <v>1264.816</v>
      </c>
      <c r="V272" s="14">
        <f t="shared" si="17"/>
        <v>73.510170870626524</v>
      </c>
      <c r="W272" s="15">
        <f t="shared" si="8"/>
        <v>0</v>
      </c>
      <c r="X272" s="15">
        <f t="shared" si="9"/>
        <v>0</v>
      </c>
      <c r="Y272" s="15">
        <f t="shared" si="10"/>
        <v>0</v>
      </c>
      <c r="Z272" s="13">
        <f t="shared" si="11"/>
        <v>0</v>
      </c>
      <c r="AA272" s="16">
        <f>VLOOKUP(S272,[1]CPI!$A$2:$D$67,4,0)</f>
        <v>1.5300395256916999</v>
      </c>
      <c r="AB272" s="17">
        <f t="shared" si="18"/>
        <v>1935.2184727272731</v>
      </c>
      <c r="AC272" s="17">
        <f t="shared" si="19"/>
        <v>112.47346697240921</v>
      </c>
      <c r="AD272" s="19" t="s">
        <v>35</v>
      </c>
      <c r="AE272" s="66" t="s">
        <v>709</v>
      </c>
      <c r="AF272" s="27"/>
      <c r="AG272" s="27"/>
      <c r="AH272" s="27"/>
      <c r="AI272" s="27"/>
      <c r="AJ272" s="28"/>
      <c r="AK272" s="28"/>
      <c r="AL272" s="28"/>
      <c r="AM272" s="28"/>
      <c r="AN272" s="28"/>
      <c r="AO272" s="28"/>
      <c r="AP272" s="28"/>
      <c r="AQ272" s="28"/>
    </row>
    <row r="273" spans="1:43" ht="15.75" customHeight="1" x14ac:dyDescent="0.2">
      <c r="A273" s="21">
        <v>7674</v>
      </c>
      <c r="B273" s="19" t="s">
        <v>672</v>
      </c>
      <c r="C273" s="19" t="s">
        <v>695</v>
      </c>
      <c r="D273" s="9" t="s">
        <v>119</v>
      </c>
      <c r="E273" s="19" t="s">
        <v>710</v>
      </c>
      <c r="F273" s="19">
        <v>2014</v>
      </c>
      <c r="G273" s="19">
        <v>2018</v>
      </c>
      <c r="H273" s="19">
        <v>0</v>
      </c>
      <c r="I273" s="19">
        <v>19.628</v>
      </c>
      <c r="J273" s="64">
        <v>0.3946912574</v>
      </c>
      <c r="K273" s="19">
        <v>7.7469999999999999</v>
      </c>
      <c r="L273" s="19">
        <v>11.974299999999999</v>
      </c>
      <c r="M273" s="19">
        <v>0</v>
      </c>
      <c r="N273" s="19">
        <v>9</v>
      </c>
      <c r="O273" s="19"/>
      <c r="P273" s="19" t="s">
        <v>50</v>
      </c>
      <c r="Q273" s="78">
        <f>10.619*10^3</f>
        <v>10619</v>
      </c>
      <c r="R273" s="19" t="s">
        <v>676</v>
      </c>
      <c r="S273" s="19">
        <v>2016</v>
      </c>
      <c r="T273" s="61">
        <v>0.251</v>
      </c>
      <c r="U273" s="62">
        <f t="shared" si="16"/>
        <v>2665.3690000000001</v>
      </c>
      <c r="V273" s="14">
        <f t="shared" si="17"/>
        <v>135.79422253922968</v>
      </c>
      <c r="W273" s="15">
        <f t="shared" si="8"/>
        <v>0</v>
      </c>
      <c r="X273" s="15">
        <f t="shared" si="9"/>
        <v>0</v>
      </c>
      <c r="Y273" s="15">
        <f t="shared" si="10"/>
        <v>0</v>
      </c>
      <c r="Z273" s="13">
        <f t="shared" si="11"/>
        <v>0</v>
      </c>
      <c r="AA273" s="16">
        <f>VLOOKUP(S273,[1]CPI!$A$2:$D$67,4,0)</f>
        <v>1.1290087372451638</v>
      </c>
      <c r="AB273" s="17">
        <f t="shared" si="18"/>
        <v>3009.224888982405</v>
      </c>
      <c r="AC273" s="17">
        <f t="shared" si="19"/>
        <v>153.31286371420447</v>
      </c>
      <c r="AD273" s="19" t="s">
        <v>35</v>
      </c>
      <c r="AE273" s="66" t="s">
        <v>709</v>
      </c>
      <c r="AF273" s="27"/>
      <c r="AG273" s="27"/>
      <c r="AH273" s="27"/>
      <c r="AI273" s="27"/>
      <c r="AJ273" s="28"/>
      <c r="AK273" s="28"/>
      <c r="AL273" s="28"/>
      <c r="AM273" s="28"/>
      <c r="AN273" s="28"/>
      <c r="AO273" s="28"/>
      <c r="AP273" s="28"/>
      <c r="AQ273" s="28"/>
    </row>
    <row r="274" spans="1:43" ht="15.75" customHeight="1" x14ac:dyDescent="0.2">
      <c r="A274" s="21">
        <v>7675</v>
      </c>
      <c r="B274" s="19" t="s">
        <v>672</v>
      </c>
      <c r="C274" s="19" t="s">
        <v>695</v>
      </c>
      <c r="D274" s="9" t="s">
        <v>283</v>
      </c>
      <c r="E274" s="19" t="s">
        <v>711</v>
      </c>
      <c r="F274" s="19">
        <v>2005</v>
      </c>
      <c r="G274" s="19">
        <v>2009</v>
      </c>
      <c r="H274" s="19">
        <v>0</v>
      </c>
      <c r="I274" s="19">
        <v>34.387999999999998</v>
      </c>
      <c r="J274" s="64">
        <v>1</v>
      </c>
      <c r="K274" s="19">
        <v>34.387999999999998</v>
      </c>
      <c r="L274" s="19">
        <v>0</v>
      </c>
      <c r="M274" s="19">
        <v>0</v>
      </c>
      <c r="N274" s="19">
        <v>28</v>
      </c>
      <c r="O274" s="19"/>
      <c r="P274" s="19" t="s">
        <v>50</v>
      </c>
      <c r="Q274" s="78">
        <f>18.7*10^3</f>
        <v>18700</v>
      </c>
      <c r="R274" s="19" t="s">
        <v>676</v>
      </c>
      <c r="S274" s="19">
        <v>2007</v>
      </c>
      <c r="T274" s="61">
        <v>0.33300000000000002</v>
      </c>
      <c r="U274" s="62">
        <f t="shared" si="16"/>
        <v>6227.1</v>
      </c>
      <c r="V274" s="14">
        <f t="shared" si="17"/>
        <v>181.0835175061068</v>
      </c>
      <c r="W274" s="15">
        <f t="shared" si="8"/>
        <v>0</v>
      </c>
      <c r="X274" s="15">
        <f t="shared" si="9"/>
        <v>0</v>
      </c>
      <c r="Y274" s="15">
        <f t="shared" si="10"/>
        <v>0</v>
      </c>
      <c r="Z274" s="13">
        <f t="shared" si="11"/>
        <v>0</v>
      </c>
      <c r="AA274" s="16">
        <f>VLOOKUP(S274,[1]CPI!$A$2:$D$67,4,0)</f>
        <v>1.3068746322500988</v>
      </c>
      <c r="AB274" s="17">
        <f t="shared" si="18"/>
        <v>8138.0390224845905</v>
      </c>
      <c r="AC274" s="17">
        <f t="shared" si="19"/>
        <v>236.65345534734766</v>
      </c>
      <c r="AD274" s="19" t="s">
        <v>35</v>
      </c>
      <c r="AE274" s="66" t="s">
        <v>712</v>
      </c>
      <c r="AF274" s="27"/>
      <c r="AG274" s="27"/>
      <c r="AH274" s="27"/>
      <c r="AI274" s="27"/>
      <c r="AJ274" s="28"/>
      <c r="AK274" s="28"/>
      <c r="AL274" s="28"/>
      <c r="AM274" s="28"/>
      <c r="AN274" s="28"/>
      <c r="AO274" s="28"/>
      <c r="AP274" s="28"/>
      <c r="AQ274" s="28"/>
    </row>
    <row r="275" spans="1:43" ht="15.75" customHeight="1" x14ac:dyDescent="0.2">
      <c r="A275" s="21">
        <v>7680</v>
      </c>
      <c r="B275" s="19" t="s">
        <v>672</v>
      </c>
      <c r="C275" s="19" t="s">
        <v>695</v>
      </c>
      <c r="D275" s="9" t="s">
        <v>283</v>
      </c>
      <c r="E275" s="19" t="s">
        <v>713</v>
      </c>
      <c r="F275" s="19">
        <v>2009</v>
      </c>
      <c r="G275" s="19">
        <v>2011</v>
      </c>
      <c r="H275" s="19">
        <v>0</v>
      </c>
      <c r="I275" s="19">
        <v>9.9779999999999998</v>
      </c>
      <c r="J275" s="64">
        <v>0.70254560030000002</v>
      </c>
      <c r="K275" s="19">
        <v>7.01</v>
      </c>
      <c r="L275" s="19">
        <v>2.5150000000000001</v>
      </c>
      <c r="M275" s="19">
        <v>0.47899999999999998</v>
      </c>
      <c r="N275" s="19">
        <v>5</v>
      </c>
      <c r="O275" s="19"/>
      <c r="P275" s="19" t="s">
        <v>50</v>
      </c>
      <c r="Q275" s="78">
        <f>3.157*10^3</f>
        <v>3157</v>
      </c>
      <c r="R275" s="19" t="s">
        <v>676</v>
      </c>
      <c r="S275" s="19">
        <v>2010</v>
      </c>
      <c r="T275" s="61">
        <v>0.3</v>
      </c>
      <c r="U275" s="62">
        <f t="shared" si="16"/>
        <v>947.09999999999991</v>
      </c>
      <c r="V275" s="14">
        <f t="shared" si="17"/>
        <v>94.918821407095606</v>
      </c>
      <c r="W275" s="15">
        <f t="shared" si="8"/>
        <v>0</v>
      </c>
      <c r="X275" s="15">
        <f t="shared" si="9"/>
        <v>0</v>
      </c>
      <c r="Y275" s="15">
        <f t="shared" si="10"/>
        <v>0</v>
      </c>
      <c r="Z275" s="13">
        <f t="shared" si="11"/>
        <v>0</v>
      </c>
      <c r="AA275" s="16">
        <f>VLOOKUP(S275,[1]CPI!$A$2:$D$67,4,0)</f>
        <v>1.2426624353377114</v>
      </c>
      <c r="AB275" s="17">
        <f t="shared" si="18"/>
        <v>1176.9255925083464</v>
      </c>
      <c r="AC275" s="17">
        <f t="shared" si="19"/>
        <v>117.95205376912672</v>
      </c>
      <c r="AD275" s="19" t="s">
        <v>35</v>
      </c>
      <c r="AE275" s="66" t="s">
        <v>712</v>
      </c>
      <c r="AF275" s="27"/>
      <c r="AG275" s="27"/>
      <c r="AH275" s="27"/>
      <c r="AI275" s="27"/>
      <c r="AJ275" s="28"/>
      <c r="AK275" s="28"/>
      <c r="AL275" s="28"/>
      <c r="AM275" s="28"/>
      <c r="AN275" s="28"/>
      <c r="AO275" s="28"/>
      <c r="AP275" s="28"/>
      <c r="AQ275" s="28"/>
    </row>
    <row r="276" spans="1:43" ht="15.75" customHeight="1" x14ac:dyDescent="0.2">
      <c r="A276" s="7">
        <v>7681</v>
      </c>
      <c r="B276" s="57" t="s">
        <v>672</v>
      </c>
      <c r="C276" s="57" t="s">
        <v>695</v>
      </c>
      <c r="D276" s="9" t="s">
        <v>674</v>
      </c>
      <c r="E276" s="57" t="s">
        <v>714</v>
      </c>
      <c r="F276" s="57"/>
      <c r="G276" s="58">
        <v>2009</v>
      </c>
      <c r="H276" s="58">
        <v>0</v>
      </c>
      <c r="I276" s="58">
        <v>14.44</v>
      </c>
      <c r="J276" s="59">
        <f>K276/I276</f>
        <v>0.5706371191135734</v>
      </c>
      <c r="K276" s="58">
        <v>8.24</v>
      </c>
      <c r="L276" s="58">
        <v>6.2092000000000001</v>
      </c>
      <c r="M276" s="58">
        <v>0</v>
      </c>
      <c r="N276" s="58">
        <v>8</v>
      </c>
      <c r="O276" s="57"/>
      <c r="P276" s="57" t="s">
        <v>50</v>
      </c>
      <c r="Q276" s="67">
        <f>5.332*10^3</f>
        <v>5332</v>
      </c>
      <c r="R276" s="57" t="s">
        <v>676</v>
      </c>
      <c r="S276" s="19">
        <v>2009</v>
      </c>
      <c r="T276" s="61">
        <v>0.317</v>
      </c>
      <c r="U276" s="69">
        <f t="shared" si="16"/>
        <v>1690.2439999999999</v>
      </c>
      <c r="V276" s="70">
        <f t="shared" si="17"/>
        <v>117.05290858725762</v>
      </c>
      <c r="W276" s="15">
        <f t="shared" si="8"/>
        <v>0</v>
      </c>
      <c r="X276" s="15">
        <f t="shared" si="9"/>
        <v>0</v>
      </c>
      <c r="Y276" s="15">
        <f t="shared" si="10"/>
        <v>0</v>
      </c>
      <c r="Z276" s="13">
        <f t="shared" si="11"/>
        <v>0</v>
      </c>
      <c r="AA276" s="16">
        <f>VLOOKUP(S276,[1]CPI!$A$2:$D$67,4,0)</f>
        <v>1.2630455352689747</v>
      </c>
      <c r="AB276" s="17">
        <f t="shared" si="18"/>
        <v>2134.8551377151725</v>
      </c>
      <c r="AC276" s="17">
        <f t="shared" si="19"/>
        <v>147.84315358138315</v>
      </c>
      <c r="AD276" s="19" t="s">
        <v>35</v>
      </c>
      <c r="AE276" s="63" t="s">
        <v>715</v>
      </c>
      <c r="AF276" s="27"/>
      <c r="AG276" s="27"/>
      <c r="AH276" s="27"/>
      <c r="AI276" s="27"/>
      <c r="AJ276" s="28"/>
      <c r="AK276" s="28"/>
      <c r="AL276" s="28"/>
      <c r="AM276" s="28"/>
      <c r="AN276" s="28"/>
      <c r="AO276" s="28"/>
      <c r="AP276" s="28"/>
      <c r="AQ276" s="28"/>
    </row>
    <row r="277" spans="1:43" ht="15.75" customHeight="1" x14ac:dyDescent="0.2">
      <c r="A277" s="7">
        <v>7682</v>
      </c>
      <c r="B277" s="57" t="s">
        <v>672</v>
      </c>
      <c r="C277" s="57" t="s">
        <v>695</v>
      </c>
      <c r="D277" s="9" t="s">
        <v>335</v>
      </c>
      <c r="E277" s="57" t="s">
        <v>716</v>
      </c>
      <c r="F277" s="57"/>
      <c r="G277" s="58">
        <v>2008</v>
      </c>
      <c r="H277" s="58">
        <v>0</v>
      </c>
      <c r="I277" s="58">
        <v>30.687000000000001</v>
      </c>
      <c r="J277" s="59">
        <v>0.48170234950000002</v>
      </c>
      <c r="K277" s="58">
        <v>14.782</v>
      </c>
      <c r="L277" s="58">
        <v>15.9588</v>
      </c>
      <c r="M277" s="58">
        <v>0</v>
      </c>
      <c r="N277" s="58">
        <v>13</v>
      </c>
      <c r="O277" s="57"/>
      <c r="P277" s="57" t="s">
        <v>50</v>
      </c>
      <c r="Q277" s="67">
        <f>19*10^3</f>
        <v>19000</v>
      </c>
      <c r="R277" s="57" t="s">
        <v>676</v>
      </c>
      <c r="S277" s="19">
        <v>2008</v>
      </c>
      <c r="T277" s="61">
        <v>0.315</v>
      </c>
      <c r="U277" s="62">
        <f t="shared" si="16"/>
        <v>5985</v>
      </c>
      <c r="V277" s="14">
        <f t="shared" si="17"/>
        <v>195.03372763711016</v>
      </c>
      <c r="W277" s="15">
        <f t="shared" si="8"/>
        <v>0</v>
      </c>
      <c r="X277" s="15">
        <f t="shared" si="9"/>
        <v>0</v>
      </c>
      <c r="Y277" s="15">
        <f t="shared" si="10"/>
        <v>0</v>
      </c>
      <c r="Z277" s="13">
        <f t="shared" si="11"/>
        <v>0</v>
      </c>
      <c r="AA277" s="16">
        <f>VLOOKUP(S277,[1]CPI!$A$2:$D$67,4,0)</f>
        <v>1.2585519012740187</v>
      </c>
      <c r="AB277" s="17">
        <f t="shared" si="18"/>
        <v>7532.4331291250019</v>
      </c>
      <c r="AC277" s="17">
        <f t="shared" si="19"/>
        <v>245.46006873024413</v>
      </c>
      <c r="AD277" s="19" t="s">
        <v>35</v>
      </c>
      <c r="AE277" s="63" t="s">
        <v>717</v>
      </c>
      <c r="AF277" s="27"/>
      <c r="AG277" s="27"/>
      <c r="AH277" s="27"/>
      <c r="AI277" s="27"/>
      <c r="AJ277" s="28"/>
      <c r="AK277" s="28"/>
      <c r="AL277" s="28"/>
      <c r="AM277" s="28"/>
      <c r="AN277" s="28"/>
      <c r="AO277" s="28"/>
      <c r="AP277" s="28"/>
      <c r="AQ277" s="28"/>
    </row>
    <row r="278" spans="1:43" ht="15.75" customHeight="1" x14ac:dyDescent="0.2">
      <c r="A278" s="21">
        <v>7683</v>
      </c>
      <c r="B278" s="19" t="s">
        <v>672</v>
      </c>
      <c r="C278" s="19" t="s">
        <v>695</v>
      </c>
      <c r="D278" s="9" t="s">
        <v>335</v>
      </c>
      <c r="E278" s="19" t="s">
        <v>718</v>
      </c>
      <c r="F278" s="19">
        <v>2005</v>
      </c>
      <c r="G278" s="19">
        <v>2009</v>
      </c>
      <c r="H278" s="19">
        <v>0</v>
      </c>
      <c r="I278" s="19">
        <v>14.5</v>
      </c>
      <c r="J278" s="64">
        <v>1</v>
      </c>
      <c r="K278" s="19">
        <v>14.5</v>
      </c>
      <c r="L278" s="19">
        <v>0</v>
      </c>
      <c r="M278" s="19">
        <v>0</v>
      </c>
      <c r="N278" s="19">
        <v>10</v>
      </c>
      <c r="O278" s="19"/>
      <c r="P278" s="19" t="s">
        <v>50</v>
      </c>
      <c r="Q278" s="78">
        <f>8.94*10^3</f>
        <v>8940</v>
      </c>
      <c r="R278" s="19" t="s">
        <v>676</v>
      </c>
      <c r="S278" s="19">
        <v>2007</v>
      </c>
      <c r="T278" s="61">
        <v>0.33300000000000002</v>
      </c>
      <c r="U278" s="62">
        <f t="shared" si="16"/>
        <v>2977.02</v>
      </c>
      <c r="V278" s="14">
        <f t="shared" si="17"/>
        <v>205.31172413793104</v>
      </c>
      <c r="W278" s="15">
        <f t="shared" si="8"/>
        <v>0</v>
      </c>
      <c r="X278" s="15">
        <f t="shared" si="9"/>
        <v>0</v>
      </c>
      <c r="Y278" s="15">
        <f t="shared" si="10"/>
        <v>0</v>
      </c>
      <c r="Z278" s="13">
        <f t="shared" si="11"/>
        <v>0</v>
      </c>
      <c r="AA278" s="16">
        <f>VLOOKUP(S278,[1]CPI!$A$2:$D$67,4,0)</f>
        <v>1.3068746322500988</v>
      </c>
      <c r="AB278" s="17">
        <f t="shared" si="18"/>
        <v>3890.5919177011892</v>
      </c>
      <c r="AC278" s="17">
        <f t="shared" si="19"/>
        <v>268.31668397939234</v>
      </c>
      <c r="AD278" s="19" t="s">
        <v>35</v>
      </c>
      <c r="AE278" s="66" t="s">
        <v>717</v>
      </c>
      <c r="AF278" s="27"/>
      <c r="AG278" s="27"/>
      <c r="AH278" s="27"/>
      <c r="AI278" s="27"/>
      <c r="AJ278" s="28"/>
      <c r="AK278" s="28"/>
      <c r="AL278" s="28"/>
      <c r="AM278" s="28"/>
      <c r="AN278" s="28"/>
      <c r="AO278" s="28"/>
      <c r="AP278" s="28"/>
      <c r="AQ278" s="28"/>
    </row>
    <row r="279" spans="1:43" ht="15.75" customHeight="1" x14ac:dyDescent="0.2">
      <c r="A279" s="21">
        <v>7688</v>
      </c>
      <c r="B279" s="19" t="s">
        <v>672</v>
      </c>
      <c r="C279" s="19" t="s">
        <v>695</v>
      </c>
      <c r="D279" s="9" t="s">
        <v>335</v>
      </c>
      <c r="E279" s="19" t="s">
        <v>719</v>
      </c>
      <c r="F279" s="19">
        <v>2009</v>
      </c>
      <c r="G279" s="19">
        <v>2012</v>
      </c>
      <c r="H279" s="19">
        <v>0</v>
      </c>
      <c r="I279" s="19">
        <v>5.3719999999999999</v>
      </c>
      <c r="J279" s="64">
        <v>1</v>
      </c>
      <c r="K279" s="19">
        <v>5.3719999999999999</v>
      </c>
      <c r="L279" s="19">
        <v>0</v>
      </c>
      <c r="M279" s="19">
        <v>0</v>
      </c>
      <c r="N279" s="19"/>
      <c r="O279" s="19"/>
      <c r="P279" s="19" t="s">
        <v>50</v>
      </c>
      <c r="Q279" s="78">
        <f>2.8*10^3</f>
        <v>2800</v>
      </c>
      <c r="R279" s="19" t="s">
        <v>676</v>
      </c>
      <c r="S279" s="19">
        <v>2010</v>
      </c>
      <c r="T279" s="61">
        <v>0.3</v>
      </c>
      <c r="U279" s="62">
        <f t="shared" si="16"/>
        <v>840</v>
      </c>
      <c r="V279" s="14">
        <f t="shared" si="17"/>
        <v>156.36634400595682</v>
      </c>
      <c r="W279" s="15">
        <f t="shared" si="8"/>
        <v>0</v>
      </c>
      <c r="X279" s="15">
        <f t="shared" si="9"/>
        <v>0</v>
      </c>
      <c r="Y279" s="15">
        <f t="shared" si="10"/>
        <v>0</v>
      </c>
      <c r="Z279" s="13">
        <f t="shared" si="11"/>
        <v>0</v>
      </c>
      <c r="AA279" s="16">
        <f>VLOOKUP(S279,[1]CPI!$A$2:$D$67,4,0)</f>
        <v>1.2426624353377114</v>
      </c>
      <c r="AB279" s="17">
        <f t="shared" si="18"/>
        <v>1043.8364456836775</v>
      </c>
      <c r="AC279" s="17">
        <f t="shared" si="19"/>
        <v>194.31058184729665</v>
      </c>
      <c r="AD279" s="19" t="s">
        <v>35</v>
      </c>
      <c r="AE279" s="66" t="s">
        <v>717</v>
      </c>
      <c r="AF279" s="27"/>
      <c r="AG279" s="27"/>
      <c r="AH279" s="27"/>
      <c r="AI279" s="27"/>
      <c r="AJ279" s="28"/>
      <c r="AK279" s="28"/>
      <c r="AL279" s="28"/>
      <c r="AM279" s="28"/>
      <c r="AN279" s="28"/>
      <c r="AO279" s="28"/>
      <c r="AP279" s="28"/>
      <c r="AQ279" s="28"/>
    </row>
    <row r="280" spans="1:43" ht="15.75" customHeight="1" x14ac:dyDescent="0.2">
      <c r="A280" s="21">
        <v>7689</v>
      </c>
      <c r="B280" s="54" t="s">
        <v>672</v>
      </c>
      <c r="C280" s="54" t="s">
        <v>695</v>
      </c>
      <c r="D280" s="54" t="s">
        <v>335</v>
      </c>
      <c r="E280" s="54" t="s">
        <v>720</v>
      </c>
      <c r="F280" s="72">
        <v>2013</v>
      </c>
      <c r="G280" s="72">
        <v>2017</v>
      </c>
      <c r="H280" s="72">
        <v>0</v>
      </c>
      <c r="I280" s="72">
        <v>13.827999999999999</v>
      </c>
      <c r="J280" s="73">
        <v>1</v>
      </c>
      <c r="K280" s="72">
        <v>13.827999999999999</v>
      </c>
      <c r="L280" s="54"/>
      <c r="M280" s="54"/>
      <c r="N280" s="72">
        <v>9</v>
      </c>
      <c r="O280" s="72">
        <v>138</v>
      </c>
      <c r="P280" s="54"/>
      <c r="Q280" s="65">
        <v>12713</v>
      </c>
      <c r="R280" s="54" t="s">
        <v>676</v>
      </c>
      <c r="S280" s="54">
        <v>2015</v>
      </c>
      <c r="T280" s="61">
        <v>0.25800000000000001</v>
      </c>
      <c r="U280" s="69">
        <f t="shared" si="16"/>
        <v>3279.9540000000002</v>
      </c>
      <c r="V280" s="70">
        <f t="shared" si="17"/>
        <v>237.19655770899627</v>
      </c>
      <c r="W280" s="15">
        <f t="shared" si="8"/>
        <v>0</v>
      </c>
      <c r="X280" s="15">
        <f t="shared" si="9"/>
        <v>0</v>
      </c>
      <c r="Y280" s="15">
        <f t="shared" si="10"/>
        <v>0</v>
      </c>
      <c r="Z280" s="13">
        <f t="shared" si="11"/>
        <v>0</v>
      </c>
      <c r="AA280" s="16">
        <f>VLOOKUP(S280,[1]CPI!$A$2:$D$67,4,0)</f>
        <v>1.143251327963817</v>
      </c>
      <c r="AB280" s="17">
        <f t="shared" si="18"/>
        <v>3749.8117661602337</v>
      </c>
      <c r="AC280" s="17">
        <f t="shared" si="19"/>
        <v>271.17527958925615</v>
      </c>
      <c r="AD280" s="19" t="s">
        <v>35</v>
      </c>
      <c r="AE280" s="46" t="s">
        <v>721</v>
      </c>
      <c r="AF280" s="80" t="s">
        <v>722</v>
      </c>
      <c r="AG280" s="81"/>
      <c r="AH280" s="81"/>
      <c r="AI280" s="81"/>
      <c r="AJ280" s="82"/>
      <c r="AK280" s="82"/>
      <c r="AL280" s="82"/>
      <c r="AM280" s="82"/>
      <c r="AN280" s="82"/>
      <c r="AO280" s="82"/>
      <c r="AP280" s="82"/>
      <c r="AQ280" s="82"/>
    </row>
    <row r="281" spans="1:43" ht="15.75" customHeight="1" x14ac:dyDescent="0.2">
      <c r="A281" s="21">
        <v>7690</v>
      </c>
      <c r="B281" s="19" t="s">
        <v>672</v>
      </c>
      <c r="C281" s="19" t="s">
        <v>695</v>
      </c>
      <c r="D281" s="9" t="s">
        <v>287</v>
      </c>
      <c r="E281" s="19" t="s">
        <v>723</v>
      </c>
      <c r="F281" s="19">
        <v>2005</v>
      </c>
      <c r="G281" s="19">
        <v>2010</v>
      </c>
      <c r="H281" s="19">
        <v>0</v>
      </c>
      <c r="I281" s="19">
        <v>36.220999999999997</v>
      </c>
      <c r="J281" s="64">
        <v>1</v>
      </c>
      <c r="K281" s="19">
        <v>36.220999999999997</v>
      </c>
      <c r="L281" s="19">
        <v>0</v>
      </c>
      <c r="M281" s="19">
        <v>0</v>
      </c>
      <c r="N281" s="19">
        <v>31</v>
      </c>
      <c r="O281" s="19">
        <v>138</v>
      </c>
      <c r="P281" s="19" t="s">
        <v>50</v>
      </c>
      <c r="Q281" s="78">
        <f>23.784*10^3</f>
        <v>23784</v>
      </c>
      <c r="R281" s="19" t="s">
        <v>676</v>
      </c>
      <c r="S281" s="19">
        <v>2007</v>
      </c>
      <c r="T281" s="61">
        <v>0.33300000000000002</v>
      </c>
      <c r="U281" s="62">
        <f t="shared" si="16"/>
        <v>7920.0720000000001</v>
      </c>
      <c r="V281" s="14">
        <f t="shared" si="17"/>
        <v>218.65967256563874</v>
      </c>
      <c r="W281" s="15">
        <f t="shared" si="8"/>
        <v>0</v>
      </c>
      <c r="X281" s="15">
        <f t="shared" si="9"/>
        <v>0</v>
      </c>
      <c r="Y281" s="15">
        <f t="shared" si="10"/>
        <v>0</v>
      </c>
      <c r="Z281" s="13">
        <f t="shared" si="11"/>
        <v>0</v>
      </c>
      <c r="AA281" s="16">
        <f>VLOOKUP(S281,[1]CPI!$A$2:$D$67,4,0)</f>
        <v>1.3068746322500988</v>
      </c>
      <c r="AB281" s="17">
        <f t="shared" si="18"/>
        <v>10350.541182394305</v>
      </c>
      <c r="AC281" s="17">
        <f t="shared" si="19"/>
        <v>285.76077917214616</v>
      </c>
      <c r="AD281" s="19" t="s">
        <v>35</v>
      </c>
      <c r="AE281" s="66" t="s">
        <v>724</v>
      </c>
      <c r="AF281" s="27"/>
      <c r="AG281" s="27"/>
      <c r="AH281" s="27"/>
      <c r="AI281" s="27"/>
      <c r="AJ281" s="28"/>
      <c r="AK281" s="28"/>
      <c r="AL281" s="28"/>
      <c r="AM281" s="28"/>
      <c r="AN281" s="28"/>
      <c r="AO281" s="28"/>
      <c r="AP281" s="28"/>
      <c r="AQ281" s="28"/>
    </row>
    <row r="282" spans="1:43" ht="15.75" customHeight="1" x14ac:dyDescent="0.2">
      <c r="A282" s="21">
        <v>7691</v>
      </c>
      <c r="B282" s="19" t="s">
        <v>672</v>
      </c>
      <c r="C282" s="19" t="s">
        <v>695</v>
      </c>
      <c r="D282" s="9" t="s">
        <v>124</v>
      </c>
      <c r="E282" s="19" t="s">
        <v>725</v>
      </c>
      <c r="F282" s="19">
        <v>2007</v>
      </c>
      <c r="G282" s="19">
        <v>2009</v>
      </c>
      <c r="H282" s="19">
        <v>0</v>
      </c>
      <c r="I282" s="19">
        <v>46.008000000000003</v>
      </c>
      <c r="J282" s="64">
        <v>0.47113545470000001</v>
      </c>
      <c r="K282" s="19">
        <v>21.675999999999998</v>
      </c>
      <c r="L282" s="19">
        <v>24.385300000000001</v>
      </c>
      <c r="M282" s="19">
        <v>0</v>
      </c>
      <c r="N282" s="19">
        <v>21</v>
      </c>
      <c r="O282" s="19"/>
      <c r="P282" s="19" t="s">
        <v>50</v>
      </c>
      <c r="Q282" s="78">
        <f>18.95*10^3</f>
        <v>18950</v>
      </c>
      <c r="R282" s="19" t="s">
        <v>676</v>
      </c>
      <c r="S282" s="19">
        <v>2008</v>
      </c>
      <c r="T282" s="61">
        <v>0.315</v>
      </c>
      <c r="U282" s="62">
        <f t="shared" si="16"/>
        <v>5969.25</v>
      </c>
      <c r="V282" s="14">
        <f t="shared" si="17"/>
        <v>129.74374021909233</v>
      </c>
      <c r="W282" s="15">
        <f t="shared" si="8"/>
        <v>0</v>
      </c>
      <c r="X282" s="15">
        <f t="shared" si="9"/>
        <v>0</v>
      </c>
      <c r="Y282" s="15">
        <f t="shared" si="10"/>
        <v>0</v>
      </c>
      <c r="Z282" s="13">
        <f t="shared" si="11"/>
        <v>0</v>
      </c>
      <c r="AA282" s="16">
        <f>VLOOKUP(S282,[1]CPI!$A$2:$D$67,4,0)</f>
        <v>1.2585519012740187</v>
      </c>
      <c r="AB282" s="17">
        <f t="shared" si="18"/>
        <v>7512.6109366799365</v>
      </c>
      <c r="AC282" s="17">
        <f t="shared" si="19"/>
        <v>163.28923093114102</v>
      </c>
      <c r="AD282" s="19" t="s">
        <v>35</v>
      </c>
      <c r="AE282" s="66" t="s">
        <v>726</v>
      </c>
      <c r="AF282" s="27"/>
      <c r="AG282" s="27"/>
      <c r="AH282" s="27"/>
      <c r="AI282" s="27"/>
      <c r="AJ282" s="28"/>
      <c r="AK282" s="28"/>
      <c r="AL282" s="28"/>
      <c r="AM282" s="28"/>
      <c r="AN282" s="28"/>
      <c r="AO282" s="28"/>
      <c r="AP282" s="28"/>
      <c r="AQ282" s="28"/>
    </row>
    <row r="283" spans="1:43" ht="15.75" customHeight="1" x14ac:dyDescent="0.2">
      <c r="A283" s="21">
        <v>7696</v>
      </c>
      <c r="B283" s="57" t="s">
        <v>672</v>
      </c>
      <c r="C283" s="57" t="s">
        <v>695</v>
      </c>
      <c r="D283" s="9" t="s">
        <v>124</v>
      </c>
      <c r="E283" s="57" t="s">
        <v>727</v>
      </c>
      <c r="F283" s="57"/>
      <c r="G283" s="58">
        <v>2013</v>
      </c>
      <c r="H283" s="58">
        <v>0</v>
      </c>
      <c r="I283" s="58">
        <v>22.885999999999999</v>
      </c>
      <c r="J283" s="79"/>
      <c r="K283" s="57"/>
      <c r="L283" s="58" t="e">
        <v>#N/A</v>
      </c>
      <c r="M283" s="58" t="e">
        <v>#N/A</v>
      </c>
      <c r="N283" s="58">
        <v>13</v>
      </c>
      <c r="O283" s="57"/>
      <c r="P283" s="57" t="s">
        <v>50</v>
      </c>
      <c r="Q283" s="67">
        <f>12.965*10^3</f>
        <v>12965</v>
      </c>
      <c r="R283" s="57" t="s">
        <v>676</v>
      </c>
      <c r="S283" s="19">
        <v>2013</v>
      </c>
      <c r="T283" s="61">
        <v>0.27300000000000002</v>
      </c>
      <c r="U283" s="62">
        <f t="shared" si="16"/>
        <v>3539.4450000000002</v>
      </c>
      <c r="V283" s="14">
        <f t="shared" si="17"/>
        <v>154.65546622389235</v>
      </c>
      <c r="W283" s="15">
        <f t="shared" si="8"/>
        <v>0</v>
      </c>
      <c r="X283" s="15">
        <f t="shared" si="9"/>
        <v>0</v>
      </c>
      <c r="Y283" s="15">
        <f t="shared" si="10"/>
        <v>0</v>
      </c>
      <c r="Z283" s="13">
        <f t="shared" si="11"/>
        <v>0</v>
      </c>
      <c r="AA283" s="16">
        <f>VLOOKUP(S283,[1]CPI!$A$2:$D$67,4,0)</f>
        <v>1.16317603677932</v>
      </c>
      <c r="AB283" s="17">
        <f t="shared" si="18"/>
        <v>4116.9976074983806</v>
      </c>
      <c r="AC283" s="17">
        <f t="shared" si="19"/>
        <v>179.8915322685651</v>
      </c>
      <c r="AD283" s="19" t="s">
        <v>35</v>
      </c>
      <c r="AE283" s="66" t="s">
        <v>726</v>
      </c>
      <c r="AF283" s="19"/>
      <c r="AG283" s="19"/>
      <c r="AH283" s="19"/>
      <c r="AI283" s="19"/>
      <c r="AJ283" s="20"/>
      <c r="AK283" s="20"/>
      <c r="AL283" s="20"/>
      <c r="AM283" s="20"/>
      <c r="AN283" s="20"/>
      <c r="AO283" s="20"/>
      <c r="AP283" s="20"/>
      <c r="AQ283" s="20"/>
    </row>
    <row r="284" spans="1:43" ht="15.75" customHeight="1" x14ac:dyDescent="0.2">
      <c r="A284" s="21">
        <v>7697</v>
      </c>
      <c r="B284" s="57" t="s">
        <v>672</v>
      </c>
      <c r="C284" s="57" t="s">
        <v>695</v>
      </c>
      <c r="D284" s="9" t="s">
        <v>124</v>
      </c>
      <c r="E284" s="57" t="s">
        <v>728</v>
      </c>
      <c r="F284" s="57"/>
      <c r="G284" s="58">
        <v>2013</v>
      </c>
      <c r="H284" s="58">
        <v>0</v>
      </c>
      <c r="I284" s="58">
        <v>6</v>
      </c>
      <c r="J284" s="59">
        <v>0</v>
      </c>
      <c r="K284" s="58">
        <v>0</v>
      </c>
      <c r="L284" s="58">
        <v>6</v>
      </c>
      <c r="M284" s="58">
        <v>0</v>
      </c>
      <c r="N284" s="58">
        <v>3</v>
      </c>
      <c r="O284" s="57"/>
      <c r="P284" s="57" t="s">
        <v>50</v>
      </c>
      <c r="Q284" s="67">
        <f>1.849*10^3</f>
        <v>1849</v>
      </c>
      <c r="R284" s="57" t="s">
        <v>676</v>
      </c>
      <c r="S284" s="19">
        <v>2013</v>
      </c>
      <c r="T284" s="61">
        <v>0.27300000000000002</v>
      </c>
      <c r="U284" s="62">
        <f t="shared" si="16"/>
        <v>504.77700000000004</v>
      </c>
      <c r="V284" s="14">
        <f t="shared" si="17"/>
        <v>84.129500000000007</v>
      </c>
      <c r="W284" s="15">
        <f t="shared" si="8"/>
        <v>0</v>
      </c>
      <c r="X284" s="15">
        <f t="shared" si="9"/>
        <v>0</v>
      </c>
      <c r="Y284" s="15">
        <f t="shared" si="10"/>
        <v>0</v>
      </c>
      <c r="Z284" s="13">
        <f t="shared" si="11"/>
        <v>0</v>
      </c>
      <c r="AA284" s="16">
        <f>VLOOKUP(S284,[1]CPI!$A$2:$D$67,4,0)</f>
        <v>1.16317603677932</v>
      </c>
      <c r="AB284" s="17">
        <f t="shared" si="18"/>
        <v>587.14451031735484</v>
      </c>
      <c r="AC284" s="17">
        <f t="shared" si="19"/>
        <v>97.857418386225817</v>
      </c>
      <c r="AD284" s="19" t="s">
        <v>35</v>
      </c>
      <c r="AE284" s="66" t="s">
        <v>726</v>
      </c>
      <c r="AF284" s="19"/>
      <c r="AG284" s="19"/>
      <c r="AH284" s="19"/>
      <c r="AI284" s="19"/>
      <c r="AJ284" s="20"/>
      <c r="AK284" s="20"/>
      <c r="AL284" s="20"/>
      <c r="AM284" s="20"/>
      <c r="AN284" s="20"/>
      <c r="AO284" s="20"/>
      <c r="AP284" s="20"/>
      <c r="AQ284" s="20"/>
    </row>
    <row r="285" spans="1:43" ht="15.75" customHeight="1" x14ac:dyDescent="0.2">
      <c r="A285" s="21">
        <v>7698</v>
      </c>
      <c r="B285" s="19" t="s">
        <v>672</v>
      </c>
      <c r="C285" s="19" t="s">
        <v>729</v>
      </c>
      <c r="D285" s="54" t="s">
        <v>103</v>
      </c>
      <c r="E285" s="19" t="s">
        <v>730</v>
      </c>
      <c r="F285" s="19" t="s">
        <v>731</v>
      </c>
      <c r="G285" s="19"/>
      <c r="H285" s="19">
        <v>0</v>
      </c>
      <c r="I285" s="19">
        <v>6.5</v>
      </c>
      <c r="J285" s="64">
        <v>1</v>
      </c>
      <c r="K285" s="19">
        <v>6.5</v>
      </c>
      <c r="L285" s="19">
        <v>0</v>
      </c>
      <c r="M285" s="19">
        <v>0</v>
      </c>
      <c r="N285" s="19">
        <v>5</v>
      </c>
      <c r="O285" s="19"/>
      <c r="P285" s="19" t="s">
        <v>35</v>
      </c>
      <c r="Q285" s="78">
        <f>5.0154*10^3</f>
        <v>5015.3999999999996</v>
      </c>
      <c r="R285" s="19" t="s">
        <v>676</v>
      </c>
      <c r="S285" s="19">
        <v>2020</v>
      </c>
      <c r="T285" s="61">
        <v>0.23899999999999999</v>
      </c>
      <c r="U285" s="62">
        <f t="shared" si="16"/>
        <v>1198.6805999999999</v>
      </c>
      <c r="V285" s="14">
        <f t="shared" si="17"/>
        <v>184.41239999999999</v>
      </c>
      <c r="W285" s="15">
        <f t="shared" si="8"/>
        <v>0</v>
      </c>
      <c r="X285" s="15">
        <f t="shared" si="9"/>
        <v>0</v>
      </c>
      <c r="Y285" s="15">
        <f t="shared" si="10"/>
        <v>0</v>
      </c>
      <c r="Z285" s="13">
        <f t="shared" si="11"/>
        <v>0</v>
      </c>
      <c r="AA285" s="16">
        <f>VLOOKUP(S285,[1]CPI!$A$2:$D$67,4,0)</f>
        <v>1.0469802288156225</v>
      </c>
      <c r="AB285" s="17">
        <f t="shared" si="18"/>
        <v>1254.9948888648476</v>
      </c>
      <c r="AC285" s="17">
        <f t="shared" si="19"/>
        <v>193.07613674843807</v>
      </c>
      <c r="AD285" s="19" t="s">
        <v>35</v>
      </c>
      <c r="AE285" s="66" t="s">
        <v>732</v>
      </c>
      <c r="AF285" s="19"/>
      <c r="AG285" s="19"/>
      <c r="AH285" s="19"/>
      <c r="AI285" s="19"/>
      <c r="AJ285" s="20"/>
      <c r="AK285" s="20"/>
      <c r="AL285" s="20"/>
      <c r="AM285" s="20"/>
      <c r="AN285" s="20"/>
      <c r="AO285" s="20"/>
      <c r="AP285" s="20"/>
      <c r="AQ285" s="20"/>
    </row>
    <row r="286" spans="1:43" ht="15.75" customHeight="1" x14ac:dyDescent="0.2">
      <c r="A286" s="21">
        <v>7699</v>
      </c>
      <c r="B286" s="54" t="s">
        <v>672</v>
      </c>
      <c r="C286" s="54" t="s">
        <v>729</v>
      </c>
      <c r="D286" s="54"/>
      <c r="E286" s="54" t="s">
        <v>706</v>
      </c>
      <c r="F286" s="72">
        <v>2021</v>
      </c>
      <c r="G286" s="54"/>
      <c r="H286" s="72">
        <v>0</v>
      </c>
      <c r="I286" s="72">
        <v>26.2</v>
      </c>
      <c r="J286" s="73">
        <v>1</v>
      </c>
      <c r="K286" s="72">
        <v>26.2</v>
      </c>
      <c r="L286" s="54"/>
      <c r="M286" s="54"/>
      <c r="N286" s="72">
        <v>19</v>
      </c>
      <c r="O286" s="72">
        <v>117</v>
      </c>
      <c r="P286" s="54"/>
      <c r="Q286" s="65">
        <v>18470</v>
      </c>
      <c r="R286" s="54" t="s">
        <v>676</v>
      </c>
      <c r="S286" s="54">
        <v>2021</v>
      </c>
      <c r="T286" s="61">
        <v>0.23899999999999999</v>
      </c>
      <c r="U286" s="69">
        <f t="shared" si="16"/>
        <v>4414.33</v>
      </c>
      <c r="V286" s="70">
        <f t="shared" si="17"/>
        <v>168.48587786259543</v>
      </c>
      <c r="W286" s="15">
        <f t="shared" si="8"/>
        <v>0</v>
      </c>
      <c r="X286" s="15">
        <f t="shared" si="9"/>
        <v>0</v>
      </c>
      <c r="Y286" s="15">
        <f t="shared" si="10"/>
        <v>0</v>
      </c>
      <c r="Z286" s="13">
        <f t="shared" si="11"/>
        <v>0</v>
      </c>
      <c r="AA286" s="16">
        <f>VLOOKUP(S286,[1]CPI!$A$2:$D$67,4,0)</f>
        <v>1</v>
      </c>
      <c r="AB286" s="17">
        <f t="shared" si="18"/>
        <v>4414.33</v>
      </c>
      <c r="AC286" s="17">
        <f t="shared" si="19"/>
        <v>168.48587786259543</v>
      </c>
      <c r="AD286" s="54" t="s">
        <v>73</v>
      </c>
      <c r="AE286" s="46" t="s">
        <v>733</v>
      </c>
      <c r="AF286" s="54"/>
      <c r="AG286" s="54"/>
      <c r="AH286" s="8"/>
      <c r="AI286" s="54"/>
      <c r="AJ286" s="82"/>
      <c r="AK286" s="82"/>
      <c r="AL286" s="82"/>
      <c r="AM286" s="82"/>
      <c r="AN286" s="82"/>
      <c r="AO286" s="82"/>
      <c r="AP286" s="82"/>
      <c r="AQ286" s="82"/>
    </row>
    <row r="287" spans="1:43" ht="15.75" customHeight="1" x14ac:dyDescent="0.2">
      <c r="A287" s="21">
        <v>7704</v>
      </c>
      <c r="B287" s="19" t="s">
        <v>672</v>
      </c>
      <c r="C287" s="19" t="s">
        <v>729</v>
      </c>
      <c r="D287" s="9"/>
      <c r="E287" s="19" t="s">
        <v>708</v>
      </c>
      <c r="F287" s="19" t="s">
        <v>734</v>
      </c>
      <c r="G287" s="19"/>
      <c r="H287" s="19">
        <v>0</v>
      </c>
      <c r="I287" s="19">
        <v>24.6</v>
      </c>
      <c r="J287" s="64">
        <v>1</v>
      </c>
      <c r="K287" s="19">
        <v>24.6</v>
      </c>
      <c r="L287" s="19">
        <v>0</v>
      </c>
      <c r="M287" s="19">
        <v>0</v>
      </c>
      <c r="N287" s="19">
        <v>20</v>
      </c>
      <c r="O287" s="19"/>
      <c r="P287" s="19" t="s">
        <v>35</v>
      </c>
      <c r="Q287" s="78">
        <f>16.83*10^3</f>
        <v>16830</v>
      </c>
      <c r="R287" s="19" t="s">
        <v>676</v>
      </c>
      <c r="S287" s="19">
        <v>2020</v>
      </c>
      <c r="T287" s="61">
        <v>0.23899999999999999</v>
      </c>
      <c r="U287" s="62">
        <f t="shared" si="16"/>
        <v>4022.37</v>
      </c>
      <c r="V287" s="14">
        <f t="shared" si="17"/>
        <v>163.51097560975609</v>
      </c>
      <c r="W287" s="15">
        <f t="shared" si="8"/>
        <v>0</v>
      </c>
      <c r="X287" s="15">
        <f t="shared" si="9"/>
        <v>0</v>
      </c>
      <c r="Y287" s="15">
        <f t="shared" si="10"/>
        <v>0</v>
      </c>
      <c r="Z287" s="13">
        <f t="shared" si="11"/>
        <v>0</v>
      </c>
      <c r="AA287" s="16">
        <f>VLOOKUP(S287,[1]CPI!$A$2:$D$67,4,0)</f>
        <v>1.0469802288156225</v>
      </c>
      <c r="AB287" s="17">
        <f t="shared" si="18"/>
        <v>4211.3418629810949</v>
      </c>
      <c r="AC287" s="17">
        <f t="shared" si="19"/>
        <v>171.19275865776808</v>
      </c>
      <c r="AD287" s="19" t="s">
        <v>35</v>
      </c>
      <c r="AE287" s="66" t="s">
        <v>732</v>
      </c>
      <c r="AF287" s="19"/>
      <c r="AG287" s="19"/>
      <c r="AH287" s="19"/>
      <c r="AI287" s="19"/>
      <c r="AJ287" s="20"/>
      <c r="AK287" s="20"/>
      <c r="AL287" s="20"/>
      <c r="AM287" s="20"/>
      <c r="AN287" s="20"/>
      <c r="AO287" s="20"/>
      <c r="AP287" s="20"/>
      <c r="AQ287" s="20"/>
    </row>
    <row r="288" spans="1:43" ht="15.75" customHeight="1" x14ac:dyDescent="0.2">
      <c r="A288" s="21">
        <v>7705</v>
      </c>
      <c r="B288" s="54" t="s">
        <v>672</v>
      </c>
      <c r="C288" s="54" t="s">
        <v>729</v>
      </c>
      <c r="D288" s="54"/>
      <c r="E288" s="54" t="s">
        <v>735</v>
      </c>
      <c r="F288" s="72">
        <v>2021</v>
      </c>
      <c r="G288" s="54"/>
      <c r="H288" s="72">
        <v>0</v>
      </c>
      <c r="I288" s="72">
        <v>22.911999999999999</v>
      </c>
      <c r="J288" s="73">
        <v>1</v>
      </c>
      <c r="K288" s="72">
        <v>22.911999999999999</v>
      </c>
      <c r="L288" s="54"/>
      <c r="M288" s="54"/>
      <c r="N288" s="72">
        <v>16</v>
      </c>
      <c r="O288" s="72">
        <v>117</v>
      </c>
      <c r="P288" s="54" t="s">
        <v>73</v>
      </c>
      <c r="Q288" s="65">
        <v>19157</v>
      </c>
      <c r="R288" s="54" t="s">
        <v>676</v>
      </c>
      <c r="S288" s="54">
        <v>2021</v>
      </c>
      <c r="T288" s="61">
        <v>0.23899999999999999</v>
      </c>
      <c r="U288" s="69">
        <f t="shared" si="16"/>
        <v>4578.5230000000001</v>
      </c>
      <c r="V288" s="70">
        <f t="shared" si="17"/>
        <v>199.83078736033522</v>
      </c>
      <c r="W288" s="15">
        <f t="shared" si="8"/>
        <v>0</v>
      </c>
      <c r="X288" s="15">
        <f t="shared" si="9"/>
        <v>0</v>
      </c>
      <c r="Y288" s="15">
        <f t="shared" si="10"/>
        <v>0</v>
      </c>
      <c r="Z288" s="13">
        <f t="shared" si="11"/>
        <v>0</v>
      </c>
      <c r="AA288" s="16">
        <f>VLOOKUP(S288,[1]CPI!$A$2:$D$67,4,0)</f>
        <v>1</v>
      </c>
      <c r="AB288" s="17">
        <f t="shared" si="18"/>
        <v>4578.5230000000001</v>
      </c>
      <c r="AC288" s="17">
        <f t="shared" si="19"/>
        <v>199.83078736033522</v>
      </c>
      <c r="AD288" s="54" t="s">
        <v>73</v>
      </c>
      <c r="AE288" s="46" t="s">
        <v>736</v>
      </c>
      <c r="AF288" s="54"/>
      <c r="AG288" s="54"/>
      <c r="AH288" s="54"/>
      <c r="AI288" s="54"/>
      <c r="AJ288" s="82"/>
      <c r="AK288" s="82"/>
      <c r="AL288" s="82"/>
      <c r="AM288" s="82"/>
      <c r="AN288" s="82"/>
      <c r="AO288" s="82"/>
      <c r="AP288" s="82"/>
      <c r="AQ288" s="82"/>
    </row>
    <row r="289" spans="1:43" ht="15.75" customHeight="1" x14ac:dyDescent="0.2">
      <c r="A289" s="21">
        <v>7706</v>
      </c>
      <c r="B289" s="19" t="s">
        <v>672</v>
      </c>
      <c r="C289" s="19" t="s">
        <v>737</v>
      </c>
      <c r="D289" s="9" t="s">
        <v>281</v>
      </c>
      <c r="E289" s="19" t="s">
        <v>735</v>
      </c>
      <c r="F289" s="19">
        <v>2015</v>
      </c>
      <c r="G289" s="19">
        <v>2020</v>
      </c>
      <c r="H289" s="19">
        <v>0</v>
      </c>
      <c r="I289" s="19">
        <v>37.625999999999998</v>
      </c>
      <c r="J289" s="64">
        <v>0.34577154100000002</v>
      </c>
      <c r="K289" s="19">
        <v>13.01</v>
      </c>
      <c r="L289" s="19">
        <v>24.835799999999999</v>
      </c>
      <c r="M289" s="19">
        <v>0</v>
      </c>
      <c r="N289" s="19">
        <v>20</v>
      </c>
      <c r="O289" s="19">
        <v>138</v>
      </c>
      <c r="P289" s="19" t="s">
        <v>35</v>
      </c>
      <c r="Q289" s="78">
        <f>16.8*10^3</f>
        <v>16800</v>
      </c>
      <c r="R289" s="19" t="s">
        <v>676</v>
      </c>
      <c r="S289" s="19">
        <v>2017</v>
      </c>
      <c r="T289" s="61">
        <v>0.23899999999999999</v>
      </c>
      <c r="U289" s="62">
        <f t="shared" si="16"/>
        <v>4015.2</v>
      </c>
      <c r="V289" s="14">
        <f t="shared" si="17"/>
        <v>106.7134428320842</v>
      </c>
      <c r="W289" s="15">
        <f t="shared" si="8"/>
        <v>0</v>
      </c>
      <c r="X289" s="15">
        <f t="shared" si="9"/>
        <v>0</v>
      </c>
      <c r="Y289" s="15">
        <f t="shared" si="10"/>
        <v>0</v>
      </c>
      <c r="Z289" s="13">
        <f t="shared" si="11"/>
        <v>0</v>
      </c>
      <c r="AA289" s="16">
        <f>VLOOKUP(S289,[1]CPI!$A$2:$D$67,4,0)</f>
        <v>1.1054585509138382</v>
      </c>
      <c r="AB289" s="17">
        <f t="shared" si="18"/>
        <v>4438.6371736292431</v>
      </c>
      <c r="AC289" s="17">
        <f t="shared" si="19"/>
        <v>117.96728787618251</v>
      </c>
      <c r="AD289" s="19" t="s">
        <v>35</v>
      </c>
      <c r="AE289" s="66" t="s">
        <v>738</v>
      </c>
      <c r="AF289" s="9"/>
      <c r="AG289" s="54"/>
      <c r="AH289" s="54"/>
      <c r="AI289" s="54"/>
    </row>
    <row r="290" spans="1:43" ht="15.75" customHeight="1" x14ac:dyDescent="0.2">
      <c r="A290" s="21">
        <v>7707</v>
      </c>
      <c r="B290" s="57" t="s">
        <v>672</v>
      </c>
      <c r="C290" s="57" t="s">
        <v>737</v>
      </c>
      <c r="D290" s="9" t="s">
        <v>281</v>
      </c>
      <c r="E290" s="57" t="s">
        <v>739</v>
      </c>
      <c r="F290" s="58">
        <v>2018</v>
      </c>
      <c r="G290" s="58">
        <v>2022</v>
      </c>
      <c r="H290" s="58">
        <v>0</v>
      </c>
      <c r="I290" s="58">
        <v>6.13</v>
      </c>
      <c r="J290" s="59">
        <f>K290/I290</f>
        <v>0.86541598694942901</v>
      </c>
      <c r="K290" s="58">
        <v>5.3049999999999997</v>
      </c>
      <c r="L290" s="58">
        <v>0</v>
      </c>
      <c r="M290" s="58">
        <v>0</v>
      </c>
      <c r="N290" s="58">
        <v>4</v>
      </c>
      <c r="O290" s="57"/>
      <c r="P290" s="57" t="s">
        <v>43</v>
      </c>
      <c r="Q290" s="67">
        <v>3795</v>
      </c>
      <c r="R290" s="57" t="s">
        <v>676</v>
      </c>
      <c r="S290" s="58">
        <v>2018</v>
      </c>
      <c r="T290" s="61">
        <v>0.23699999999999999</v>
      </c>
      <c r="U290" s="83">
        <f t="shared" si="16"/>
        <v>899.41499999999996</v>
      </c>
      <c r="V290" s="14">
        <f t="shared" si="17"/>
        <v>146.72349102773245</v>
      </c>
      <c r="W290" s="15">
        <f t="shared" si="8"/>
        <v>0</v>
      </c>
      <c r="X290" s="15">
        <f t="shared" si="9"/>
        <v>0</v>
      </c>
      <c r="Y290" s="15">
        <f t="shared" si="10"/>
        <v>0</v>
      </c>
      <c r="Z290" s="13">
        <f t="shared" si="11"/>
        <v>0</v>
      </c>
      <c r="AA290" s="16">
        <f>VLOOKUP(S290,[1]CPI!$A$2:$D$67,4,0)</f>
        <v>1.0791017375063221</v>
      </c>
      <c r="AB290" s="17">
        <f t="shared" si="18"/>
        <v>970.56028923924862</v>
      </c>
      <c r="AC290" s="17">
        <f t="shared" si="19"/>
        <v>158.32957410101935</v>
      </c>
      <c r="AD290" s="19" t="s">
        <v>35</v>
      </c>
      <c r="AE290" s="57" t="s">
        <v>740</v>
      </c>
      <c r="AF290" s="27"/>
      <c r="AG290" s="27"/>
      <c r="AH290" s="27"/>
      <c r="AI290" s="27"/>
      <c r="AJ290" s="28"/>
      <c r="AK290" s="28"/>
      <c r="AL290" s="28"/>
      <c r="AM290" s="28"/>
      <c r="AN290" s="28"/>
      <c r="AO290" s="28"/>
      <c r="AP290" s="28"/>
      <c r="AQ290" s="28"/>
    </row>
    <row r="291" spans="1:43" ht="15.75" customHeight="1" x14ac:dyDescent="0.2">
      <c r="A291" s="21">
        <v>7712</v>
      </c>
      <c r="B291" s="57" t="s">
        <v>672</v>
      </c>
      <c r="C291" s="57" t="s">
        <v>737</v>
      </c>
      <c r="D291" s="9" t="s">
        <v>103</v>
      </c>
      <c r="E291" s="57" t="s">
        <v>741</v>
      </c>
      <c r="F291" s="57"/>
      <c r="G291" s="58">
        <v>2022</v>
      </c>
      <c r="H291" s="58">
        <v>0</v>
      </c>
      <c r="I291" s="58">
        <v>9.35</v>
      </c>
      <c r="J291" s="59">
        <v>0.79358288769999996</v>
      </c>
      <c r="K291" s="58">
        <v>7.42</v>
      </c>
      <c r="L291" s="58">
        <v>0</v>
      </c>
      <c r="M291" s="58">
        <v>0</v>
      </c>
      <c r="N291" s="58">
        <v>7</v>
      </c>
      <c r="O291" s="57"/>
      <c r="P291" s="57" t="s">
        <v>35</v>
      </c>
      <c r="Q291" s="67">
        <f>10.785*10^3</f>
        <v>10785</v>
      </c>
      <c r="R291" s="57" t="s">
        <v>676</v>
      </c>
      <c r="S291" s="58">
        <v>2020</v>
      </c>
      <c r="T291" s="61">
        <v>0.23899999999999999</v>
      </c>
      <c r="U291" s="83">
        <f t="shared" si="16"/>
        <v>2577.6149999999998</v>
      </c>
      <c r="V291" s="14">
        <f t="shared" si="17"/>
        <v>275.68074866310161</v>
      </c>
      <c r="W291" s="15">
        <f t="shared" si="8"/>
        <v>0</v>
      </c>
      <c r="X291" s="15">
        <f t="shared" si="9"/>
        <v>0</v>
      </c>
      <c r="Y291" s="15">
        <f t="shared" si="10"/>
        <v>0</v>
      </c>
      <c r="Z291" s="13">
        <f t="shared" si="11"/>
        <v>0</v>
      </c>
      <c r="AA291" s="16">
        <f>VLOOKUP(S291,[1]CPI!$A$2:$D$67,4,0)</f>
        <v>1.0469802288156225</v>
      </c>
      <c r="AB291" s="17">
        <f t="shared" si="18"/>
        <v>2698.7119424985804</v>
      </c>
      <c r="AC291" s="17">
        <f t="shared" si="19"/>
        <v>288.63229331535621</v>
      </c>
      <c r="AD291" s="57" t="s">
        <v>35</v>
      </c>
      <c r="AE291" s="63" t="s">
        <v>738</v>
      </c>
      <c r="AF291" s="27"/>
      <c r="AG291" s="27"/>
      <c r="AH291" s="27"/>
      <c r="AI291" s="27"/>
      <c r="AJ291" s="28"/>
      <c r="AK291" s="28"/>
      <c r="AL291" s="28"/>
      <c r="AM291" s="28"/>
      <c r="AN291" s="28"/>
      <c r="AO291" s="28"/>
      <c r="AP291" s="28"/>
      <c r="AQ291" s="28"/>
    </row>
    <row r="292" spans="1:43" ht="15.75" customHeight="1" x14ac:dyDescent="0.2">
      <c r="A292" s="21">
        <v>7713</v>
      </c>
      <c r="B292" s="54" t="s">
        <v>672</v>
      </c>
      <c r="C292" s="54" t="s">
        <v>737</v>
      </c>
      <c r="D292" s="54" t="s">
        <v>182</v>
      </c>
      <c r="E292" s="54" t="s">
        <v>742</v>
      </c>
      <c r="F292" s="72">
        <v>2020</v>
      </c>
      <c r="G292" s="72">
        <v>2022</v>
      </c>
      <c r="H292" s="72">
        <v>0</v>
      </c>
      <c r="I292" s="72">
        <v>8.0500000000000007</v>
      </c>
      <c r="J292" s="73">
        <v>1</v>
      </c>
      <c r="K292" s="72">
        <v>8.0500000000000007</v>
      </c>
      <c r="L292" s="54"/>
      <c r="M292" s="54"/>
      <c r="N292" s="72">
        <v>6</v>
      </c>
      <c r="O292" s="72">
        <v>138</v>
      </c>
      <c r="P292" s="54"/>
      <c r="Q292" s="65">
        <v>9094</v>
      </c>
      <c r="R292" s="54" t="s">
        <v>676</v>
      </c>
      <c r="S292" s="54">
        <v>2021</v>
      </c>
      <c r="T292" s="61">
        <v>0.23899999999999999</v>
      </c>
      <c r="U292" s="69">
        <f t="shared" si="16"/>
        <v>2173.4659999999999</v>
      </c>
      <c r="V292" s="70">
        <f t="shared" si="17"/>
        <v>269.9957763975155</v>
      </c>
      <c r="W292" s="15">
        <f t="shared" si="8"/>
        <v>0</v>
      </c>
      <c r="X292" s="15">
        <f t="shared" si="9"/>
        <v>0</v>
      </c>
      <c r="Y292" s="15">
        <f t="shared" si="10"/>
        <v>0</v>
      </c>
      <c r="Z292" s="13">
        <f t="shared" si="11"/>
        <v>0</v>
      </c>
      <c r="AA292" s="16">
        <f>VLOOKUP(S292,[1]CPI!$A$2:$D$67,4,0)</f>
        <v>1</v>
      </c>
      <c r="AB292" s="17">
        <f t="shared" si="18"/>
        <v>2173.4659999999999</v>
      </c>
      <c r="AC292" s="17">
        <f t="shared" si="19"/>
        <v>269.9957763975155</v>
      </c>
      <c r="AD292" s="54"/>
      <c r="AE292" s="84" t="s">
        <v>743</v>
      </c>
      <c r="AF292" s="85"/>
      <c r="AG292" s="54"/>
      <c r="AH292" s="57"/>
      <c r="AI292" s="54"/>
      <c r="AJ292" s="82"/>
      <c r="AK292" s="82"/>
      <c r="AL292" s="82"/>
      <c r="AM292" s="82"/>
      <c r="AN292" s="82"/>
      <c r="AO292" s="82"/>
      <c r="AP292" s="82"/>
      <c r="AQ292" s="82"/>
    </row>
    <row r="293" spans="1:43" ht="15.75" customHeight="1" x14ac:dyDescent="0.2">
      <c r="A293" s="21">
        <v>7714</v>
      </c>
      <c r="B293" s="54" t="s">
        <v>672</v>
      </c>
      <c r="C293" s="54" t="s">
        <v>737</v>
      </c>
      <c r="D293" s="9" t="s">
        <v>688</v>
      </c>
      <c r="E293" s="54" t="s">
        <v>744</v>
      </c>
      <c r="F293" s="72">
        <v>2021</v>
      </c>
      <c r="G293" s="54"/>
      <c r="H293" s="72">
        <v>0</v>
      </c>
      <c r="I293" s="72">
        <v>19.295999999999999</v>
      </c>
      <c r="J293" s="73">
        <v>1</v>
      </c>
      <c r="K293" s="72">
        <v>19.295999999999999</v>
      </c>
      <c r="L293" s="54"/>
      <c r="M293" s="54"/>
      <c r="N293" s="72">
        <v>11</v>
      </c>
      <c r="O293" s="72">
        <v>184</v>
      </c>
      <c r="P293" s="54"/>
      <c r="Q293" s="65">
        <v>27880</v>
      </c>
      <c r="R293" s="54" t="s">
        <v>676</v>
      </c>
      <c r="S293" s="54">
        <v>2021</v>
      </c>
      <c r="T293" s="61">
        <v>0.23899999999999999</v>
      </c>
      <c r="U293" s="69">
        <f t="shared" si="16"/>
        <v>6663.32</v>
      </c>
      <c r="V293" s="70">
        <f t="shared" si="17"/>
        <v>345.32131011608624</v>
      </c>
      <c r="W293" s="15">
        <f t="shared" si="8"/>
        <v>0</v>
      </c>
      <c r="X293" s="15">
        <f t="shared" si="9"/>
        <v>0</v>
      </c>
      <c r="Y293" s="15">
        <f t="shared" si="10"/>
        <v>0</v>
      </c>
      <c r="Z293" s="13">
        <f t="shared" si="11"/>
        <v>0</v>
      </c>
      <c r="AA293" s="16">
        <f>VLOOKUP(S293,[1]CPI!$A$2:$D$67,4,0)</f>
        <v>1</v>
      </c>
      <c r="AB293" s="17">
        <f t="shared" si="18"/>
        <v>6663.32</v>
      </c>
      <c r="AC293" s="17">
        <f t="shared" si="19"/>
        <v>345.32131011608624</v>
      </c>
      <c r="AD293" s="54" t="s">
        <v>73</v>
      </c>
      <c r="AE293" s="46" t="s">
        <v>745</v>
      </c>
      <c r="AF293" s="54"/>
      <c r="AG293" s="54"/>
      <c r="AH293" s="8"/>
      <c r="AI293" s="54"/>
      <c r="AJ293" s="82"/>
      <c r="AK293" s="82"/>
      <c r="AL293" s="82"/>
      <c r="AM293" s="82"/>
      <c r="AN293" s="82"/>
      <c r="AO293" s="82"/>
      <c r="AP293" s="82"/>
      <c r="AQ293" s="82"/>
    </row>
    <row r="294" spans="1:43" ht="15.75" customHeight="1" x14ac:dyDescent="0.2">
      <c r="A294" s="21">
        <v>7715</v>
      </c>
      <c r="B294" s="57" t="s">
        <v>672</v>
      </c>
      <c r="C294" s="57" t="s">
        <v>737</v>
      </c>
      <c r="D294" s="9" t="s">
        <v>688</v>
      </c>
      <c r="E294" s="57" t="s">
        <v>746</v>
      </c>
      <c r="F294" s="58">
        <v>2020</v>
      </c>
      <c r="G294" s="58">
        <v>2025</v>
      </c>
      <c r="H294" s="58">
        <v>0</v>
      </c>
      <c r="I294" s="58">
        <v>4.47</v>
      </c>
      <c r="J294" s="59">
        <v>1</v>
      </c>
      <c r="K294" s="58">
        <v>4.47</v>
      </c>
      <c r="L294" s="58">
        <v>0</v>
      </c>
      <c r="M294" s="58">
        <v>0</v>
      </c>
      <c r="N294" s="58">
        <v>3</v>
      </c>
      <c r="O294" s="57"/>
      <c r="P294" s="57" t="s">
        <v>35</v>
      </c>
      <c r="Q294" s="67">
        <f>4.962*10^3</f>
        <v>4962</v>
      </c>
      <c r="R294" s="57" t="s">
        <v>676</v>
      </c>
      <c r="S294" s="58">
        <v>2020</v>
      </c>
      <c r="T294" s="61">
        <v>0.23899999999999999</v>
      </c>
      <c r="U294" s="62">
        <f t="shared" si="16"/>
        <v>1185.9179999999999</v>
      </c>
      <c r="V294" s="14">
        <f t="shared" si="17"/>
        <v>265.30604026845634</v>
      </c>
      <c r="W294" s="15">
        <f t="shared" si="8"/>
        <v>0</v>
      </c>
      <c r="X294" s="15">
        <f t="shared" si="9"/>
        <v>0</v>
      </c>
      <c r="Y294" s="15">
        <f t="shared" si="10"/>
        <v>0</v>
      </c>
      <c r="Z294" s="13">
        <f t="shared" si="11"/>
        <v>0</v>
      </c>
      <c r="AA294" s="16">
        <f>VLOOKUP(S294,[1]CPI!$A$2:$D$67,4,0)</f>
        <v>1.0469802288156225</v>
      </c>
      <c r="AB294" s="17">
        <f t="shared" si="18"/>
        <v>1241.6326989965653</v>
      </c>
      <c r="AC294" s="17">
        <f t="shared" si="19"/>
        <v>277.77017874643519</v>
      </c>
      <c r="AD294" s="19" t="s">
        <v>35</v>
      </c>
      <c r="AE294" s="66" t="s">
        <v>738</v>
      </c>
      <c r="AF294" s="27"/>
      <c r="AG294" s="27"/>
      <c r="AH294" s="27"/>
      <c r="AI294" s="27"/>
      <c r="AJ294" s="28"/>
      <c r="AK294" s="28"/>
      <c r="AL294" s="28"/>
      <c r="AM294" s="28"/>
      <c r="AN294" s="28"/>
      <c r="AO294" s="28"/>
      <c r="AP294" s="28"/>
      <c r="AQ294" s="28"/>
    </row>
    <row r="295" spans="1:43" ht="15.75" customHeight="1" x14ac:dyDescent="0.2">
      <c r="A295" s="86">
        <v>7720</v>
      </c>
      <c r="B295" s="57" t="s">
        <v>672</v>
      </c>
      <c r="C295" s="57" t="s">
        <v>737</v>
      </c>
      <c r="D295" s="9" t="s">
        <v>747</v>
      </c>
      <c r="E295" s="57" t="s">
        <v>748</v>
      </c>
      <c r="F295" s="57" t="s">
        <v>749</v>
      </c>
      <c r="G295" s="57"/>
      <c r="H295" s="58">
        <v>0</v>
      </c>
      <c r="I295" s="58">
        <v>9.5299999999999994</v>
      </c>
      <c r="J295" s="59">
        <v>1</v>
      </c>
      <c r="K295" s="58">
        <v>9.5299999999999994</v>
      </c>
      <c r="L295" s="58">
        <v>0</v>
      </c>
      <c r="M295" s="58">
        <v>0</v>
      </c>
      <c r="N295" s="58">
        <v>7</v>
      </c>
      <c r="O295" s="57">
        <v>138</v>
      </c>
      <c r="P295" s="57" t="s">
        <v>35</v>
      </c>
      <c r="Q295" s="67">
        <f>10.995*10^3</f>
        <v>10995</v>
      </c>
      <c r="R295" s="57" t="s">
        <v>676</v>
      </c>
      <c r="S295" s="58">
        <v>2020</v>
      </c>
      <c r="T295" s="61">
        <v>0.23899999999999999</v>
      </c>
      <c r="U295" s="62">
        <f t="shared" si="16"/>
        <v>2627.8049999999998</v>
      </c>
      <c r="V295" s="14">
        <f t="shared" si="17"/>
        <v>275.74029380902414</v>
      </c>
      <c r="W295" s="15">
        <f t="shared" si="8"/>
        <v>0</v>
      </c>
      <c r="X295" s="15">
        <f t="shared" si="9"/>
        <v>0</v>
      </c>
      <c r="Y295" s="15">
        <f t="shared" si="10"/>
        <v>0</v>
      </c>
      <c r="Z295" s="13">
        <f t="shared" si="11"/>
        <v>0</v>
      </c>
      <c r="AA295" s="16">
        <f>VLOOKUP(S295,[1]CPI!$A$2:$D$67,4,0)</f>
        <v>1.0469802288156225</v>
      </c>
      <c r="AB295" s="17">
        <f t="shared" si="18"/>
        <v>2751.2598801828367</v>
      </c>
      <c r="AC295" s="17">
        <f t="shared" si="19"/>
        <v>288.69463590585906</v>
      </c>
      <c r="AD295" s="19" t="s">
        <v>35</v>
      </c>
      <c r="AE295" s="66" t="s">
        <v>738</v>
      </c>
      <c r="AF295" s="27"/>
      <c r="AG295" s="27"/>
      <c r="AH295" s="27"/>
      <c r="AI295" s="27"/>
      <c r="AJ295" s="28"/>
      <c r="AK295" s="28"/>
      <c r="AL295" s="28"/>
      <c r="AM295" s="28"/>
      <c r="AN295" s="28"/>
      <c r="AO295" s="28"/>
      <c r="AP295" s="28"/>
      <c r="AQ295" s="28"/>
    </row>
    <row r="296" spans="1:43" ht="15.75" customHeight="1" x14ac:dyDescent="0.2">
      <c r="A296" s="7">
        <v>7721</v>
      </c>
      <c r="B296" s="57" t="s">
        <v>672</v>
      </c>
      <c r="C296" s="57" t="s">
        <v>737</v>
      </c>
      <c r="D296" s="9" t="s">
        <v>283</v>
      </c>
      <c r="E296" s="57" t="s">
        <v>750</v>
      </c>
      <c r="F296" s="57" t="s">
        <v>749</v>
      </c>
      <c r="G296" s="57"/>
      <c r="H296" s="58">
        <v>0</v>
      </c>
      <c r="I296" s="58">
        <v>2.4500000000000002</v>
      </c>
      <c r="J296" s="59">
        <v>1</v>
      </c>
      <c r="K296" s="58">
        <v>2.4500000000000002</v>
      </c>
      <c r="L296" s="58">
        <v>0</v>
      </c>
      <c r="M296" s="58">
        <v>0</v>
      </c>
      <c r="N296" s="58">
        <v>2</v>
      </c>
      <c r="O296" s="57"/>
      <c r="P296" s="57" t="s">
        <v>35</v>
      </c>
      <c r="Q296" s="67">
        <f>2.806*10^3</f>
        <v>2806</v>
      </c>
      <c r="R296" s="57" t="s">
        <v>676</v>
      </c>
      <c r="S296" s="58">
        <v>2020</v>
      </c>
      <c r="T296" s="61">
        <v>0.23899999999999999</v>
      </c>
      <c r="U296" s="62">
        <f t="shared" si="16"/>
        <v>670.63400000000001</v>
      </c>
      <c r="V296" s="14">
        <f t="shared" si="17"/>
        <v>273.72816326530614</v>
      </c>
      <c r="W296" s="15">
        <f t="shared" si="8"/>
        <v>0</v>
      </c>
      <c r="X296" s="15">
        <f t="shared" si="9"/>
        <v>0</v>
      </c>
      <c r="Y296" s="15">
        <f t="shared" si="10"/>
        <v>0</v>
      </c>
      <c r="Z296" s="13">
        <f t="shared" si="11"/>
        <v>0</v>
      </c>
      <c r="AA296" s="16">
        <f>VLOOKUP(S296,[1]CPI!$A$2:$D$67,4,0)</f>
        <v>1.0469802288156225</v>
      </c>
      <c r="AB296" s="17">
        <f t="shared" si="18"/>
        <v>702.14053877153617</v>
      </c>
      <c r="AC296" s="17">
        <f t="shared" si="19"/>
        <v>286.58797500879029</v>
      </c>
      <c r="AD296" s="19" t="s">
        <v>35</v>
      </c>
      <c r="AE296" s="66" t="s">
        <v>738</v>
      </c>
      <c r="AF296" s="27"/>
      <c r="AG296" s="27"/>
      <c r="AH296" s="27"/>
      <c r="AI296" s="27"/>
      <c r="AJ296" s="28"/>
      <c r="AK296" s="28"/>
      <c r="AL296" s="28"/>
      <c r="AM296" s="28"/>
      <c r="AN296" s="28"/>
      <c r="AO296" s="28"/>
      <c r="AP296" s="28"/>
      <c r="AQ296" s="28"/>
    </row>
    <row r="297" spans="1:43" ht="15.75" customHeight="1" x14ac:dyDescent="0.2">
      <c r="A297" s="7">
        <v>7722</v>
      </c>
      <c r="B297" s="57" t="s">
        <v>672</v>
      </c>
      <c r="C297" s="57" t="s">
        <v>737</v>
      </c>
      <c r="D297" s="9" t="s">
        <v>674</v>
      </c>
      <c r="E297" s="57" t="s">
        <v>751</v>
      </c>
      <c r="F297" s="57"/>
      <c r="G297" s="58">
        <v>2025</v>
      </c>
      <c r="H297" s="58">
        <v>0</v>
      </c>
      <c r="I297" s="58">
        <v>4.26</v>
      </c>
      <c r="J297" s="59">
        <v>1</v>
      </c>
      <c r="K297" s="58">
        <v>4.26</v>
      </c>
      <c r="L297" s="57">
        <v>0</v>
      </c>
      <c r="M297" s="57">
        <v>0</v>
      </c>
      <c r="N297" s="57"/>
      <c r="O297" s="57"/>
      <c r="P297" s="57" t="s">
        <v>35</v>
      </c>
      <c r="Q297" s="67">
        <f>8.318*10^3</f>
        <v>8318</v>
      </c>
      <c r="R297" s="57" t="s">
        <v>676</v>
      </c>
      <c r="S297" s="58">
        <v>2020</v>
      </c>
      <c r="T297" s="61">
        <v>0.23899999999999999</v>
      </c>
      <c r="U297" s="62">
        <f t="shared" si="16"/>
        <v>1988.002</v>
      </c>
      <c r="V297" s="14">
        <f t="shared" si="17"/>
        <v>466.66713615023474</v>
      </c>
      <c r="W297" s="15">
        <f t="shared" si="8"/>
        <v>0</v>
      </c>
      <c r="X297" s="15">
        <f t="shared" si="9"/>
        <v>0</v>
      </c>
      <c r="Y297" s="15">
        <f t="shared" si="10"/>
        <v>0</v>
      </c>
      <c r="Z297" s="13">
        <f t="shared" si="11"/>
        <v>0</v>
      </c>
      <c r="AA297" s="16">
        <f>VLOOKUP(S297,[1]CPI!$A$2:$D$67,4,0)</f>
        <v>1.0469802288156225</v>
      </c>
      <c r="AB297" s="17">
        <f t="shared" si="18"/>
        <v>2081.3987888459151</v>
      </c>
      <c r="AC297" s="17">
        <f t="shared" si="19"/>
        <v>488.59126498730399</v>
      </c>
      <c r="AD297" s="57" t="s">
        <v>35</v>
      </c>
      <c r="AE297" s="63" t="s">
        <v>738</v>
      </c>
      <c r="AF297" s="27"/>
      <c r="AG297" s="27"/>
      <c r="AH297" s="27"/>
      <c r="AI297" s="27"/>
      <c r="AJ297" s="28"/>
      <c r="AK297" s="28"/>
      <c r="AL297" s="28"/>
      <c r="AM297" s="28"/>
      <c r="AN297" s="28"/>
      <c r="AO297" s="28"/>
      <c r="AP297" s="28"/>
      <c r="AQ297" s="28"/>
    </row>
    <row r="298" spans="1:43" ht="15.75" customHeight="1" x14ac:dyDescent="0.2">
      <c r="A298" s="7">
        <v>7723</v>
      </c>
      <c r="B298" s="57" t="s">
        <v>672</v>
      </c>
      <c r="C298" s="57" t="s">
        <v>737</v>
      </c>
      <c r="D298" s="9" t="s">
        <v>124</v>
      </c>
      <c r="E298" s="57" t="s">
        <v>727</v>
      </c>
      <c r="F298" s="57" t="s">
        <v>749</v>
      </c>
      <c r="G298" s="57"/>
      <c r="H298" s="58">
        <v>0</v>
      </c>
      <c r="I298" s="58">
        <v>5.58</v>
      </c>
      <c r="J298" s="59">
        <v>1</v>
      </c>
      <c r="K298" s="58">
        <v>5.58</v>
      </c>
      <c r="L298" s="58">
        <v>0</v>
      </c>
      <c r="M298" s="58">
        <v>0</v>
      </c>
      <c r="N298" s="58">
        <v>3</v>
      </c>
      <c r="O298" s="57"/>
      <c r="P298" s="57" t="s">
        <v>35</v>
      </c>
      <c r="Q298" s="67">
        <f>6.634*10^3</f>
        <v>6634</v>
      </c>
      <c r="R298" s="57" t="s">
        <v>676</v>
      </c>
      <c r="S298" s="58">
        <v>2020</v>
      </c>
      <c r="T298" s="61">
        <v>0.23899999999999999</v>
      </c>
      <c r="U298" s="62">
        <f t="shared" si="16"/>
        <v>1585.5259999999998</v>
      </c>
      <c r="V298" s="14">
        <f t="shared" si="17"/>
        <v>284.14444444444439</v>
      </c>
      <c r="W298" s="15">
        <f t="shared" si="8"/>
        <v>0</v>
      </c>
      <c r="X298" s="15">
        <f t="shared" si="9"/>
        <v>0</v>
      </c>
      <c r="Y298" s="15">
        <f t="shared" si="10"/>
        <v>0</v>
      </c>
      <c r="Z298" s="13">
        <f t="shared" si="11"/>
        <v>0</v>
      </c>
      <c r="AA298" s="16">
        <f>VLOOKUP(S298,[1]CPI!$A$2:$D$67,4,0)</f>
        <v>1.0469802288156225</v>
      </c>
      <c r="AB298" s="17">
        <f t="shared" si="18"/>
        <v>1660.0143742731184</v>
      </c>
      <c r="AC298" s="17">
        <f t="shared" si="19"/>
        <v>297.49361546113232</v>
      </c>
      <c r="AD298" s="57" t="s">
        <v>35</v>
      </c>
      <c r="AE298" s="63" t="s">
        <v>738</v>
      </c>
      <c r="AF298" s="27"/>
      <c r="AG298" s="27"/>
      <c r="AH298" s="27"/>
      <c r="AI298" s="27"/>
      <c r="AJ298" s="28"/>
      <c r="AK298" s="28"/>
      <c r="AL298" s="28"/>
      <c r="AM298" s="28"/>
      <c r="AN298" s="28"/>
      <c r="AO298" s="28"/>
      <c r="AP298" s="28"/>
      <c r="AQ298" s="28"/>
    </row>
    <row r="299" spans="1:43" ht="15" customHeight="1" x14ac:dyDescent="0.2">
      <c r="A299" s="7">
        <v>7728</v>
      </c>
      <c r="B299" s="54" t="s">
        <v>672</v>
      </c>
      <c r="C299" s="54" t="s">
        <v>737</v>
      </c>
      <c r="D299" s="54"/>
      <c r="E299" s="54" t="s">
        <v>752</v>
      </c>
      <c r="F299" s="72">
        <v>2022</v>
      </c>
      <c r="G299" s="54"/>
      <c r="H299" s="72">
        <v>0</v>
      </c>
      <c r="I299" s="72">
        <v>8.43</v>
      </c>
      <c r="J299" s="73">
        <v>1</v>
      </c>
      <c r="K299" s="72">
        <v>8.43</v>
      </c>
      <c r="L299" s="54"/>
      <c r="M299" s="54"/>
      <c r="N299" s="72">
        <v>5</v>
      </c>
      <c r="O299" s="72">
        <v>184</v>
      </c>
      <c r="P299" s="54"/>
      <c r="Q299" s="65">
        <v>11206</v>
      </c>
      <c r="R299" s="54" t="s">
        <v>676</v>
      </c>
      <c r="S299" s="54">
        <v>2021</v>
      </c>
      <c r="T299" s="61">
        <v>0.23899999999999999</v>
      </c>
      <c r="U299" s="69">
        <f t="shared" si="16"/>
        <v>2678.2339999999999</v>
      </c>
      <c r="V299" s="70">
        <f t="shared" si="17"/>
        <v>317.70272835112695</v>
      </c>
      <c r="W299" s="15">
        <f t="shared" si="8"/>
        <v>0</v>
      </c>
      <c r="X299" s="15">
        <f t="shared" si="9"/>
        <v>0</v>
      </c>
      <c r="Y299" s="15">
        <f t="shared" si="10"/>
        <v>0</v>
      </c>
      <c r="Z299" s="13">
        <f t="shared" si="11"/>
        <v>0</v>
      </c>
      <c r="AA299" s="16">
        <f>VLOOKUP(S299,[1]CPI!$A$2:$D$67,4,0)</f>
        <v>1</v>
      </c>
      <c r="AB299" s="17">
        <f t="shared" si="18"/>
        <v>2678.2339999999999</v>
      </c>
      <c r="AC299" s="17">
        <f t="shared" si="19"/>
        <v>317.70272835112695</v>
      </c>
      <c r="AD299" s="54"/>
      <c r="AE299" s="46" t="s">
        <v>753</v>
      </c>
      <c r="AF299" s="80" t="s">
        <v>754</v>
      </c>
      <c r="AG299" s="81"/>
      <c r="AH299" s="81"/>
      <c r="AI299" s="81"/>
      <c r="AJ299" s="82"/>
      <c r="AK299" s="82"/>
      <c r="AL299" s="82"/>
      <c r="AM299" s="82"/>
      <c r="AN299" s="82"/>
      <c r="AO299" s="82"/>
      <c r="AP299" s="82"/>
      <c r="AQ299" s="82"/>
    </row>
    <row r="300" spans="1:43" ht="15.75" customHeight="1" x14ac:dyDescent="0.2">
      <c r="A300" s="7">
        <v>7729</v>
      </c>
      <c r="B300" s="57" t="s">
        <v>672</v>
      </c>
      <c r="C300" s="57" t="s">
        <v>755</v>
      </c>
      <c r="D300" s="9"/>
      <c r="E300" s="57" t="s">
        <v>679</v>
      </c>
      <c r="F300" s="58">
        <v>2007</v>
      </c>
      <c r="G300" s="58">
        <v>2012</v>
      </c>
      <c r="H300" s="58">
        <v>0</v>
      </c>
      <c r="I300" s="58">
        <v>48</v>
      </c>
      <c r="J300" s="79"/>
      <c r="K300" s="57"/>
      <c r="L300" s="58" t="e">
        <v>#N/A</v>
      </c>
      <c r="M300" s="58" t="e">
        <v>#N/A</v>
      </c>
      <c r="N300" s="58">
        <v>31</v>
      </c>
      <c r="O300" s="57"/>
      <c r="P300" s="57" t="s">
        <v>35</v>
      </c>
      <c r="Q300" s="67">
        <f>(137.86+82.9)*10^2</f>
        <v>22076.000000000004</v>
      </c>
      <c r="R300" s="57" t="s">
        <v>676</v>
      </c>
      <c r="S300" s="58">
        <v>2007</v>
      </c>
      <c r="T300" s="61">
        <v>0.33300000000000002</v>
      </c>
      <c r="U300" s="62">
        <f t="shared" si="16"/>
        <v>7351.3080000000018</v>
      </c>
      <c r="V300" s="14">
        <f t="shared" si="17"/>
        <v>153.15225000000004</v>
      </c>
      <c r="W300" s="15">
        <f t="shared" si="8"/>
        <v>0</v>
      </c>
      <c r="X300" s="15">
        <f t="shared" si="9"/>
        <v>0</v>
      </c>
      <c r="Y300" s="15">
        <f t="shared" si="10"/>
        <v>0</v>
      </c>
      <c r="Z300" s="13">
        <f t="shared" si="11"/>
        <v>0</v>
      </c>
      <c r="AA300" s="16">
        <f>VLOOKUP(S300,[1]CPI!$A$2:$D$67,4,0)</f>
        <v>1.3068746322500988</v>
      </c>
      <c r="AB300" s="17">
        <f t="shared" si="18"/>
        <v>9607.2379390572114</v>
      </c>
      <c r="AC300" s="17">
        <f t="shared" si="19"/>
        <v>200.15079039702525</v>
      </c>
      <c r="AD300" s="57" t="s">
        <v>35</v>
      </c>
      <c r="AE300" s="57" t="s">
        <v>756</v>
      </c>
      <c r="AF300" s="9"/>
      <c r="AG300" s="54"/>
      <c r="AH300" s="54"/>
      <c r="AI300" s="54"/>
      <c r="AJ300" s="87"/>
      <c r="AK300" s="87"/>
      <c r="AL300" s="87"/>
      <c r="AM300" s="87"/>
      <c r="AN300" s="87"/>
      <c r="AO300" s="87"/>
      <c r="AP300" s="87"/>
    </row>
    <row r="301" spans="1:43" ht="15.75" customHeight="1" x14ac:dyDescent="0.2">
      <c r="A301" s="7">
        <v>7730</v>
      </c>
      <c r="B301" s="57" t="s">
        <v>672</v>
      </c>
      <c r="C301" s="57" t="s">
        <v>757</v>
      </c>
      <c r="D301" s="9" t="s">
        <v>92</v>
      </c>
      <c r="E301" s="57" t="s">
        <v>679</v>
      </c>
      <c r="F301" s="58">
        <v>2000</v>
      </c>
      <c r="G301" s="58">
        <v>2005</v>
      </c>
      <c r="H301" s="58">
        <v>0</v>
      </c>
      <c r="I301" s="58">
        <v>21.72</v>
      </c>
      <c r="J301" s="59">
        <v>0.65976058930000003</v>
      </c>
      <c r="K301" s="58">
        <v>14.33</v>
      </c>
      <c r="L301" s="58">
        <v>6.05</v>
      </c>
      <c r="M301" s="58">
        <v>1.552</v>
      </c>
      <c r="N301" s="58">
        <v>16</v>
      </c>
      <c r="O301" s="57"/>
      <c r="P301" s="57" t="s">
        <v>43</v>
      </c>
      <c r="Q301" s="67">
        <f>8.5*10^3</f>
        <v>8500</v>
      </c>
      <c r="R301" s="57" t="s">
        <v>676</v>
      </c>
      <c r="S301" s="58">
        <v>2000</v>
      </c>
      <c r="T301" s="61">
        <v>0.36699999999999999</v>
      </c>
      <c r="U301" s="62">
        <f t="shared" si="16"/>
        <v>3119.5</v>
      </c>
      <c r="V301" s="14">
        <f t="shared" si="17"/>
        <v>143.62338858195213</v>
      </c>
      <c r="W301" s="15">
        <f t="shared" si="8"/>
        <v>0</v>
      </c>
      <c r="X301" s="15">
        <f t="shared" si="9"/>
        <v>0</v>
      </c>
      <c r="Y301" s="15">
        <f t="shared" si="10"/>
        <v>0</v>
      </c>
      <c r="Z301" s="13">
        <f t="shared" si="11"/>
        <v>0</v>
      </c>
      <c r="AA301" s="16">
        <f>VLOOKUP(S301,[1]CPI!$A$2:$D$67,4,0)</f>
        <v>1.5735772357723581</v>
      </c>
      <c r="AB301" s="17">
        <f t="shared" si="18"/>
        <v>4908.7741869918709</v>
      </c>
      <c r="AC301" s="17">
        <f t="shared" si="19"/>
        <v>226.00249479704749</v>
      </c>
      <c r="AD301" s="57" t="s">
        <v>43</v>
      </c>
      <c r="AE301" s="63" t="s">
        <v>758</v>
      </c>
      <c r="AF301" s="27"/>
      <c r="AG301" s="27"/>
      <c r="AH301" s="27"/>
      <c r="AI301" s="27"/>
      <c r="AJ301" s="28"/>
      <c r="AK301" s="28"/>
      <c r="AL301" s="28"/>
      <c r="AM301" s="28"/>
      <c r="AN301" s="28"/>
      <c r="AO301" s="28"/>
      <c r="AP301" s="28"/>
      <c r="AQ301" s="28"/>
    </row>
    <row r="302" spans="1:43" ht="15.75" customHeight="1" x14ac:dyDescent="0.2">
      <c r="A302" s="7">
        <v>7731</v>
      </c>
      <c r="B302" s="57" t="s">
        <v>672</v>
      </c>
      <c r="C302" s="57" t="s">
        <v>759</v>
      </c>
      <c r="D302" s="9" t="s">
        <v>92</v>
      </c>
      <c r="E302" s="57" t="s">
        <v>679</v>
      </c>
      <c r="F302" s="58">
        <v>2000</v>
      </c>
      <c r="G302" s="58">
        <v>2003</v>
      </c>
      <c r="H302" s="58">
        <v>0</v>
      </c>
      <c r="I302" s="58">
        <v>10.234</v>
      </c>
      <c r="J302" s="59">
        <v>0</v>
      </c>
      <c r="K302" s="58">
        <v>0</v>
      </c>
      <c r="L302" s="58">
        <v>10.23</v>
      </c>
      <c r="M302" s="58">
        <v>0</v>
      </c>
      <c r="N302" s="58">
        <v>10</v>
      </c>
      <c r="O302" s="57">
        <v>78</v>
      </c>
      <c r="P302" s="57" t="s">
        <v>50</v>
      </c>
      <c r="Q302" s="67">
        <f>2.199*10^3</f>
        <v>2199</v>
      </c>
      <c r="R302" s="57" t="s">
        <v>676</v>
      </c>
      <c r="S302" s="58">
        <v>2000</v>
      </c>
      <c r="T302" s="61">
        <v>0.36699999999999999</v>
      </c>
      <c r="U302" s="62">
        <f t="shared" si="16"/>
        <v>807.03300000000002</v>
      </c>
      <c r="V302" s="14">
        <f t="shared" si="17"/>
        <v>78.858022278678916</v>
      </c>
      <c r="W302" s="15">
        <f t="shared" si="8"/>
        <v>0</v>
      </c>
      <c r="X302" s="15">
        <f t="shared" si="9"/>
        <v>0</v>
      </c>
      <c r="Y302" s="15">
        <f t="shared" si="10"/>
        <v>0</v>
      </c>
      <c r="Z302" s="13">
        <f t="shared" si="11"/>
        <v>0</v>
      </c>
      <c r="AA302" s="16">
        <f>VLOOKUP(S302,[1]CPI!$A$2:$D$67,4,0)</f>
        <v>1.5735772357723581</v>
      </c>
      <c r="AB302" s="17">
        <f t="shared" si="18"/>
        <v>1269.9287573170734</v>
      </c>
      <c r="AC302" s="17">
        <f t="shared" si="19"/>
        <v>124.0891887157586</v>
      </c>
      <c r="AD302" s="57" t="s">
        <v>43</v>
      </c>
      <c r="AE302" s="57" t="s">
        <v>760</v>
      </c>
      <c r="AF302" s="19"/>
      <c r="AG302" s="19"/>
      <c r="AH302" s="19"/>
      <c r="AI302" s="19"/>
      <c r="AJ302" s="20"/>
      <c r="AK302" s="20"/>
      <c r="AL302" s="20"/>
      <c r="AM302" s="20"/>
      <c r="AN302" s="20"/>
      <c r="AO302" s="20"/>
      <c r="AP302" s="20"/>
      <c r="AQ302" s="20"/>
    </row>
    <row r="303" spans="1:43" ht="15.75" customHeight="1" x14ac:dyDescent="0.2">
      <c r="A303" s="7">
        <v>7736</v>
      </c>
      <c r="B303" s="57" t="s">
        <v>672</v>
      </c>
      <c r="C303" s="57" t="s">
        <v>759</v>
      </c>
      <c r="D303" s="9" t="s">
        <v>92</v>
      </c>
      <c r="E303" s="57" t="s">
        <v>761</v>
      </c>
      <c r="F303" s="58">
        <v>2005</v>
      </c>
      <c r="G303" s="58">
        <v>2010</v>
      </c>
      <c r="H303" s="58">
        <v>0</v>
      </c>
      <c r="I303" s="58">
        <v>18.25</v>
      </c>
      <c r="J303" s="59">
        <v>0</v>
      </c>
      <c r="K303" s="58">
        <v>0</v>
      </c>
      <c r="L303" s="58">
        <v>18.25</v>
      </c>
      <c r="M303" s="58">
        <v>0</v>
      </c>
      <c r="N303" s="58">
        <v>16</v>
      </c>
      <c r="O303" s="57"/>
      <c r="P303" s="57" t="s">
        <v>43</v>
      </c>
      <c r="Q303" s="67">
        <f>4.6498*10^3</f>
        <v>4649.8</v>
      </c>
      <c r="R303" s="57" t="s">
        <v>676</v>
      </c>
      <c r="S303" s="58">
        <v>2005</v>
      </c>
      <c r="T303" s="61">
        <v>0.35189999999999999</v>
      </c>
      <c r="U303" s="62">
        <f t="shared" si="16"/>
        <v>1636.2646199999999</v>
      </c>
      <c r="V303" s="14">
        <f t="shared" si="17"/>
        <v>89.658335342465747</v>
      </c>
      <c r="W303" s="15">
        <f t="shared" si="8"/>
        <v>0</v>
      </c>
      <c r="X303" s="15">
        <f t="shared" si="9"/>
        <v>0</v>
      </c>
      <c r="Y303" s="15">
        <f t="shared" si="10"/>
        <v>0</v>
      </c>
      <c r="Z303" s="13">
        <f t="shared" si="11"/>
        <v>0</v>
      </c>
      <c r="AA303" s="16">
        <f>VLOOKUP(S303,[1]CPI!$A$2:$D$67,4,0)</f>
        <v>1.3874551971326166</v>
      </c>
      <c r="AB303" s="17">
        <f t="shared" si="18"/>
        <v>2270.2438509032258</v>
      </c>
      <c r="AC303" s="17">
        <f t="shared" si="19"/>
        <v>124.39692333716306</v>
      </c>
      <c r="AD303" s="57" t="s">
        <v>43</v>
      </c>
      <c r="AE303" s="57" t="s">
        <v>760</v>
      </c>
      <c r="AF303" s="19"/>
      <c r="AG303" s="19"/>
      <c r="AH303" s="19"/>
      <c r="AI303" s="19"/>
      <c r="AJ303" s="20"/>
      <c r="AK303" s="20"/>
      <c r="AL303" s="20"/>
      <c r="AM303" s="20"/>
      <c r="AN303" s="20"/>
      <c r="AO303" s="20"/>
      <c r="AP303" s="20"/>
      <c r="AQ303" s="20"/>
    </row>
    <row r="304" spans="1:43" ht="15.75" customHeight="1" x14ac:dyDescent="0.2">
      <c r="A304" s="7">
        <v>7737</v>
      </c>
      <c r="B304" s="57" t="s">
        <v>672</v>
      </c>
      <c r="C304" s="57" t="s">
        <v>759</v>
      </c>
      <c r="D304" s="9" t="s">
        <v>92</v>
      </c>
      <c r="E304" s="57" t="s">
        <v>762</v>
      </c>
      <c r="F304" s="58">
        <v>2011</v>
      </c>
      <c r="G304" s="58">
        <v>2013</v>
      </c>
      <c r="H304" s="58">
        <v>0</v>
      </c>
      <c r="I304" s="58">
        <v>5.7</v>
      </c>
      <c r="J304" s="59">
        <v>0</v>
      </c>
      <c r="K304" s="58">
        <v>0</v>
      </c>
      <c r="L304" s="58">
        <v>5.7</v>
      </c>
      <c r="M304" s="58">
        <v>0</v>
      </c>
      <c r="N304" s="58">
        <v>3</v>
      </c>
      <c r="O304" s="57"/>
      <c r="P304" s="57" t="s">
        <v>43</v>
      </c>
      <c r="Q304" s="67">
        <f>2.361*10^3</f>
        <v>2361</v>
      </c>
      <c r="R304" s="57" t="s">
        <v>676</v>
      </c>
      <c r="S304" s="58">
        <v>2011</v>
      </c>
      <c r="T304" s="61">
        <v>0.28399999999999997</v>
      </c>
      <c r="U304" s="62">
        <f t="shared" si="16"/>
        <v>670.52399999999989</v>
      </c>
      <c r="V304" s="14">
        <f t="shared" si="17"/>
        <v>117.63578947368418</v>
      </c>
      <c r="W304" s="15">
        <f t="shared" si="8"/>
        <v>0</v>
      </c>
      <c r="X304" s="15">
        <f t="shared" si="9"/>
        <v>0</v>
      </c>
      <c r="Y304" s="15">
        <f t="shared" si="10"/>
        <v>0</v>
      </c>
      <c r="Z304" s="13">
        <f t="shared" si="11"/>
        <v>0</v>
      </c>
      <c r="AA304" s="16">
        <f>VLOOKUP(S304,[1]CPI!$A$2:$D$67,4,0)</f>
        <v>1.2046377017769263</v>
      </c>
      <c r="AB304" s="17">
        <f t="shared" si="18"/>
        <v>807.73849034627165</v>
      </c>
      <c r="AC304" s="17">
        <f t="shared" si="19"/>
        <v>141.70850707829325</v>
      </c>
      <c r="AD304" s="57" t="s">
        <v>43</v>
      </c>
      <c r="AE304" s="57" t="s">
        <v>763</v>
      </c>
      <c r="AF304" s="19"/>
      <c r="AG304" s="19"/>
      <c r="AH304" s="19"/>
      <c r="AI304" s="19"/>
      <c r="AJ304" s="20"/>
      <c r="AK304" s="20"/>
      <c r="AL304" s="20"/>
      <c r="AM304" s="20"/>
      <c r="AN304" s="20"/>
      <c r="AO304" s="20"/>
      <c r="AP304" s="20"/>
      <c r="AQ304" s="20"/>
    </row>
    <row r="305" spans="1:43" ht="15.75" customHeight="1" x14ac:dyDescent="0.2">
      <c r="A305" s="7">
        <v>7738</v>
      </c>
      <c r="B305" s="57" t="s">
        <v>672</v>
      </c>
      <c r="C305" s="57" t="s">
        <v>759</v>
      </c>
      <c r="D305" s="9" t="s">
        <v>99</v>
      </c>
      <c r="E305" s="57" t="s">
        <v>698</v>
      </c>
      <c r="F305" s="58">
        <v>2006</v>
      </c>
      <c r="G305" s="58">
        <v>2012</v>
      </c>
      <c r="H305" s="58">
        <v>0</v>
      </c>
      <c r="I305" s="58">
        <v>27.984999999999999</v>
      </c>
      <c r="J305" s="59">
        <v>1</v>
      </c>
      <c r="K305" s="58">
        <v>27.984999999999999</v>
      </c>
      <c r="L305" s="58">
        <v>0</v>
      </c>
      <c r="M305" s="58">
        <v>0</v>
      </c>
      <c r="N305" s="58">
        <v>21</v>
      </c>
      <c r="O305" s="57"/>
      <c r="P305" s="57" t="s">
        <v>43</v>
      </c>
      <c r="Q305" s="60"/>
      <c r="R305" s="57" t="s">
        <v>676</v>
      </c>
      <c r="S305" s="58">
        <v>2009</v>
      </c>
      <c r="T305" s="61">
        <v>0.317</v>
      </c>
      <c r="U305" s="69"/>
      <c r="V305" s="70"/>
      <c r="W305" s="15">
        <f t="shared" si="8"/>
        <v>0</v>
      </c>
      <c r="X305" s="15">
        <f t="shared" si="9"/>
        <v>0</v>
      </c>
      <c r="Y305" s="15">
        <f t="shared" si="10"/>
        <v>0</v>
      </c>
      <c r="Z305" s="13">
        <f t="shared" si="11"/>
        <v>0</v>
      </c>
      <c r="AA305" s="16">
        <f>VLOOKUP(S305,[1]CPI!$A$2:$D$67,4,0)</f>
        <v>1.2630455352689747</v>
      </c>
      <c r="AB305" s="17"/>
      <c r="AC305" s="17"/>
      <c r="AD305" s="57" t="s">
        <v>43</v>
      </c>
      <c r="AE305" s="63" t="s">
        <v>764</v>
      </c>
      <c r="AF305" s="27"/>
      <c r="AG305" s="27"/>
      <c r="AH305" s="27"/>
      <c r="AI305" s="27"/>
      <c r="AJ305" s="28"/>
      <c r="AK305" s="28"/>
      <c r="AL305" s="28"/>
      <c r="AM305" s="28"/>
      <c r="AN305" s="28"/>
      <c r="AO305" s="28"/>
      <c r="AP305" s="28"/>
      <c r="AQ305" s="28"/>
    </row>
    <row r="306" spans="1:43" ht="15.75" customHeight="1" x14ac:dyDescent="0.2">
      <c r="A306" s="7">
        <v>7739</v>
      </c>
      <c r="B306" s="54" t="s">
        <v>672</v>
      </c>
      <c r="C306" s="54" t="s">
        <v>765</v>
      </c>
      <c r="D306" s="9" t="s">
        <v>99</v>
      </c>
      <c r="E306" s="54" t="s">
        <v>766</v>
      </c>
      <c r="F306" s="72">
        <v>2020</v>
      </c>
      <c r="G306" s="72">
        <v>2024</v>
      </c>
      <c r="H306" s="72">
        <v>0</v>
      </c>
      <c r="I306" s="72">
        <v>14.5</v>
      </c>
      <c r="J306" s="73">
        <v>1</v>
      </c>
      <c r="K306" s="72">
        <v>14.5</v>
      </c>
      <c r="L306" s="54"/>
      <c r="M306" s="54"/>
      <c r="N306" s="72">
        <v>11</v>
      </c>
      <c r="O306" s="72">
        <v>117</v>
      </c>
      <c r="P306" s="54"/>
      <c r="Q306" s="65">
        <v>9702</v>
      </c>
      <c r="R306" s="54" t="s">
        <v>676</v>
      </c>
      <c r="S306" s="58">
        <v>2020</v>
      </c>
      <c r="T306" s="61">
        <v>0.23899999999999999</v>
      </c>
      <c r="U306" s="62">
        <f t="shared" ref="U306:U425" si="20">Q306*T306</f>
        <v>2318.7779999999998</v>
      </c>
      <c r="V306" s="14">
        <f t="shared" ref="V306:V455" si="21">U306/I306</f>
        <v>159.91572413793102</v>
      </c>
      <c r="W306" s="15">
        <f t="shared" si="8"/>
        <v>0</v>
      </c>
      <c r="X306" s="15">
        <f t="shared" si="9"/>
        <v>0</v>
      </c>
      <c r="Y306" s="15">
        <f t="shared" si="10"/>
        <v>0</v>
      </c>
      <c r="Z306" s="13">
        <f t="shared" si="11"/>
        <v>0</v>
      </c>
      <c r="AA306" s="16">
        <f>VLOOKUP(S306,[1]CPI!$A$2:$D$67,4,0)</f>
        <v>1.0469802288156225</v>
      </c>
      <c r="AB306" s="17">
        <f t="shared" ref="AB306:AB455" si="22">U306*AA306</f>
        <v>2427.7147210126313</v>
      </c>
      <c r="AC306" s="17">
        <f t="shared" ref="AC306:AC455" si="23">V306*AA306</f>
        <v>167.42860144914698</v>
      </c>
      <c r="AD306" s="54" t="s">
        <v>73</v>
      </c>
      <c r="AE306" s="46" t="s">
        <v>767</v>
      </c>
      <c r="AF306" s="54"/>
      <c r="AG306" s="54"/>
      <c r="AH306" s="54"/>
      <c r="AI306" s="54"/>
      <c r="AJ306" s="82"/>
      <c r="AK306" s="82"/>
      <c r="AL306" s="82"/>
      <c r="AM306" s="82"/>
      <c r="AN306" s="82"/>
      <c r="AO306" s="82"/>
      <c r="AP306" s="82"/>
      <c r="AQ306" s="82"/>
    </row>
    <row r="307" spans="1:43" ht="15.75" customHeight="1" x14ac:dyDescent="0.2">
      <c r="A307" s="7">
        <v>7744</v>
      </c>
      <c r="B307" s="54" t="s">
        <v>672</v>
      </c>
      <c r="C307" s="54" t="s">
        <v>765</v>
      </c>
      <c r="D307" s="9" t="s">
        <v>103</v>
      </c>
      <c r="E307" s="54" t="s">
        <v>768</v>
      </c>
      <c r="F307" s="72">
        <v>2020</v>
      </c>
      <c r="G307" s="72">
        <v>2024</v>
      </c>
      <c r="H307" s="72">
        <v>0</v>
      </c>
      <c r="I307" s="72">
        <v>11.25</v>
      </c>
      <c r="J307" s="73">
        <v>1</v>
      </c>
      <c r="K307" s="72">
        <v>11.25</v>
      </c>
      <c r="L307" s="54"/>
      <c r="M307" s="54"/>
      <c r="N307" s="72">
        <v>8</v>
      </c>
      <c r="O307" s="72">
        <v>117</v>
      </c>
      <c r="P307" s="54"/>
      <c r="Q307" s="65">
        <v>9103</v>
      </c>
      <c r="R307" s="54" t="s">
        <v>676</v>
      </c>
      <c r="S307" s="58">
        <v>2020</v>
      </c>
      <c r="T307" s="61">
        <v>0.23899999999999999</v>
      </c>
      <c r="U307" s="62">
        <f t="shared" si="20"/>
        <v>2175.6169999999997</v>
      </c>
      <c r="V307" s="14">
        <f t="shared" si="21"/>
        <v>193.38817777777774</v>
      </c>
      <c r="W307" s="15">
        <f t="shared" si="8"/>
        <v>0</v>
      </c>
      <c r="X307" s="15">
        <f t="shared" si="9"/>
        <v>0</v>
      </c>
      <c r="Y307" s="15">
        <f t="shared" si="10"/>
        <v>0</v>
      </c>
      <c r="Z307" s="13">
        <f t="shared" si="11"/>
        <v>0</v>
      </c>
      <c r="AA307" s="16">
        <f>VLOOKUP(S307,[1]CPI!$A$2:$D$67,4,0)</f>
        <v>1.0469802288156225</v>
      </c>
      <c r="AB307" s="17">
        <f t="shared" si="22"/>
        <v>2277.8279844751578</v>
      </c>
      <c r="AC307" s="17">
        <f t="shared" si="23"/>
        <v>202.47359862001403</v>
      </c>
      <c r="AD307" s="54" t="s">
        <v>73</v>
      </c>
      <c r="AE307" s="46" t="s">
        <v>769</v>
      </c>
      <c r="AF307" s="54"/>
      <c r="AG307" s="54"/>
      <c r="AH307" s="54"/>
      <c r="AI307" s="54"/>
      <c r="AJ307" s="82"/>
      <c r="AK307" s="82"/>
      <c r="AL307" s="82"/>
      <c r="AM307" s="82"/>
      <c r="AN307" s="82"/>
      <c r="AO307" s="82"/>
      <c r="AP307" s="82"/>
      <c r="AQ307" s="82"/>
    </row>
    <row r="308" spans="1:43" ht="15.75" customHeight="1" x14ac:dyDescent="0.2">
      <c r="A308" s="7">
        <v>7745</v>
      </c>
      <c r="B308" s="54" t="s">
        <v>672</v>
      </c>
      <c r="C308" s="54" t="s">
        <v>765</v>
      </c>
      <c r="D308" s="54" t="s">
        <v>142</v>
      </c>
      <c r="E308" s="54" t="s">
        <v>770</v>
      </c>
      <c r="F308" s="72">
        <v>2022</v>
      </c>
      <c r="G308" s="54"/>
      <c r="H308" s="72">
        <v>0</v>
      </c>
      <c r="I308" s="72">
        <v>13.97</v>
      </c>
      <c r="J308" s="73">
        <v>0.47</v>
      </c>
      <c r="K308" s="72">
        <v>6.55</v>
      </c>
      <c r="L308" s="54"/>
      <c r="M308" s="54"/>
      <c r="N308" s="72">
        <v>8</v>
      </c>
      <c r="O308" s="72">
        <v>117</v>
      </c>
      <c r="P308" s="54"/>
      <c r="Q308" s="65">
        <v>7396</v>
      </c>
      <c r="R308" s="54" t="s">
        <v>676</v>
      </c>
      <c r="S308" s="58">
        <v>2020</v>
      </c>
      <c r="T308" s="61">
        <v>0.23899999999999999</v>
      </c>
      <c r="U308" s="62">
        <f t="shared" si="20"/>
        <v>1767.644</v>
      </c>
      <c r="V308" s="14">
        <f t="shared" si="21"/>
        <v>126.53142448103077</v>
      </c>
      <c r="W308" s="15">
        <f t="shared" si="8"/>
        <v>0</v>
      </c>
      <c r="X308" s="15">
        <f t="shared" si="9"/>
        <v>0</v>
      </c>
      <c r="Y308" s="15">
        <f t="shared" si="10"/>
        <v>0</v>
      </c>
      <c r="Z308" s="13">
        <f t="shared" si="11"/>
        <v>0</v>
      </c>
      <c r="AA308" s="16">
        <f>VLOOKUP(S308,[1]CPI!$A$2:$D$67,4,0)</f>
        <v>1.0469802288156225</v>
      </c>
      <c r="AB308" s="17">
        <f t="shared" si="22"/>
        <v>1850.6883195845621</v>
      </c>
      <c r="AC308" s="17">
        <f t="shared" si="23"/>
        <v>132.47589975551625</v>
      </c>
      <c r="AD308" s="54" t="s">
        <v>73</v>
      </c>
      <c r="AE308" s="46" t="s">
        <v>771</v>
      </c>
      <c r="AF308" s="54"/>
      <c r="AG308" s="54"/>
      <c r="AH308" s="54"/>
      <c r="AI308" s="54"/>
      <c r="AJ308" s="82"/>
      <c r="AK308" s="82"/>
      <c r="AL308" s="82"/>
      <c r="AM308" s="82"/>
      <c r="AN308" s="82"/>
      <c r="AO308" s="82"/>
      <c r="AP308" s="82"/>
      <c r="AQ308" s="82"/>
    </row>
    <row r="309" spans="1:43" ht="15.75" customHeight="1" x14ac:dyDescent="0.2">
      <c r="A309" s="7">
        <v>7746</v>
      </c>
      <c r="B309" s="54" t="s">
        <v>672</v>
      </c>
      <c r="C309" s="54" t="s">
        <v>765</v>
      </c>
      <c r="D309" s="54" t="s">
        <v>281</v>
      </c>
      <c r="E309" s="54" t="s">
        <v>735</v>
      </c>
      <c r="F309" s="72">
        <v>2021</v>
      </c>
      <c r="G309" s="54"/>
      <c r="H309" s="72">
        <v>0</v>
      </c>
      <c r="I309" s="72">
        <v>27.5</v>
      </c>
      <c r="J309" s="73">
        <v>1</v>
      </c>
      <c r="K309" s="72">
        <v>27.5</v>
      </c>
      <c r="L309" s="54"/>
      <c r="M309" s="54"/>
      <c r="N309" s="72">
        <v>17</v>
      </c>
      <c r="O309" s="72">
        <v>117</v>
      </c>
      <c r="P309" s="54"/>
      <c r="Q309" s="65">
        <v>20983.599999999999</v>
      </c>
      <c r="R309" s="54" t="s">
        <v>676</v>
      </c>
      <c r="S309" s="54">
        <v>2021</v>
      </c>
      <c r="T309" s="61">
        <v>0.23899999999999999</v>
      </c>
      <c r="U309" s="69">
        <f t="shared" si="20"/>
        <v>5015.0803999999998</v>
      </c>
      <c r="V309" s="70">
        <f t="shared" si="21"/>
        <v>182.36655999999999</v>
      </c>
      <c r="W309" s="15">
        <f t="shared" si="8"/>
        <v>0</v>
      </c>
      <c r="X309" s="15">
        <f t="shared" si="9"/>
        <v>0</v>
      </c>
      <c r="Y309" s="15">
        <f t="shared" si="10"/>
        <v>0</v>
      </c>
      <c r="Z309" s="13">
        <f t="shared" si="11"/>
        <v>0</v>
      </c>
      <c r="AA309" s="16">
        <f>VLOOKUP(S309,[1]CPI!$A$2:$D$67,4,0)</f>
        <v>1</v>
      </c>
      <c r="AB309" s="17">
        <f t="shared" si="22"/>
        <v>5015.0803999999998</v>
      </c>
      <c r="AC309" s="17">
        <f t="shared" si="23"/>
        <v>182.36655999999999</v>
      </c>
      <c r="AD309" s="54" t="s">
        <v>73</v>
      </c>
      <c r="AE309" s="46" t="s">
        <v>772</v>
      </c>
      <c r="AF309" s="54"/>
      <c r="AG309" s="54"/>
      <c r="AH309" s="54"/>
      <c r="AI309" s="54"/>
      <c r="AJ309" s="82"/>
      <c r="AK309" s="82"/>
      <c r="AL309" s="82"/>
      <c r="AM309" s="82"/>
      <c r="AN309" s="82"/>
      <c r="AO309" s="82"/>
      <c r="AP309" s="82"/>
      <c r="AQ309" s="82"/>
    </row>
    <row r="310" spans="1:43" ht="15" customHeight="1" x14ac:dyDescent="0.2">
      <c r="A310" s="7">
        <v>7747</v>
      </c>
      <c r="B310" s="57" t="s">
        <v>672</v>
      </c>
      <c r="C310" s="57" t="s">
        <v>765</v>
      </c>
      <c r="D310" s="9"/>
      <c r="E310" s="57" t="s">
        <v>711</v>
      </c>
      <c r="F310" s="57" t="s">
        <v>749</v>
      </c>
      <c r="G310" s="57"/>
      <c r="H310" s="58">
        <v>0</v>
      </c>
      <c r="I310" s="58">
        <v>21</v>
      </c>
      <c r="J310" s="59">
        <v>1</v>
      </c>
      <c r="K310" s="58">
        <v>21</v>
      </c>
      <c r="L310" s="58">
        <v>0</v>
      </c>
      <c r="M310" s="58">
        <v>0</v>
      </c>
      <c r="N310" s="58">
        <v>17</v>
      </c>
      <c r="O310" s="57"/>
      <c r="P310" s="57" t="s">
        <v>35</v>
      </c>
      <c r="Q310" s="67">
        <f>16.881*10^3</f>
        <v>16881</v>
      </c>
      <c r="R310" s="57" t="s">
        <v>676</v>
      </c>
      <c r="S310" s="58">
        <v>2020</v>
      </c>
      <c r="T310" s="61">
        <v>0.23899999999999999</v>
      </c>
      <c r="U310" s="62">
        <f t="shared" si="20"/>
        <v>4034.5589999999997</v>
      </c>
      <c r="V310" s="14">
        <f t="shared" si="21"/>
        <v>192.12185714285712</v>
      </c>
      <c r="W310" s="15">
        <f t="shared" si="8"/>
        <v>0</v>
      </c>
      <c r="X310" s="15">
        <f t="shared" si="9"/>
        <v>0</v>
      </c>
      <c r="Y310" s="15">
        <f t="shared" si="10"/>
        <v>0</v>
      </c>
      <c r="Z310" s="13">
        <f t="shared" si="11"/>
        <v>0</v>
      </c>
      <c r="AA310" s="16">
        <f>VLOOKUP(S310,[1]CPI!$A$2:$D$67,4,0)</f>
        <v>1.0469802288156225</v>
      </c>
      <c r="AB310" s="17">
        <f t="shared" si="22"/>
        <v>4224.1035049901284</v>
      </c>
      <c r="AC310" s="17">
        <f t="shared" si="23"/>
        <v>201.14778595191089</v>
      </c>
      <c r="AD310" s="57" t="s">
        <v>35</v>
      </c>
      <c r="AE310" s="63" t="s">
        <v>773</v>
      </c>
      <c r="AF310" s="27"/>
      <c r="AG310" s="27"/>
      <c r="AH310" s="27"/>
      <c r="AI310" s="27"/>
      <c r="AJ310" s="28"/>
      <c r="AK310" s="28"/>
      <c r="AL310" s="28"/>
      <c r="AM310" s="28"/>
      <c r="AN310" s="28"/>
      <c r="AO310" s="28"/>
      <c r="AP310" s="28"/>
      <c r="AQ310" s="28"/>
    </row>
    <row r="311" spans="1:43" ht="15.75" customHeight="1" x14ac:dyDescent="0.2">
      <c r="A311" s="7">
        <v>7752</v>
      </c>
      <c r="B311" s="57" t="s">
        <v>672</v>
      </c>
      <c r="C311" s="57" t="s">
        <v>765</v>
      </c>
      <c r="D311" s="9"/>
      <c r="E311" s="57" t="s">
        <v>774</v>
      </c>
      <c r="F311" s="57" t="s">
        <v>749</v>
      </c>
      <c r="G311" s="57"/>
      <c r="H311" s="58">
        <v>0</v>
      </c>
      <c r="I311" s="58">
        <v>23</v>
      </c>
      <c r="J311" s="59">
        <v>1</v>
      </c>
      <c r="K311" s="58">
        <v>23</v>
      </c>
      <c r="L311" s="58">
        <v>0</v>
      </c>
      <c r="M311" s="58">
        <v>0</v>
      </c>
      <c r="N311" s="58">
        <v>12</v>
      </c>
      <c r="O311" s="57"/>
      <c r="P311" s="57" t="s">
        <v>35</v>
      </c>
      <c r="Q311" s="67">
        <f>16.201*10^3</f>
        <v>16201</v>
      </c>
      <c r="R311" s="57" t="s">
        <v>676</v>
      </c>
      <c r="S311" s="58">
        <v>2020</v>
      </c>
      <c r="T311" s="61">
        <v>0.23899999999999999</v>
      </c>
      <c r="U311" s="62">
        <f t="shared" si="20"/>
        <v>3872.0389999999998</v>
      </c>
      <c r="V311" s="14">
        <f t="shared" si="21"/>
        <v>168.34952173913044</v>
      </c>
      <c r="W311" s="15">
        <f t="shared" si="8"/>
        <v>0</v>
      </c>
      <c r="X311" s="15">
        <f t="shared" si="9"/>
        <v>0</v>
      </c>
      <c r="Y311" s="15">
        <f t="shared" si="10"/>
        <v>0</v>
      </c>
      <c r="Z311" s="13">
        <f t="shared" si="11"/>
        <v>0</v>
      </c>
      <c r="AA311" s="16">
        <f>VLOOKUP(S311,[1]CPI!$A$2:$D$67,4,0)</f>
        <v>1.0469802288156225</v>
      </c>
      <c r="AB311" s="17">
        <f t="shared" si="22"/>
        <v>4053.9482782030136</v>
      </c>
      <c r="AC311" s="17">
        <f t="shared" si="23"/>
        <v>176.25862079143539</v>
      </c>
      <c r="AD311" s="57" t="s">
        <v>35</v>
      </c>
      <c r="AE311" s="63" t="s">
        <v>773</v>
      </c>
      <c r="AF311" s="27"/>
      <c r="AG311" s="27"/>
      <c r="AH311" s="27"/>
      <c r="AI311" s="27"/>
      <c r="AJ311" s="28"/>
      <c r="AK311" s="28"/>
      <c r="AL311" s="28"/>
      <c r="AM311" s="28"/>
      <c r="AN311" s="28"/>
      <c r="AO311" s="28"/>
      <c r="AP311" s="28"/>
      <c r="AQ311" s="28"/>
    </row>
    <row r="312" spans="1:43" ht="15.75" customHeight="1" x14ac:dyDescent="0.2">
      <c r="A312" s="7">
        <v>7753</v>
      </c>
      <c r="B312" s="57" t="s">
        <v>672</v>
      </c>
      <c r="C312" s="57" t="s">
        <v>775</v>
      </c>
      <c r="D312" s="9" t="s">
        <v>92</v>
      </c>
      <c r="E312" s="57" t="s">
        <v>776</v>
      </c>
      <c r="F312" s="58">
        <v>2010</v>
      </c>
      <c r="G312" s="58">
        <v>2014</v>
      </c>
      <c r="H312" s="58">
        <v>0</v>
      </c>
      <c r="I312" s="58">
        <v>42.1</v>
      </c>
      <c r="J312" s="59">
        <v>0.69833729219999996</v>
      </c>
      <c r="K312" s="58">
        <v>29.4</v>
      </c>
      <c r="L312" s="58">
        <v>12.09</v>
      </c>
      <c r="M312" s="58">
        <v>0.96099999999999997</v>
      </c>
      <c r="N312" s="58">
        <v>31</v>
      </c>
      <c r="O312" s="57"/>
      <c r="P312" s="57" t="s">
        <v>35</v>
      </c>
      <c r="Q312" s="67">
        <f>231.37*10^2</f>
        <v>23137</v>
      </c>
      <c r="R312" s="57" t="s">
        <v>676</v>
      </c>
      <c r="S312" s="19">
        <v>2010</v>
      </c>
      <c r="T312" s="61">
        <v>0.3</v>
      </c>
      <c r="U312" s="62">
        <f t="shared" si="20"/>
        <v>6941.0999999999995</v>
      </c>
      <c r="V312" s="14">
        <f t="shared" si="21"/>
        <v>164.87173396674584</v>
      </c>
      <c r="W312" s="15">
        <f t="shared" si="8"/>
        <v>0</v>
      </c>
      <c r="X312" s="15">
        <f t="shared" si="9"/>
        <v>0</v>
      </c>
      <c r="Y312" s="15">
        <f t="shared" si="10"/>
        <v>0</v>
      </c>
      <c r="Z312" s="13">
        <f t="shared" si="11"/>
        <v>0</v>
      </c>
      <c r="AA312" s="16">
        <f>VLOOKUP(S312,[1]CPI!$A$2:$D$67,4,0)</f>
        <v>1.2426624353377114</v>
      </c>
      <c r="AB312" s="17">
        <f t="shared" si="22"/>
        <v>8625.4442299225884</v>
      </c>
      <c r="AC312" s="17">
        <f t="shared" si="23"/>
        <v>204.87991044946764</v>
      </c>
      <c r="AD312" s="57" t="s">
        <v>43</v>
      </c>
      <c r="AE312" s="63" t="s">
        <v>777</v>
      </c>
      <c r="AF312" s="27"/>
      <c r="AG312" s="27"/>
      <c r="AH312" s="27"/>
      <c r="AI312" s="27"/>
      <c r="AJ312" s="28"/>
      <c r="AK312" s="28"/>
      <c r="AL312" s="28"/>
      <c r="AM312" s="28"/>
      <c r="AN312" s="28"/>
      <c r="AO312" s="28"/>
      <c r="AP312" s="28"/>
      <c r="AQ312" s="28"/>
    </row>
    <row r="313" spans="1:43" ht="15.75" customHeight="1" x14ac:dyDescent="0.2">
      <c r="A313" s="7">
        <v>7754</v>
      </c>
      <c r="B313" s="57" t="s">
        <v>672</v>
      </c>
      <c r="C313" s="57" t="s">
        <v>695</v>
      </c>
      <c r="D313" s="9" t="s">
        <v>92</v>
      </c>
      <c r="E313" s="57" t="s">
        <v>778</v>
      </c>
      <c r="F313" s="57"/>
      <c r="G313" s="57"/>
      <c r="H313" s="58">
        <v>0</v>
      </c>
      <c r="I313" s="58">
        <v>1.2</v>
      </c>
      <c r="J313" s="59">
        <v>0</v>
      </c>
      <c r="K313" s="58">
        <v>0</v>
      </c>
      <c r="L313" s="58">
        <v>0</v>
      </c>
      <c r="M313" s="58">
        <v>0</v>
      </c>
      <c r="N313" s="58">
        <v>1</v>
      </c>
      <c r="O313" s="57"/>
      <c r="P313" s="57" t="s">
        <v>35</v>
      </c>
      <c r="Q313" s="67">
        <f>3.575*10^3</f>
        <v>3575</v>
      </c>
      <c r="R313" s="57" t="s">
        <v>676</v>
      </c>
      <c r="S313" s="58">
        <v>2018</v>
      </c>
      <c r="T313" s="61">
        <v>0.23699999999999999</v>
      </c>
      <c r="U313" s="62">
        <f t="shared" si="20"/>
        <v>847.27499999999998</v>
      </c>
      <c r="V313" s="14">
        <f t="shared" si="21"/>
        <v>706.0625</v>
      </c>
      <c r="W313" s="15">
        <f t="shared" si="8"/>
        <v>0</v>
      </c>
      <c r="X313" s="15">
        <f t="shared" si="9"/>
        <v>0</v>
      </c>
      <c r="Y313" s="15">
        <f t="shared" si="10"/>
        <v>0</v>
      </c>
      <c r="Z313" s="13">
        <f t="shared" si="11"/>
        <v>0</v>
      </c>
      <c r="AA313" s="16">
        <f>VLOOKUP(S313,[1]CPI!$A$2:$D$67,4,0)</f>
        <v>1.0791017375063221</v>
      </c>
      <c r="AB313" s="17">
        <f t="shared" si="22"/>
        <v>914.29592464566906</v>
      </c>
      <c r="AC313" s="17">
        <f t="shared" si="23"/>
        <v>761.91327053805753</v>
      </c>
      <c r="AD313" s="57" t="s">
        <v>35</v>
      </c>
      <c r="AE313" s="63" t="s">
        <v>779</v>
      </c>
      <c r="AF313" s="27"/>
      <c r="AG313" s="27"/>
      <c r="AH313" s="27"/>
      <c r="AI313" s="27"/>
      <c r="AJ313" s="28"/>
      <c r="AK313" s="28"/>
      <c r="AL313" s="28"/>
      <c r="AM313" s="28"/>
      <c r="AN313" s="28"/>
      <c r="AO313" s="28"/>
      <c r="AP313" s="28"/>
      <c r="AQ313" s="28"/>
    </row>
    <row r="314" spans="1:43" ht="15.75" customHeight="1" x14ac:dyDescent="0.2">
      <c r="A314" s="7">
        <v>7755</v>
      </c>
      <c r="B314" s="57" t="s">
        <v>672</v>
      </c>
      <c r="C314" s="57" t="s">
        <v>695</v>
      </c>
      <c r="D314" s="9"/>
      <c r="E314" s="57" t="s">
        <v>752</v>
      </c>
      <c r="F314" s="57"/>
      <c r="G314" s="57"/>
      <c r="H314" s="58">
        <v>0</v>
      </c>
      <c r="I314" s="58">
        <v>19.8</v>
      </c>
      <c r="J314" s="59">
        <v>1</v>
      </c>
      <c r="K314" s="58">
        <v>19.8</v>
      </c>
      <c r="L314" s="58">
        <v>0</v>
      </c>
      <c r="M314" s="58">
        <v>0</v>
      </c>
      <c r="N314" s="58">
        <v>16</v>
      </c>
      <c r="O314" s="57"/>
      <c r="P314" s="57" t="s">
        <v>35</v>
      </c>
      <c r="Q314" s="67">
        <f>39.354*10^3</f>
        <v>39354</v>
      </c>
      <c r="R314" s="57" t="s">
        <v>676</v>
      </c>
      <c r="S314" s="58">
        <v>2018</v>
      </c>
      <c r="T314" s="61">
        <v>0.23699999999999999</v>
      </c>
      <c r="U314" s="62">
        <f t="shared" si="20"/>
        <v>9326.8979999999992</v>
      </c>
      <c r="V314" s="14">
        <f t="shared" si="21"/>
        <v>471.0554545454545</v>
      </c>
      <c r="W314" s="15">
        <f t="shared" si="8"/>
        <v>0</v>
      </c>
      <c r="X314" s="15">
        <f t="shared" si="9"/>
        <v>0</v>
      </c>
      <c r="Y314" s="15">
        <f t="shared" si="10"/>
        <v>0</v>
      </c>
      <c r="Z314" s="13">
        <f t="shared" si="11"/>
        <v>0</v>
      </c>
      <c r="AA314" s="16">
        <f>VLOOKUP(S314,[1]CPI!$A$2:$D$67,4,0)</f>
        <v>1.0791017375063221</v>
      </c>
      <c r="AB314" s="17">
        <f t="shared" si="22"/>
        <v>10064.67183734424</v>
      </c>
      <c r="AC314" s="17">
        <f t="shared" si="23"/>
        <v>508.31675946183026</v>
      </c>
      <c r="AD314" s="57" t="s">
        <v>35</v>
      </c>
      <c r="AE314" s="63" t="s">
        <v>779</v>
      </c>
      <c r="AF314" s="27"/>
      <c r="AG314" s="27"/>
      <c r="AH314" s="27"/>
      <c r="AI314" s="27"/>
      <c r="AJ314" s="28"/>
      <c r="AK314" s="28"/>
      <c r="AL314" s="28"/>
      <c r="AM314" s="28"/>
      <c r="AN314" s="28"/>
      <c r="AO314" s="28"/>
      <c r="AP314" s="28"/>
      <c r="AQ314" s="28"/>
    </row>
    <row r="315" spans="1:43" ht="15.75" customHeight="1" x14ac:dyDescent="0.2">
      <c r="A315" s="7">
        <v>7760</v>
      </c>
      <c r="B315" s="57" t="s">
        <v>672</v>
      </c>
      <c r="C315" s="57" t="s">
        <v>673</v>
      </c>
      <c r="D315" s="9"/>
      <c r="E315" s="57" t="s">
        <v>780</v>
      </c>
      <c r="F315" s="58">
        <v>2017</v>
      </c>
      <c r="G315" s="58">
        <v>2021</v>
      </c>
      <c r="H315" s="58">
        <v>0</v>
      </c>
      <c r="I315" s="58">
        <v>8.7769999999999992</v>
      </c>
      <c r="J315" s="59">
        <v>1</v>
      </c>
      <c r="K315" s="58">
        <v>8.7769999999999992</v>
      </c>
      <c r="L315" s="58">
        <v>0</v>
      </c>
      <c r="M315" s="58">
        <v>0</v>
      </c>
      <c r="N315" s="58">
        <v>9</v>
      </c>
      <c r="O315" s="57"/>
      <c r="P315" s="57" t="s">
        <v>43</v>
      </c>
      <c r="Q315" s="67">
        <f>12.75*1000</f>
        <v>12750</v>
      </c>
      <c r="R315" s="57" t="s">
        <v>676</v>
      </c>
      <c r="S315" s="58">
        <v>2019</v>
      </c>
      <c r="T315" s="61">
        <v>0.23799999999999999</v>
      </c>
      <c r="U315" s="62">
        <f t="shared" si="20"/>
        <v>3034.5</v>
      </c>
      <c r="V315" s="14">
        <f t="shared" si="21"/>
        <v>345.73316622991916</v>
      </c>
      <c r="W315" s="15">
        <f t="shared" si="8"/>
        <v>0</v>
      </c>
      <c r="X315" s="15">
        <f t="shared" si="9"/>
        <v>0</v>
      </c>
      <c r="Y315" s="15">
        <f t="shared" si="10"/>
        <v>0</v>
      </c>
      <c r="Z315" s="13">
        <f t="shared" si="11"/>
        <v>0</v>
      </c>
      <c r="AA315" s="16">
        <f>VLOOKUP(S315,[1]CPI!$A$2:$D$67,4,0)</f>
        <v>1.0598966584134211</v>
      </c>
      <c r="AB315" s="17">
        <f t="shared" si="22"/>
        <v>3216.2564099555261</v>
      </c>
      <c r="AC315" s="17">
        <f t="shared" si="23"/>
        <v>366.44142758978313</v>
      </c>
      <c r="AD315" s="57" t="s">
        <v>43</v>
      </c>
      <c r="AE315" s="57" t="s">
        <v>781</v>
      </c>
      <c r="AF315" s="27"/>
      <c r="AG315" s="27"/>
      <c r="AH315" s="27"/>
      <c r="AI315" s="27"/>
      <c r="AJ315" s="28"/>
      <c r="AK315" s="28"/>
      <c r="AL315" s="28"/>
      <c r="AM315" s="28"/>
      <c r="AN315" s="28"/>
      <c r="AO315" s="28"/>
      <c r="AP315" s="28"/>
      <c r="AQ315" s="28"/>
    </row>
    <row r="316" spans="1:43" ht="15.75" customHeight="1" x14ac:dyDescent="0.2">
      <c r="A316" s="7">
        <v>7761</v>
      </c>
      <c r="B316" s="57" t="s">
        <v>672</v>
      </c>
      <c r="C316" s="57" t="s">
        <v>759</v>
      </c>
      <c r="D316" s="9" t="s">
        <v>124</v>
      </c>
      <c r="E316" s="57" t="s">
        <v>782</v>
      </c>
      <c r="F316" s="57"/>
      <c r="G316" s="57"/>
      <c r="H316" s="58">
        <v>0</v>
      </c>
      <c r="I316" s="58">
        <v>9.9</v>
      </c>
      <c r="J316" s="59">
        <v>1</v>
      </c>
      <c r="K316" s="58">
        <v>9.9</v>
      </c>
      <c r="L316" s="58">
        <v>0</v>
      </c>
      <c r="M316" s="58">
        <v>0</v>
      </c>
      <c r="N316" s="58">
        <v>6</v>
      </c>
      <c r="O316" s="57"/>
      <c r="P316" s="57" t="s">
        <v>35</v>
      </c>
      <c r="Q316" s="67">
        <f>(79.89+39.01+16.25)*100</f>
        <v>13515</v>
      </c>
      <c r="R316" s="57" t="s">
        <v>676</v>
      </c>
      <c r="S316" s="58">
        <v>2019</v>
      </c>
      <c r="T316" s="61">
        <v>0.23799999999999999</v>
      </c>
      <c r="U316" s="62">
        <f t="shared" si="20"/>
        <v>3216.5699999999997</v>
      </c>
      <c r="V316" s="14">
        <f t="shared" si="21"/>
        <v>324.90606060606058</v>
      </c>
      <c r="W316" s="15">
        <f t="shared" si="8"/>
        <v>0</v>
      </c>
      <c r="X316" s="15">
        <f t="shared" si="9"/>
        <v>0</v>
      </c>
      <c r="Y316" s="15">
        <f t="shared" si="10"/>
        <v>0</v>
      </c>
      <c r="Z316" s="13">
        <f t="shared" si="11"/>
        <v>0</v>
      </c>
      <c r="AA316" s="16">
        <f>VLOOKUP(S316,[1]CPI!$A$2:$D$67,4,0)</f>
        <v>1.0598966584134211</v>
      </c>
      <c r="AB316" s="17">
        <f t="shared" si="22"/>
        <v>3409.2317945528575</v>
      </c>
      <c r="AC316" s="17">
        <f t="shared" si="23"/>
        <v>344.36684793463206</v>
      </c>
      <c r="AD316" s="57" t="s">
        <v>35</v>
      </c>
      <c r="AE316" s="63" t="s">
        <v>783</v>
      </c>
      <c r="AF316" s="54"/>
      <c r="AG316" s="9"/>
      <c r="AH316" s="9"/>
      <c r="AI316" s="9"/>
      <c r="AJ316" s="9"/>
      <c r="AK316" s="9"/>
      <c r="AL316" s="9"/>
      <c r="AM316" s="9"/>
      <c r="AN316" s="9"/>
      <c r="AO316" s="9"/>
      <c r="AP316" s="9"/>
      <c r="AQ316" s="9"/>
    </row>
    <row r="317" spans="1:43" ht="15.75" customHeight="1" x14ac:dyDescent="0.2">
      <c r="A317" s="7">
        <v>7762</v>
      </c>
      <c r="B317" s="57" t="s">
        <v>672</v>
      </c>
      <c r="C317" s="57" t="s">
        <v>695</v>
      </c>
      <c r="D317" s="9"/>
      <c r="E317" s="57" t="s">
        <v>784</v>
      </c>
      <c r="F317" s="57"/>
      <c r="G317" s="57"/>
      <c r="H317" s="58">
        <v>0</v>
      </c>
      <c r="I317" s="58">
        <v>44.5</v>
      </c>
      <c r="J317" s="59">
        <v>1</v>
      </c>
      <c r="K317" s="58">
        <v>44.5</v>
      </c>
      <c r="L317" s="58">
        <v>0</v>
      </c>
      <c r="M317" s="58">
        <v>0</v>
      </c>
      <c r="N317" s="58">
        <v>32</v>
      </c>
      <c r="O317" s="57"/>
      <c r="P317" s="57" t="s">
        <v>35</v>
      </c>
      <c r="Q317" s="67">
        <f>60.524*1000</f>
        <v>60524</v>
      </c>
      <c r="R317" s="57" t="s">
        <v>676</v>
      </c>
      <c r="S317" s="58">
        <v>2018</v>
      </c>
      <c r="T317" s="61">
        <v>0.23699999999999999</v>
      </c>
      <c r="U317" s="62">
        <f t="shared" si="20"/>
        <v>14344.188</v>
      </c>
      <c r="V317" s="14">
        <f t="shared" si="21"/>
        <v>322.34130337078653</v>
      </c>
      <c r="W317" s="15">
        <f t="shared" si="8"/>
        <v>0</v>
      </c>
      <c r="X317" s="15">
        <f t="shared" si="9"/>
        <v>0</v>
      </c>
      <c r="Y317" s="15">
        <f t="shared" si="10"/>
        <v>0</v>
      </c>
      <c r="Z317" s="13">
        <f t="shared" si="11"/>
        <v>0</v>
      </c>
      <c r="AA317" s="16">
        <f>VLOOKUP(S317,[1]CPI!$A$2:$D$67,4,0)</f>
        <v>1.0791017375063221</v>
      </c>
      <c r="AB317" s="17">
        <f t="shared" si="22"/>
        <v>15478.838193917336</v>
      </c>
      <c r="AC317" s="17">
        <f t="shared" si="23"/>
        <v>347.83906053746824</v>
      </c>
      <c r="AD317" s="57" t="s">
        <v>35</v>
      </c>
      <c r="AE317" s="57" t="s">
        <v>785</v>
      </c>
      <c r="AF317" s="27"/>
      <c r="AG317" s="27"/>
      <c r="AH317" s="27"/>
      <c r="AI317" s="27"/>
      <c r="AJ317" s="28"/>
      <c r="AK317" s="28"/>
      <c r="AL317" s="28"/>
      <c r="AM317" s="28"/>
      <c r="AN317" s="28"/>
      <c r="AO317" s="28"/>
      <c r="AP317" s="28"/>
      <c r="AQ317" s="28"/>
    </row>
    <row r="318" spans="1:43" ht="15.75" customHeight="1" x14ac:dyDescent="0.2">
      <c r="A318" s="7">
        <v>7763</v>
      </c>
      <c r="B318" s="57" t="s">
        <v>672</v>
      </c>
      <c r="C318" s="57" t="s">
        <v>695</v>
      </c>
      <c r="D318" s="9"/>
      <c r="E318" s="57" t="s">
        <v>786</v>
      </c>
      <c r="F318" s="57"/>
      <c r="G318" s="57"/>
      <c r="H318" s="58">
        <v>0</v>
      </c>
      <c r="I318" s="58">
        <v>28</v>
      </c>
      <c r="J318" s="59">
        <v>1</v>
      </c>
      <c r="K318" s="58">
        <v>28</v>
      </c>
      <c r="L318" s="58">
        <v>0</v>
      </c>
      <c r="M318" s="58">
        <v>0</v>
      </c>
      <c r="N318" s="58">
        <v>16</v>
      </c>
      <c r="O318" s="57"/>
      <c r="P318" s="57" t="s">
        <v>35</v>
      </c>
      <c r="Q318" s="88">
        <f>36.956*1000</f>
        <v>36956</v>
      </c>
      <c r="R318" s="57" t="s">
        <v>676</v>
      </c>
      <c r="S318" s="58">
        <v>2018</v>
      </c>
      <c r="T318" s="61">
        <v>0.23699999999999999</v>
      </c>
      <c r="U318" s="62">
        <f t="shared" si="20"/>
        <v>8758.5720000000001</v>
      </c>
      <c r="V318" s="14">
        <f t="shared" si="21"/>
        <v>312.80614285714285</v>
      </c>
      <c r="W318" s="15">
        <f t="shared" si="8"/>
        <v>0</v>
      </c>
      <c r="X318" s="15">
        <f t="shared" si="9"/>
        <v>0</v>
      </c>
      <c r="Y318" s="15">
        <f t="shared" si="10"/>
        <v>0</v>
      </c>
      <c r="Z318" s="13">
        <f t="shared" si="11"/>
        <v>0</v>
      </c>
      <c r="AA318" s="16">
        <f>VLOOKUP(S318,[1]CPI!$A$2:$D$67,4,0)</f>
        <v>1.0791017375063221</v>
      </c>
      <c r="AB318" s="17">
        <f t="shared" si="22"/>
        <v>9451.3902632742229</v>
      </c>
      <c r="AC318" s="17">
        <f t="shared" si="23"/>
        <v>337.54965225979367</v>
      </c>
      <c r="AD318" s="57" t="s">
        <v>35</v>
      </c>
      <c r="AE318" s="57" t="s">
        <v>787</v>
      </c>
      <c r="AF318" s="27"/>
      <c r="AG318" s="27"/>
      <c r="AH318" s="27"/>
      <c r="AI318" s="27"/>
      <c r="AJ318" s="28"/>
      <c r="AK318" s="28"/>
      <c r="AL318" s="28"/>
      <c r="AM318" s="28"/>
      <c r="AN318" s="28"/>
      <c r="AO318" s="28"/>
      <c r="AP318" s="28"/>
      <c r="AQ318" s="28"/>
    </row>
    <row r="319" spans="1:43" ht="15.75" customHeight="1" x14ac:dyDescent="0.2">
      <c r="A319" s="7">
        <v>7768</v>
      </c>
      <c r="B319" s="57" t="s">
        <v>672</v>
      </c>
      <c r="C319" s="57" t="s">
        <v>695</v>
      </c>
      <c r="D319" s="9"/>
      <c r="E319" s="57" t="s">
        <v>788</v>
      </c>
      <c r="F319" s="57"/>
      <c r="G319" s="57"/>
      <c r="H319" s="58">
        <v>0</v>
      </c>
      <c r="I319" s="58">
        <v>9.8000000000000007</v>
      </c>
      <c r="J319" s="59">
        <v>1</v>
      </c>
      <c r="K319" s="58">
        <v>9.8000000000000007</v>
      </c>
      <c r="L319" s="58">
        <v>0</v>
      </c>
      <c r="M319" s="58">
        <v>0</v>
      </c>
      <c r="N319" s="58">
        <v>5</v>
      </c>
      <c r="O319" s="57"/>
      <c r="P319" s="57" t="s">
        <v>35</v>
      </c>
      <c r="Q319" s="67">
        <f>12.629*1000</f>
        <v>12629</v>
      </c>
      <c r="R319" s="57" t="s">
        <v>676</v>
      </c>
      <c r="S319" s="58">
        <v>2018</v>
      </c>
      <c r="T319" s="61">
        <v>0.23699999999999999</v>
      </c>
      <c r="U319" s="62">
        <f t="shared" si="20"/>
        <v>2993.0729999999999</v>
      </c>
      <c r="V319" s="14">
        <f t="shared" si="21"/>
        <v>305.41561224489794</v>
      </c>
      <c r="W319" s="15">
        <f t="shared" si="8"/>
        <v>0</v>
      </c>
      <c r="X319" s="15">
        <f t="shared" si="9"/>
        <v>0</v>
      </c>
      <c r="Y319" s="15">
        <f t="shared" si="10"/>
        <v>0</v>
      </c>
      <c r="Z319" s="13">
        <f t="shared" si="11"/>
        <v>0</v>
      </c>
      <c r="AA319" s="16">
        <f>VLOOKUP(S319,[1]CPI!$A$2:$D$67,4,0)</f>
        <v>1.0791017375063221</v>
      </c>
      <c r="AB319" s="17">
        <f t="shared" si="22"/>
        <v>3229.8302747832599</v>
      </c>
      <c r="AC319" s="17">
        <f t="shared" si="23"/>
        <v>329.57451783502654</v>
      </c>
      <c r="AD319" s="57" t="s">
        <v>35</v>
      </c>
      <c r="AE319" s="63" t="s">
        <v>779</v>
      </c>
      <c r="AF319" s="27"/>
      <c r="AG319" s="27"/>
      <c r="AH319" s="27"/>
      <c r="AI319" s="27"/>
      <c r="AJ319" s="28"/>
      <c r="AK319" s="28"/>
      <c r="AL319" s="28"/>
      <c r="AM319" s="28"/>
      <c r="AN319" s="28"/>
      <c r="AO319" s="28"/>
      <c r="AP319" s="28"/>
      <c r="AQ319" s="28"/>
    </row>
    <row r="320" spans="1:43" ht="15.75" customHeight="1" x14ac:dyDescent="0.2">
      <c r="A320" s="7">
        <v>7769</v>
      </c>
      <c r="B320" s="54" t="s">
        <v>672</v>
      </c>
      <c r="C320" s="54" t="s">
        <v>673</v>
      </c>
      <c r="D320" s="54"/>
      <c r="E320" s="54" t="s">
        <v>789</v>
      </c>
      <c r="F320" s="72">
        <v>2019</v>
      </c>
      <c r="G320" s="72">
        <v>2021</v>
      </c>
      <c r="H320" s="72">
        <v>0</v>
      </c>
      <c r="I320" s="72">
        <v>4.2</v>
      </c>
      <c r="J320" s="73">
        <v>1</v>
      </c>
      <c r="K320" s="72">
        <v>4.2</v>
      </c>
      <c r="L320" s="54"/>
      <c r="M320" s="54"/>
      <c r="N320" s="72">
        <v>4</v>
      </c>
      <c r="O320" s="72">
        <v>138</v>
      </c>
      <c r="P320" s="54"/>
      <c r="Q320" s="65">
        <v>5715</v>
      </c>
      <c r="R320" s="54" t="s">
        <v>676</v>
      </c>
      <c r="S320" s="58">
        <v>2020</v>
      </c>
      <c r="T320" s="61">
        <v>0.23899999999999999</v>
      </c>
      <c r="U320" s="69">
        <f t="shared" si="20"/>
        <v>1365.885</v>
      </c>
      <c r="V320" s="70">
        <f t="shared" si="21"/>
        <v>325.21071428571429</v>
      </c>
      <c r="W320" s="15">
        <f t="shared" si="8"/>
        <v>0</v>
      </c>
      <c r="X320" s="15">
        <f t="shared" si="9"/>
        <v>0</v>
      </c>
      <c r="Y320" s="15">
        <f t="shared" si="10"/>
        <v>0</v>
      </c>
      <c r="Z320" s="13">
        <f t="shared" si="11"/>
        <v>0</v>
      </c>
      <c r="AA320" s="16">
        <f>VLOOKUP(S320,[1]CPI!$A$2:$D$67,4,0)</f>
        <v>1.0469802288156225</v>
      </c>
      <c r="AB320" s="17">
        <f t="shared" si="22"/>
        <v>1430.0545898358264</v>
      </c>
      <c r="AC320" s="17">
        <f t="shared" si="23"/>
        <v>340.48918805614915</v>
      </c>
      <c r="AD320" s="54" t="s">
        <v>73</v>
      </c>
      <c r="AE320" s="46" t="s">
        <v>790</v>
      </c>
      <c r="AF320" s="54"/>
      <c r="AG320" s="54"/>
      <c r="AH320" s="54"/>
      <c r="AI320" s="54"/>
      <c r="AJ320" s="82"/>
      <c r="AK320" s="82"/>
      <c r="AL320" s="82"/>
      <c r="AM320" s="82"/>
      <c r="AN320" s="82"/>
      <c r="AO320" s="82"/>
      <c r="AP320" s="82"/>
      <c r="AQ320" s="82"/>
    </row>
    <row r="321" spans="1:43" ht="15.75" customHeight="1" x14ac:dyDescent="0.2">
      <c r="A321" s="7">
        <v>7770</v>
      </c>
      <c r="B321" s="57" t="s">
        <v>672</v>
      </c>
      <c r="C321" s="57" t="s">
        <v>695</v>
      </c>
      <c r="D321" s="9"/>
      <c r="E321" s="57" t="s">
        <v>791</v>
      </c>
      <c r="F321" s="57"/>
      <c r="G321" s="57"/>
      <c r="H321" s="58">
        <v>0</v>
      </c>
      <c r="I321" s="58">
        <v>28</v>
      </c>
      <c r="J321" s="59">
        <v>1</v>
      </c>
      <c r="K321" s="58">
        <v>28</v>
      </c>
      <c r="L321" s="58">
        <v>0</v>
      </c>
      <c r="M321" s="58">
        <v>0</v>
      </c>
      <c r="N321" s="58">
        <v>22</v>
      </c>
      <c r="O321" s="57"/>
      <c r="P321" s="57" t="s">
        <v>35</v>
      </c>
      <c r="Q321" s="67">
        <f>33.729*1000</f>
        <v>33729</v>
      </c>
      <c r="R321" s="57" t="s">
        <v>676</v>
      </c>
      <c r="S321" s="58">
        <v>2018</v>
      </c>
      <c r="T321" s="61">
        <v>0.23699999999999999</v>
      </c>
      <c r="U321" s="62">
        <f t="shared" si="20"/>
        <v>7993.7729999999992</v>
      </c>
      <c r="V321" s="14">
        <f t="shared" si="21"/>
        <v>285.49189285714283</v>
      </c>
      <c r="W321" s="15">
        <f t="shared" si="8"/>
        <v>0</v>
      </c>
      <c r="X321" s="15">
        <f t="shared" si="9"/>
        <v>0</v>
      </c>
      <c r="Y321" s="15">
        <f t="shared" si="10"/>
        <v>0</v>
      </c>
      <c r="Z321" s="13">
        <f t="shared" si="11"/>
        <v>0</v>
      </c>
      <c r="AA321" s="16">
        <f>VLOOKUP(S321,[1]CPI!$A$2:$D$67,4,0)</f>
        <v>1.0791017375063221</v>
      </c>
      <c r="AB321" s="17">
        <f t="shared" si="22"/>
        <v>8626.094333531124</v>
      </c>
      <c r="AC321" s="17">
        <f t="shared" si="23"/>
        <v>308.07479762611155</v>
      </c>
      <c r="AD321" s="57" t="s">
        <v>35</v>
      </c>
      <c r="AE321" s="63" t="s">
        <v>779</v>
      </c>
      <c r="AF321" s="27"/>
      <c r="AG321" s="27"/>
      <c r="AH321" s="27"/>
      <c r="AI321" s="27"/>
      <c r="AJ321" s="28"/>
      <c r="AK321" s="28"/>
      <c r="AL321" s="28"/>
      <c r="AM321" s="28"/>
      <c r="AN321" s="28"/>
      <c r="AO321" s="28"/>
      <c r="AP321" s="28"/>
      <c r="AQ321" s="28"/>
    </row>
    <row r="322" spans="1:43" ht="15.75" customHeight="1" x14ac:dyDescent="0.2">
      <c r="A322" s="7">
        <v>7771</v>
      </c>
      <c r="B322" s="54" t="s">
        <v>672</v>
      </c>
      <c r="C322" s="54" t="s">
        <v>737</v>
      </c>
      <c r="D322" s="54" t="s">
        <v>688</v>
      </c>
      <c r="E322" s="54" t="s">
        <v>688</v>
      </c>
      <c r="F322" s="72">
        <v>2021</v>
      </c>
      <c r="G322" s="54"/>
      <c r="H322" s="72">
        <v>0</v>
      </c>
      <c r="I322" s="72">
        <v>22.436</v>
      </c>
      <c r="J322" s="73">
        <v>1</v>
      </c>
      <c r="K322" s="72">
        <v>22.436</v>
      </c>
      <c r="L322" s="54"/>
      <c r="M322" s="54"/>
      <c r="N322" s="72">
        <v>16</v>
      </c>
      <c r="O322" s="72">
        <v>184</v>
      </c>
      <c r="P322" s="54"/>
      <c r="Q322" s="65">
        <v>23371</v>
      </c>
      <c r="R322" s="54" t="s">
        <v>676</v>
      </c>
      <c r="S322" s="54">
        <v>2021</v>
      </c>
      <c r="T322" s="61">
        <v>0.23899999999999999</v>
      </c>
      <c r="U322" s="69">
        <f t="shared" si="20"/>
        <v>5585.6689999999999</v>
      </c>
      <c r="V322" s="70">
        <f t="shared" si="21"/>
        <v>248.96010875378855</v>
      </c>
      <c r="W322" s="15">
        <f t="shared" si="8"/>
        <v>0</v>
      </c>
      <c r="X322" s="15">
        <f t="shared" si="9"/>
        <v>0</v>
      </c>
      <c r="Y322" s="15">
        <f t="shared" si="10"/>
        <v>0</v>
      </c>
      <c r="Z322" s="13">
        <f t="shared" si="11"/>
        <v>0</v>
      </c>
      <c r="AA322" s="16">
        <f>VLOOKUP(S322,[1]CPI!$A$2:$D$67,4,0)</f>
        <v>1</v>
      </c>
      <c r="AB322" s="17">
        <f t="shared" si="22"/>
        <v>5585.6689999999999</v>
      </c>
      <c r="AC322" s="17">
        <f t="shared" si="23"/>
        <v>248.96010875378855</v>
      </c>
      <c r="AD322" s="54" t="s">
        <v>73</v>
      </c>
      <c r="AE322" s="46" t="s">
        <v>792</v>
      </c>
      <c r="AF322" s="54"/>
      <c r="AG322" s="54"/>
      <c r="AH322" s="54"/>
      <c r="AI322" s="54"/>
      <c r="AJ322" s="82"/>
      <c r="AK322" s="82"/>
      <c r="AL322" s="82"/>
      <c r="AM322" s="82"/>
      <c r="AN322" s="82"/>
      <c r="AO322" s="82"/>
      <c r="AP322" s="82"/>
      <c r="AQ322" s="82"/>
    </row>
    <row r="323" spans="1:43" ht="15.75" customHeight="1" x14ac:dyDescent="0.2">
      <c r="A323" s="7">
        <v>7776</v>
      </c>
      <c r="B323" s="57" t="s">
        <v>672</v>
      </c>
      <c r="C323" s="57" t="s">
        <v>673</v>
      </c>
      <c r="D323" s="9"/>
      <c r="E323" s="57" t="s">
        <v>793</v>
      </c>
      <c r="F323" s="58">
        <v>2016</v>
      </c>
      <c r="G323" s="58">
        <v>2021</v>
      </c>
      <c r="H323" s="58">
        <v>0</v>
      </c>
      <c r="I323" s="58">
        <v>37.4</v>
      </c>
      <c r="J323" s="59">
        <v>0.5561497326</v>
      </c>
      <c r="K323" s="58">
        <v>20.8</v>
      </c>
      <c r="L323" s="58">
        <v>0</v>
      </c>
      <c r="M323" s="58">
        <v>0</v>
      </c>
      <c r="N323" s="58">
        <v>27</v>
      </c>
      <c r="O323" s="57"/>
      <c r="P323" s="57" t="s">
        <v>35</v>
      </c>
      <c r="Q323" s="67">
        <v>41500</v>
      </c>
      <c r="R323" s="57" t="s">
        <v>676</v>
      </c>
      <c r="S323" s="58">
        <v>2015</v>
      </c>
      <c r="T323" s="61">
        <v>0.25800000000000001</v>
      </c>
      <c r="U323" s="62">
        <f t="shared" si="20"/>
        <v>10707</v>
      </c>
      <c r="V323" s="14">
        <f t="shared" si="21"/>
        <v>286.28342245989307</v>
      </c>
      <c r="W323" s="15">
        <f t="shared" si="8"/>
        <v>0</v>
      </c>
      <c r="X323" s="15">
        <f t="shared" si="9"/>
        <v>0</v>
      </c>
      <c r="Y323" s="15">
        <f t="shared" si="10"/>
        <v>0</v>
      </c>
      <c r="Z323" s="13">
        <f t="shared" si="11"/>
        <v>0</v>
      </c>
      <c r="AA323" s="16">
        <f>VLOOKUP(S323,[1]CPI!$A$2:$D$67,4,0)</f>
        <v>1.143251327963817</v>
      </c>
      <c r="AB323" s="17">
        <f t="shared" si="22"/>
        <v>12240.791968508589</v>
      </c>
      <c r="AC323" s="17">
        <f t="shared" si="23"/>
        <v>327.29390290129919</v>
      </c>
      <c r="AD323" s="57" t="s">
        <v>35</v>
      </c>
      <c r="AE323" s="57" t="s">
        <v>794</v>
      </c>
      <c r="AF323" s="27"/>
      <c r="AG323" s="27"/>
      <c r="AH323" s="27"/>
      <c r="AI323" s="27"/>
      <c r="AJ323" s="28"/>
      <c r="AK323" s="28"/>
      <c r="AL323" s="28"/>
      <c r="AM323" s="28"/>
      <c r="AN323" s="28"/>
      <c r="AO323" s="28"/>
      <c r="AP323" s="28"/>
      <c r="AQ323" s="28"/>
    </row>
    <row r="324" spans="1:43" ht="15.75" customHeight="1" x14ac:dyDescent="0.2">
      <c r="A324" s="7">
        <v>7777</v>
      </c>
      <c r="B324" s="57" t="s">
        <v>672</v>
      </c>
      <c r="C324" s="57" t="s">
        <v>673</v>
      </c>
      <c r="D324" s="9"/>
      <c r="E324" s="57" t="s">
        <v>182</v>
      </c>
      <c r="F324" s="58">
        <v>2017</v>
      </c>
      <c r="G324" s="58">
        <v>2021</v>
      </c>
      <c r="H324" s="58">
        <v>0</v>
      </c>
      <c r="I324" s="58">
        <v>29.2</v>
      </c>
      <c r="J324" s="59">
        <v>1</v>
      </c>
      <c r="K324" s="58">
        <v>29.2</v>
      </c>
      <c r="L324" s="58">
        <v>0</v>
      </c>
      <c r="M324" s="58">
        <v>0</v>
      </c>
      <c r="N324" s="58">
        <v>21</v>
      </c>
      <c r="O324" s="57"/>
      <c r="P324" s="57" t="s">
        <v>35</v>
      </c>
      <c r="Q324" s="67">
        <v>32400</v>
      </c>
      <c r="R324" s="57" t="s">
        <v>676</v>
      </c>
      <c r="S324" s="58">
        <v>2015</v>
      </c>
      <c r="T324" s="61">
        <v>0.25800000000000001</v>
      </c>
      <c r="U324" s="62">
        <f t="shared" si="20"/>
        <v>8359.2000000000007</v>
      </c>
      <c r="V324" s="14">
        <f t="shared" si="21"/>
        <v>286.27397260273978</v>
      </c>
      <c r="W324" s="15">
        <f t="shared" si="8"/>
        <v>0</v>
      </c>
      <c r="X324" s="15">
        <f t="shared" si="9"/>
        <v>0</v>
      </c>
      <c r="Y324" s="15">
        <f t="shared" si="10"/>
        <v>0</v>
      </c>
      <c r="Z324" s="13">
        <f t="shared" si="11"/>
        <v>0</v>
      </c>
      <c r="AA324" s="16">
        <f>VLOOKUP(S324,[1]CPI!$A$2:$D$67,4,0)</f>
        <v>1.143251327963817</v>
      </c>
      <c r="AB324" s="17">
        <f t="shared" si="22"/>
        <v>9556.6665007151405</v>
      </c>
      <c r="AC324" s="17">
        <f t="shared" si="23"/>
        <v>327.28309933955961</v>
      </c>
      <c r="AD324" s="57" t="s">
        <v>43</v>
      </c>
      <c r="AE324" s="63" t="s">
        <v>795</v>
      </c>
      <c r="AF324" s="27"/>
      <c r="AG324" s="27"/>
      <c r="AH324" s="27"/>
      <c r="AI324" s="27"/>
      <c r="AJ324" s="28"/>
      <c r="AK324" s="28"/>
      <c r="AL324" s="28"/>
      <c r="AM324" s="28"/>
      <c r="AN324" s="28"/>
      <c r="AO324" s="28"/>
      <c r="AP324" s="28"/>
      <c r="AQ324" s="28"/>
    </row>
    <row r="325" spans="1:43" ht="15.75" customHeight="1" x14ac:dyDescent="0.2">
      <c r="A325" s="7">
        <v>7778</v>
      </c>
      <c r="B325" s="54" t="s">
        <v>672</v>
      </c>
      <c r="C325" s="54" t="s">
        <v>796</v>
      </c>
      <c r="D325" s="54" t="s">
        <v>688</v>
      </c>
      <c r="E325" s="54" t="s">
        <v>797</v>
      </c>
      <c r="F325" s="72">
        <v>2019</v>
      </c>
      <c r="G325" s="54"/>
      <c r="H325" s="72">
        <v>0</v>
      </c>
      <c r="I325" s="72">
        <v>33.5</v>
      </c>
      <c r="J325" s="73">
        <v>1</v>
      </c>
      <c r="K325" s="72">
        <v>33.5</v>
      </c>
      <c r="L325" s="54"/>
      <c r="M325" s="54"/>
      <c r="N325" s="72">
        <v>23</v>
      </c>
      <c r="O325" s="72">
        <v>184</v>
      </c>
      <c r="P325" s="54"/>
      <c r="Q325" s="65">
        <v>41085</v>
      </c>
      <c r="R325" s="54" t="s">
        <v>676</v>
      </c>
      <c r="S325" s="54">
        <v>2019</v>
      </c>
      <c r="T325" s="61">
        <v>0.23799999999999999</v>
      </c>
      <c r="U325" s="69">
        <f t="shared" si="20"/>
        <v>9778.23</v>
      </c>
      <c r="V325" s="70">
        <f t="shared" si="21"/>
        <v>291.88746268656718</v>
      </c>
      <c r="W325" s="15">
        <f t="shared" si="8"/>
        <v>0</v>
      </c>
      <c r="X325" s="15">
        <f t="shared" si="9"/>
        <v>0</v>
      </c>
      <c r="Y325" s="15">
        <f t="shared" si="10"/>
        <v>0</v>
      </c>
      <c r="Z325" s="13">
        <f t="shared" si="11"/>
        <v>0</v>
      </c>
      <c r="AA325" s="16">
        <f>VLOOKUP(S325,[1]CPI!$A$2:$D$67,4,0)</f>
        <v>1.0598966584134211</v>
      </c>
      <c r="AB325" s="17">
        <f t="shared" si="22"/>
        <v>10363.913302197865</v>
      </c>
      <c r="AC325" s="17">
        <f t="shared" si="23"/>
        <v>309.3705463342647</v>
      </c>
      <c r="AD325" s="54"/>
      <c r="AE325" s="46" t="s">
        <v>798</v>
      </c>
      <c r="AF325" s="27"/>
      <c r="AG325" s="27"/>
      <c r="AH325" s="27"/>
      <c r="AI325" s="27"/>
      <c r="AJ325" s="28"/>
      <c r="AK325" s="28"/>
      <c r="AL325" s="28"/>
      <c r="AM325" s="28"/>
      <c r="AN325" s="28"/>
      <c r="AO325" s="28"/>
      <c r="AP325" s="28"/>
      <c r="AQ325" s="28"/>
    </row>
    <row r="326" spans="1:43" ht="15.75" customHeight="1" x14ac:dyDescent="0.2">
      <c r="A326" s="86">
        <v>7779</v>
      </c>
      <c r="B326" s="54" t="s">
        <v>672</v>
      </c>
      <c r="C326" s="54" t="s">
        <v>796</v>
      </c>
      <c r="D326" s="54"/>
      <c r="E326" s="54" t="s">
        <v>287</v>
      </c>
      <c r="F326" s="72">
        <v>2017</v>
      </c>
      <c r="G326" s="72">
        <v>2022</v>
      </c>
      <c r="H326" s="72">
        <v>0</v>
      </c>
      <c r="I326" s="72">
        <v>19.41</v>
      </c>
      <c r="J326" s="73">
        <v>1</v>
      </c>
      <c r="K326" s="72">
        <v>19.41</v>
      </c>
      <c r="L326" s="54"/>
      <c r="M326" s="54"/>
      <c r="N326" s="72">
        <v>14</v>
      </c>
      <c r="O326" s="72">
        <v>117</v>
      </c>
      <c r="P326" s="54"/>
      <c r="Q326" s="65">
        <v>23143</v>
      </c>
      <c r="R326" s="54" t="s">
        <v>676</v>
      </c>
      <c r="S326" s="54">
        <v>2020</v>
      </c>
      <c r="T326" s="61">
        <v>0.23899999999999999</v>
      </c>
      <c r="U326" s="69">
        <f t="shared" si="20"/>
        <v>5531.1769999999997</v>
      </c>
      <c r="V326" s="70">
        <f t="shared" si="21"/>
        <v>284.9653271509531</v>
      </c>
      <c r="W326" s="15">
        <f t="shared" si="8"/>
        <v>0</v>
      </c>
      <c r="X326" s="15">
        <f t="shared" si="9"/>
        <v>0</v>
      </c>
      <c r="Y326" s="15">
        <f t="shared" si="10"/>
        <v>0</v>
      </c>
      <c r="Z326" s="13">
        <f t="shared" si="11"/>
        <v>0</v>
      </c>
      <c r="AA326" s="16">
        <f>VLOOKUP(S326,[1]CPI!$A$2:$D$67,4,0)</f>
        <v>1.0469802288156225</v>
      </c>
      <c r="AB326" s="17">
        <f t="shared" si="22"/>
        <v>5791.032961079708</v>
      </c>
      <c r="AC326" s="17">
        <f t="shared" si="23"/>
        <v>298.35306342502361</v>
      </c>
      <c r="AD326" s="54" t="s">
        <v>73</v>
      </c>
      <c r="AE326" s="46" t="s">
        <v>799</v>
      </c>
      <c r="AF326" s="54"/>
      <c r="AG326" s="54"/>
      <c r="AH326" s="54"/>
      <c r="AI326" s="54"/>
      <c r="AJ326" s="82"/>
      <c r="AK326" s="82"/>
      <c r="AL326" s="82"/>
      <c r="AM326" s="82"/>
      <c r="AN326" s="82"/>
      <c r="AO326" s="82"/>
      <c r="AP326" s="82"/>
      <c r="AQ326" s="82"/>
    </row>
    <row r="327" spans="1:43" ht="15.75" customHeight="1" x14ac:dyDescent="0.2">
      <c r="A327" s="7">
        <v>7784</v>
      </c>
      <c r="B327" s="57" t="s">
        <v>672</v>
      </c>
      <c r="C327" s="57" t="s">
        <v>737</v>
      </c>
      <c r="D327" s="9" t="s">
        <v>182</v>
      </c>
      <c r="E327" s="57" t="s">
        <v>182</v>
      </c>
      <c r="F327" s="58">
        <v>2017</v>
      </c>
      <c r="G327" s="58">
        <v>2022</v>
      </c>
      <c r="H327" s="58">
        <v>0</v>
      </c>
      <c r="I327" s="58">
        <v>40</v>
      </c>
      <c r="J327" s="59">
        <v>1</v>
      </c>
      <c r="K327" s="58">
        <v>40</v>
      </c>
      <c r="L327" s="58">
        <v>0</v>
      </c>
      <c r="M327" s="58">
        <v>0</v>
      </c>
      <c r="N327" s="58">
        <v>33</v>
      </c>
      <c r="O327" s="57"/>
      <c r="P327" s="57" t="s">
        <v>35</v>
      </c>
      <c r="Q327" s="67">
        <v>38140</v>
      </c>
      <c r="R327" s="57" t="s">
        <v>676</v>
      </c>
      <c r="S327" s="58">
        <v>2017</v>
      </c>
      <c r="T327" s="61">
        <v>0.23899999999999999</v>
      </c>
      <c r="U327" s="62">
        <f t="shared" si="20"/>
        <v>9115.4599999999991</v>
      </c>
      <c r="V327" s="14">
        <f t="shared" si="21"/>
        <v>227.88649999999998</v>
      </c>
      <c r="W327" s="15">
        <f t="shared" si="8"/>
        <v>0</v>
      </c>
      <c r="X327" s="15">
        <f t="shared" si="9"/>
        <v>0</v>
      </c>
      <c r="Y327" s="15">
        <f t="shared" si="10"/>
        <v>0</v>
      </c>
      <c r="Z327" s="13">
        <f t="shared" si="11"/>
        <v>0</v>
      </c>
      <c r="AA327" s="16">
        <f>VLOOKUP(S327,[1]CPI!$A$2:$D$67,4,0)</f>
        <v>1.1054585509138382</v>
      </c>
      <c r="AB327" s="17">
        <f t="shared" si="22"/>
        <v>10076.763202513053</v>
      </c>
      <c r="AC327" s="17">
        <f t="shared" si="23"/>
        <v>251.91908006282637</v>
      </c>
      <c r="AD327" s="57" t="s">
        <v>35</v>
      </c>
      <c r="AE327" s="63" t="s">
        <v>738</v>
      </c>
      <c r="AF327" s="27"/>
      <c r="AG327" s="27"/>
      <c r="AH327" s="27"/>
      <c r="AI327" s="27"/>
      <c r="AJ327" s="28"/>
      <c r="AK327" s="28"/>
      <c r="AL327" s="28"/>
      <c r="AM327" s="28"/>
      <c r="AN327" s="28"/>
      <c r="AO327" s="28"/>
      <c r="AP327" s="28"/>
      <c r="AQ327" s="28"/>
    </row>
    <row r="328" spans="1:43" ht="15.75" customHeight="1" x14ac:dyDescent="0.2">
      <c r="A328" s="7">
        <v>7785</v>
      </c>
      <c r="B328" s="57" t="s">
        <v>672</v>
      </c>
      <c r="C328" s="57" t="s">
        <v>673</v>
      </c>
      <c r="D328" s="9" t="s">
        <v>674</v>
      </c>
      <c r="E328" s="57" t="s">
        <v>800</v>
      </c>
      <c r="F328" s="58">
        <v>2016</v>
      </c>
      <c r="G328" s="58">
        <v>2018</v>
      </c>
      <c r="H328" s="58">
        <v>0</v>
      </c>
      <c r="I328" s="58">
        <v>3.4</v>
      </c>
      <c r="J328" s="59">
        <f>K328/I328</f>
        <v>0.29076470588235298</v>
      </c>
      <c r="K328" s="58">
        <v>0.98860000000000003</v>
      </c>
      <c r="L328" s="58">
        <v>2.4140000000000001</v>
      </c>
      <c r="M328" s="58">
        <v>0</v>
      </c>
      <c r="N328" s="58">
        <v>2</v>
      </c>
      <c r="O328" s="57"/>
      <c r="P328" s="57" t="s">
        <v>50</v>
      </c>
      <c r="Q328" s="67">
        <v>3420</v>
      </c>
      <c r="R328" s="57" t="s">
        <v>676</v>
      </c>
      <c r="S328" s="58">
        <v>2015</v>
      </c>
      <c r="T328" s="61">
        <v>0.25800000000000001</v>
      </c>
      <c r="U328" s="62">
        <f t="shared" si="20"/>
        <v>882.36</v>
      </c>
      <c r="V328" s="14">
        <f t="shared" si="21"/>
        <v>259.51764705882351</v>
      </c>
      <c r="W328" s="15">
        <f t="shared" si="8"/>
        <v>0</v>
      </c>
      <c r="X328" s="15">
        <f t="shared" si="9"/>
        <v>0</v>
      </c>
      <c r="Y328" s="15">
        <f t="shared" si="10"/>
        <v>0</v>
      </c>
      <c r="Z328" s="13">
        <f t="shared" si="11"/>
        <v>0</v>
      </c>
      <c r="AA328" s="16">
        <f>VLOOKUP(S328,[1]CPI!$A$2:$D$67,4,0)</f>
        <v>1.143251327963817</v>
      </c>
      <c r="AB328" s="17">
        <f t="shared" si="22"/>
        <v>1008.7592417421536</v>
      </c>
      <c r="AC328" s="17">
        <f t="shared" si="23"/>
        <v>296.69389463004518</v>
      </c>
      <c r="AD328" s="57" t="s">
        <v>43</v>
      </c>
      <c r="AE328" s="63" t="s">
        <v>801</v>
      </c>
      <c r="AF328" s="27"/>
      <c r="AG328" s="27"/>
      <c r="AH328" s="27"/>
      <c r="AI328" s="27"/>
      <c r="AJ328" s="28"/>
      <c r="AK328" s="28"/>
      <c r="AL328" s="28"/>
      <c r="AM328" s="28"/>
      <c r="AN328" s="28"/>
      <c r="AO328" s="28"/>
      <c r="AP328" s="28"/>
      <c r="AQ328" s="28"/>
    </row>
    <row r="329" spans="1:43" ht="15.75" customHeight="1" x14ac:dyDescent="0.2">
      <c r="A329" s="7">
        <v>7786</v>
      </c>
      <c r="B329" s="57" t="s">
        <v>672</v>
      </c>
      <c r="C329" s="57" t="s">
        <v>802</v>
      </c>
      <c r="D329" s="9" t="s">
        <v>803</v>
      </c>
      <c r="E329" s="57" t="s">
        <v>804</v>
      </c>
      <c r="F329" s="58">
        <v>2019</v>
      </c>
      <c r="G329" s="58">
        <v>2024</v>
      </c>
      <c r="H329" s="58">
        <v>0</v>
      </c>
      <c r="I329" s="58">
        <f>11.01+3.28</f>
        <v>14.29</v>
      </c>
      <c r="J329" s="59">
        <v>1</v>
      </c>
      <c r="K329" s="58">
        <v>14.29</v>
      </c>
      <c r="L329" s="58">
        <v>0</v>
      </c>
      <c r="M329" s="58">
        <v>0</v>
      </c>
      <c r="N329" s="58">
        <v>7</v>
      </c>
      <c r="O329" s="57"/>
      <c r="P329" s="57" t="s">
        <v>35</v>
      </c>
      <c r="Q329" s="67">
        <v>14656</v>
      </c>
      <c r="R329" s="57" t="s">
        <v>676</v>
      </c>
      <c r="S329" s="58">
        <v>2019</v>
      </c>
      <c r="T329" s="61">
        <v>0.23799999999999999</v>
      </c>
      <c r="U329" s="62">
        <f t="shared" si="20"/>
        <v>3488.1279999999997</v>
      </c>
      <c r="V329" s="14">
        <f t="shared" si="21"/>
        <v>244.09573128061581</v>
      </c>
      <c r="W329" s="15">
        <f t="shared" si="8"/>
        <v>0</v>
      </c>
      <c r="X329" s="15">
        <f t="shared" si="9"/>
        <v>0</v>
      </c>
      <c r="Y329" s="15">
        <f t="shared" si="10"/>
        <v>0</v>
      </c>
      <c r="Z329" s="13">
        <f t="shared" si="11"/>
        <v>0</v>
      </c>
      <c r="AA329" s="16">
        <f>VLOOKUP(S329,[1]CPI!$A$2:$D$67,4,0)</f>
        <v>1.0598966584134211</v>
      </c>
      <c r="AB329" s="17">
        <f t="shared" si="22"/>
        <v>3697.0552113182894</v>
      </c>
      <c r="AC329" s="17">
        <f t="shared" si="23"/>
        <v>258.71624991730505</v>
      </c>
      <c r="AD329" s="57" t="s">
        <v>35</v>
      </c>
      <c r="AE329" s="63" t="s">
        <v>805</v>
      </c>
      <c r="AF329" s="27"/>
      <c r="AG329" s="27"/>
      <c r="AH329" s="27"/>
      <c r="AI329" s="27"/>
      <c r="AJ329" s="28"/>
      <c r="AK329" s="28"/>
      <c r="AL329" s="28"/>
      <c r="AM329" s="28"/>
      <c r="AN329" s="28"/>
      <c r="AO329" s="28"/>
      <c r="AP329" s="28"/>
      <c r="AQ329" s="28"/>
    </row>
    <row r="330" spans="1:43" ht="15.75" customHeight="1" x14ac:dyDescent="0.2">
      <c r="A330" s="7">
        <v>7787</v>
      </c>
      <c r="B330" s="57" t="s">
        <v>672</v>
      </c>
      <c r="C330" s="57" t="s">
        <v>806</v>
      </c>
      <c r="D330" s="9"/>
      <c r="E330" s="57" t="s">
        <v>807</v>
      </c>
      <c r="F330" s="58">
        <v>2017</v>
      </c>
      <c r="G330" s="58">
        <v>2020</v>
      </c>
      <c r="H330" s="58">
        <v>0</v>
      </c>
      <c r="I330" s="58">
        <v>20</v>
      </c>
      <c r="J330" s="59">
        <v>1</v>
      </c>
      <c r="K330" s="58">
        <v>20</v>
      </c>
      <c r="L330" s="58">
        <v>0</v>
      </c>
      <c r="M330" s="58">
        <v>0</v>
      </c>
      <c r="N330" s="58">
        <v>18</v>
      </c>
      <c r="O330" s="57"/>
      <c r="P330" s="57" t="s">
        <v>35</v>
      </c>
      <c r="Q330" s="67">
        <v>20053</v>
      </c>
      <c r="R330" s="57" t="s">
        <v>676</v>
      </c>
      <c r="S330" s="58">
        <v>2015</v>
      </c>
      <c r="T330" s="61">
        <v>0.25800000000000001</v>
      </c>
      <c r="U330" s="62">
        <f t="shared" si="20"/>
        <v>5173.674</v>
      </c>
      <c r="V330" s="14">
        <f t="shared" si="21"/>
        <v>258.68369999999999</v>
      </c>
      <c r="W330" s="15">
        <f t="shared" si="8"/>
        <v>0</v>
      </c>
      <c r="X330" s="15">
        <f t="shared" si="9"/>
        <v>0</v>
      </c>
      <c r="Y330" s="15">
        <f t="shared" si="10"/>
        <v>0</v>
      </c>
      <c r="Z330" s="13">
        <f t="shared" si="11"/>
        <v>0</v>
      </c>
      <c r="AA330" s="16">
        <f>VLOOKUP(S330,[1]CPI!$A$2:$D$67,4,0)</f>
        <v>1.143251327963817</v>
      </c>
      <c r="AB330" s="17">
        <f t="shared" si="22"/>
        <v>5914.8096709518732</v>
      </c>
      <c r="AC330" s="17">
        <f t="shared" si="23"/>
        <v>295.74048354759361</v>
      </c>
      <c r="AD330" s="57" t="s">
        <v>43</v>
      </c>
      <c r="AE330" s="63" t="s">
        <v>808</v>
      </c>
      <c r="AF330" s="27"/>
      <c r="AG330" s="27"/>
      <c r="AH330" s="27"/>
      <c r="AI330" s="27"/>
      <c r="AJ330" s="28"/>
      <c r="AK330" s="28"/>
      <c r="AL330" s="28"/>
      <c r="AM330" s="28"/>
      <c r="AN330" s="28"/>
      <c r="AO330" s="28"/>
      <c r="AP330" s="28"/>
      <c r="AQ330" s="28"/>
    </row>
    <row r="331" spans="1:43" ht="15.75" customHeight="1" x14ac:dyDescent="0.2">
      <c r="A331" s="7">
        <v>7792</v>
      </c>
      <c r="B331" s="57" t="s">
        <v>672</v>
      </c>
      <c r="C331" s="57" t="s">
        <v>673</v>
      </c>
      <c r="D331" s="9"/>
      <c r="E331" s="57" t="s">
        <v>809</v>
      </c>
      <c r="F331" s="58">
        <v>2017</v>
      </c>
      <c r="G331" s="58">
        <v>2021</v>
      </c>
      <c r="H331" s="58">
        <v>0</v>
      </c>
      <c r="I331" s="58">
        <v>22.4</v>
      </c>
      <c r="J331" s="59">
        <v>1</v>
      </c>
      <c r="K331" s="58">
        <v>22.4</v>
      </c>
      <c r="L331" s="58">
        <v>0</v>
      </c>
      <c r="M331" s="58">
        <v>0</v>
      </c>
      <c r="N331" s="58">
        <v>10</v>
      </c>
      <c r="O331" s="57"/>
      <c r="P331" s="57" t="s">
        <v>35</v>
      </c>
      <c r="Q331" s="67">
        <v>22180</v>
      </c>
      <c r="R331" s="57" t="s">
        <v>676</v>
      </c>
      <c r="S331" s="58">
        <v>2015</v>
      </c>
      <c r="T331" s="61">
        <v>0.25800000000000001</v>
      </c>
      <c r="U331" s="62">
        <f t="shared" si="20"/>
        <v>5722.4400000000005</v>
      </c>
      <c r="V331" s="14">
        <f t="shared" si="21"/>
        <v>255.46607142857147</v>
      </c>
      <c r="W331" s="15">
        <f t="shared" si="8"/>
        <v>0</v>
      </c>
      <c r="X331" s="15">
        <f t="shared" si="9"/>
        <v>0</v>
      </c>
      <c r="Y331" s="15">
        <f t="shared" si="10"/>
        <v>0</v>
      </c>
      <c r="Z331" s="13">
        <f t="shared" si="11"/>
        <v>0</v>
      </c>
      <c r="AA331" s="16">
        <f>VLOOKUP(S331,[1]CPI!$A$2:$D$67,4,0)</f>
        <v>1.143251327963817</v>
      </c>
      <c r="AB331" s="17">
        <f t="shared" si="22"/>
        <v>6542.1871291932657</v>
      </c>
      <c r="AC331" s="17">
        <f t="shared" si="23"/>
        <v>292.06192541041366</v>
      </c>
      <c r="AD331" s="57" t="s">
        <v>43</v>
      </c>
      <c r="AE331" s="63" t="s">
        <v>795</v>
      </c>
      <c r="AF331" s="27"/>
      <c r="AG331" s="27"/>
      <c r="AH331" s="27"/>
      <c r="AI331" s="27"/>
      <c r="AJ331" s="28"/>
      <c r="AK331" s="28"/>
      <c r="AL331" s="28"/>
      <c r="AM331" s="28"/>
      <c r="AN331" s="28"/>
      <c r="AO331" s="28"/>
      <c r="AP331" s="28"/>
      <c r="AQ331" s="28"/>
    </row>
    <row r="332" spans="1:43" ht="15.75" customHeight="1" x14ac:dyDescent="0.2">
      <c r="A332" s="7">
        <v>7793</v>
      </c>
      <c r="B332" s="54" t="s">
        <v>672</v>
      </c>
      <c r="C332" s="54" t="s">
        <v>673</v>
      </c>
      <c r="D332" s="54"/>
      <c r="E332" s="54" t="s">
        <v>810</v>
      </c>
      <c r="F332" s="72">
        <v>2015</v>
      </c>
      <c r="G332" s="72">
        <v>2022</v>
      </c>
      <c r="H332" s="72">
        <v>0</v>
      </c>
      <c r="I332" s="72">
        <v>49.7</v>
      </c>
      <c r="J332" s="73">
        <v>1</v>
      </c>
      <c r="K332" s="72">
        <v>49.7</v>
      </c>
      <c r="L332" s="54"/>
      <c r="M332" s="54"/>
      <c r="N332" s="72">
        <v>20</v>
      </c>
      <c r="O332" s="72">
        <v>184</v>
      </c>
      <c r="P332" s="54"/>
      <c r="Q332" s="65">
        <v>51085</v>
      </c>
      <c r="R332" s="54" t="s">
        <v>676</v>
      </c>
      <c r="S332" s="58">
        <v>2019</v>
      </c>
      <c r="T332" s="61">
        <v>0.23799999999999999</v>
      </c>
      <c r="U332" s="62">
        <f t="shared" si="20"/>
        <v>12158.23</v>
      </c>
      <c r="V332" s="14">
        <f t="shared" si="21"/>
        <v>244.63239436619716</v>
      </c>
      <c r="W332" s="15">
        <f t="shared" si="8"/>
        <v>0</v>
      </c>
      <c r="X332" s="15">
        <f t="shared" si="9"/>
        <v>0</v>
      </c>
      <c r="Y332" s="15">
        <f t="shared" si="10"/>
        <v>0</v>
      </c>
      <c r="Z332" s="13">
        <f t="shared" si="11"/>
        <v>0</v>
      </c>
      <c r="AA332" s="16">
        <f>VLOOKUP(S332,[1]CPI!$A$2:$D$67,4,0)</f>
        <v>1.0598966584134211</v>
      </c>
      <c r="AB332" s="17">
        <f t="shared" si="22"/>
        <v>12886.467349221808</v>
      </c>
      <c r="AC332" s="17">
        <f t="shared" si="23"/>
        <v>259.28505732840659</v>
      </c>
      <c r="AD332" s="54" t="s">
        <v>73</v>
      </c>
      <c r="AE332" s="46" t="s">
        <v>811</v>
      </c>
      <c r="AF332" s="54"/>
      <c r="AG332" s="54"/>
      <c r="AH332" s="54"/>
      <c r="AI332" s="54"/>
      <c r="AJ332" s="82"/>
      <c r="AK332" s="82"/>
      <c r="AL332" s="82"/>
      <c r="AM332" s="82"/>
      <c r="AN332" s="82"/>
      <c r="AO332" s="82"/>
      <c r="AP332" s="82"/>
      <c r="AQ332" s="82"/>
    </row>
    <row r="333" spans="1:43" ht="15.75" customHeight="1" x14ac:dyDescent="0.2">
      <c r="A333" s="86">
        <v>7794</v>
      </c>
      <c r="B333" s="57" t="s">
        <v>672</v>
      </c>
      <c r="C333" s="57" t="s">
        <v>673</v>
      </c>
      <c r="D333" s="9"/>
      <c r="E333" s="57" t="s">
        <v>747</v>
      </c>
      <c r="F333" s="58">
        <v>2013</v>
      </c>
      <c r="G333" s="58">
        <v>2021</v>
      </c>
      <c r="H333" s="58">
        <v>0</v>
      </c>
      <c r="I333" s="58">
        <v>49.8</v>
      </c>
      <c r="J333" s="59">
        <v>1</v>
      </c>
      <c r="K333" s="58">
        <v>49.8</v>
      </c>
      <c r="L333" s="58">
        <v>0</v>
      </c>
      <c r="M333" s="58">
        <v>0</v>
      </c>
      <c r="N333" s="58">
        <v>29</v>
      </c>
      <c r="O333" s="57"/>
      <c r="P333" s="57" t="s">
        <v>43</v>
      </c>
      <c r="Q333" s="88">
        <v>49500</v>
      </c>
      <c r="R333" s="57" t="s">
        <v>676</v>
      </c>
      <c r="S333" s="58">
        <v>2013</v>
      </c>
      <c r="T333" s="61">
        <v>0.27300000000000002</v>
      </c>
      <c r="U333" s="62">
        <f t="shared" si="20"/>
        <v>13513.500000000002</v>
      </c>
      <c r="V333" s="14">
        <f t="shared" si="21"/>
        <v>271.35542168674704</v>
      </c>
      <c r="W333" s="15">
        <f t="shared" si="8"/>
        <v>0</v>
      </c>
      <c r="X333" s="15">
        <f t="shared" si="9"/>
        <v>0</v>
      </c>
      <c r="Y333" s="15">
        <f t="shared" si="10"/>
        <v>0</v>
      </c>
      <c r="Z333" s="13">
        <f t="shared" si="11"/>
        <v>0</v>
      </c>
      <c r="AA333" s="16">
        <f>VLOOKUP(S333,[1]CPI!$A$2:$D$67,4,0)</f>
        <v>1.16317603677932</v>
      </c>
      <c r="AB333" s="17">
        <f t="shared" si="22"/>
        <v>15718.579373017343</v>
      </c>
      <c r="AC333" s="17">
        <f t="shared" si="23"/>
        <v>315.63412395617155</v>
      </c>
      <c r="AD333" s="57" t="s">
        <v>43</v>
      </c>
      <c r="AE333" s="57" t="s">
        <v>812</v>
      </c>
      <c r="AF333" s="27"/>
      <c r="AG333" s="27"/>
      <c r="AH333" s="27"/>
      <c r="AI333" s="27"/>
      <c r="AJ333" s="28"/>
      <c r="AK333" s="28"/>
      <c r="AL333" s="28"/>
      <c r="AM333" s="28"/>
      <c r="AN333" s="28"/>
      <c r="AO333" s="28"/>
      <c r="AP333" s="28"/>
      <c r="AQ333" s="28"/>
    </row>
    <row r="334" spans="1:43" ht="15.75" customHeight="1" x14ac:dyDescent="0.2">
      <c r="A334" s="7">
        <v>7795</v>
      </c>
      <c r="B334" s="57" t="s">
        <v>672</v>
      </c>
      <c r="C334" s="57" t="s">
        <v>673</v>
      </c>
      <c r="D334" s="9"/>
      <c r="E334" s="57" t="s">
        <v>813</v>
      </c>
      <c r="F334" s="58">
        <v>2017</v>
      </c>
      <c r="G334" s="58">
        <v>2020</v>
      </c>
      <c r="H334" s="58">
        <v>0</v>
      </c>
      <c r="I334" s="58">
        <v>5</v>
      </c>
      <c r="J334" s="79"/>
      <c r="K334" s="57"/>
      <c r="L334" s="58" t="e">
        <v>#N/A</v>
      </c>
      <c r="M334" s="58" t="e">
        <v>#N/A</v>
      </c>
      <c r="N334" s="58">
        <v>4</v>
      </c>
      <c r="O334" s="57"/>
      <c r="P334" s="57" t="s">
        <v>35</v>
      </c>
      <c r="Q334" s="67">
        <v>4860</v>
      </c>
      <c r="R334" s="57" t="s">
        <v>676</v>
      </c>
      <c r="S334" s="58">
        <v>2015</v>
      </c>
      <c r="T334" s="61">
        <v>0.25800000000000001</v>
      </c>
      <c r="U334" s="62">
        <f t="shared" si="20"/>
        <v>1253.8800000000001</v>
      </c>
      <c r="V334" s="14">
        <f t="shared" si="21"/>
        <v>250.77600000000001</v>
      </c>
      <c r="W334" s="15">
        <f t="shared" si="8"/>
        <v>0</v>
      </c>
      <c r="X334" s="15">
        <f t="shared" si="9"/>
        <v>0</v>
      </c>
      <c r="Y334" s="15">
        <f t="shared" si="10"/>
        <v>0</v>
      </c>
      <c r="Z334" s="13">
        <f t="shared" si="11"/>
        <v>0</v>
      </c>
      <c r="AA334" s="16">
        <f>VLOOKUP(S334,[1]CPI!$A$2:$D$67,4,0)</f>
        <v>1.143251327963817</v>
      </c>
      <c r="AB334" s="17">
        <f t="shared" si="22"/>
        <v>1433.499975107271</v>
      </c>
      <c r="AC334" s="17">
        <f t="shared" si="23"/>
        <v>286.69999502145419</v>
      </c>
      <c r="AD334" s="57" t="s">
        <v>43</v>
      </c>
      <c r="AE334" s="63" t="s">
        <v>795</v>
      </c>
      <c r="AF334" s="27"/>
      <c r="AG334" s="27"/>
      <c r="AH334" s="27"/>
      <c r="AI334" s="27"/>
      <c r="AJ334" s="28"/>
      <c r="AK334" s="28"/>
      <c r="AL334" s="28"/>
      <c r="AM334" s="28"/>
      <c r="AN334" s="28"/>
      <c r="AO334" s="28"/>
      <c r="AP334" s="28"/>
      <c r="AQ334" s="28"/>
    </row>
    <row r="335" spans="1:43" ht="15.75" customHeight="1" x14ac:dyDescent="0.2">
      <c r="A335" s="7">
        <v>7800</v>
      </c>
      <c r="B335" s="54" t="s">
        <v>672</v>
      </c>
      <c r="C335" s="54" t="s">
        <v>806</v>
      </c>
      <c r="D335" s="54"/>
      <c r="E335" s="54" t="s">
        <v>814</v>
      </c>
      <c r="F335" s="72">
        <v>2018</v>
      </c>
      <c r="G335" s="72">
        <v>2022</v>
      </c>
      <c r="H335" s="72">
        <v>0</v>
      </c>
      <c r="I335" s="72">
        <v>21.22</v>
      </c>
      <c r="J335" s="73">
        <v>1</v>
      </c>
      <c r="K335" s="72">
        <v>21.22</v>
      </c>
      <c r="L335" s="54"/>
      <c r="M335" s="54"/>
      <c r="N335" s="72">
        <v>21</v>
      </c>
      <c r="O335" s="72">
        <v>117</v>
      </c>
      <c r="P335" s="54"/>
      <c r="Q335" s="65">
        <v>22069</v>
      </c>
      <c r="R335" s="54" t="s">
        <v>676</v>
      </c>
      <c r="S335" s="54">
        <v>2020</v>
      </c>
      <c r="T335" s="61">
        <v>0.23899999999999999</v>
      </c>
      <c r="U335" s="69">
        <f t="shared" si="20"/>
        <v>5274.491</v>
      </c>
      <c r="V335" s="70">
        <f t="shared" si="21"/>
        <v>248.56225259189446</v>
      </c>
      <c r="W335" s="15">
        <f t="shared" si="8"/>
        <v>0</v>
      </c>
      <c r="X335" s="15">
        <f t="shared" si="9"/>
        <v>0</v>
      </c>
      <c r="Y335" s="15">
        <f t="shared" si="10"/>
        <v>0</v>
      </c>
      <c r="Z335" s="13">
        <f t="shared" si="11"/>
        <v>0</v>
      </c>
      <c r="AA335" s="16">
        <f>VLOOKUP(S335,[1]CPI!$A$2:$D$67,4,0)</f>
        <v>1.0469802288156225</v>
      </c>
      <c r="AB335" s="17">
        <f t="shared" si="22"/>
        <v>5522.2877940659409</v>
      </c>
      <c r="AC335" s="17">
        <f t="shared" si="23"/>
        <v>260.23976409358824</v>
      </c>
      <c r="AD335" s="54" t="s">
        <v>73</v>
      </c>
      <c r="AE335" s="46" t="s">
        <v>815</v>
      </c>
      <c r="AF335" s="54"/>
      <c r="AG335" s="54"/>
      <c r="AH335" s="54"/>
      <c r="AI335" s="54"/>
      <c r="AJ335" s="82"/>
      <c r="AK335" s="82"/>
      <c r="AL335" s="82"/>
      <c r="AM335" s="82"/>
      <c r="AN335" s="82"/>
      <c r="AO335" s="82"/>
      <c r="AP335" s="82"/>
      <c r="AQ335" s="82"/>
    </row>
    <row r="336" spans="1:43" ht="15.75" customHeight="1" x14ac:dyDescent="0.2">
      <c r="A336" s="7">
        <v>7801</v>
      </c>
      <c r="B336" s="54" t="s">
        <v>672</v>
      </c>
      <c r="C336" s="54" t="s">
        <v>806</v>
      </c>
      <c r="D336" s="54"/>
      <c r="E336" s="54" t="s">
        <v>816</v>
      </c>
      <c r="F336" s="72">
        <v>2019</v>
      </c>
      <c r="G336" s="54"/>
      <c r="H336" s="72">
        <v>0</v>
      </c>
      <c r="I336" s="72">
        <v>26.53</v>
      </c>
      <c r="J336" s="73">
        <v>1</v>
      </c>
      <c r="K336" s="72">
        <v>26.53</v>
      </c>
      <c r="L336" s="54"/>
      <c r="M336" s="54"/>
      <c r="N336" s="72">
        <v>21</v>
      </c>
      <c r="O336" s="72">
        <v>138</v>
      </c>
      <c r="P336" s="54"/>
      <c r="Q336" s="65">
        <v>26890</v>
      </c>
      <c r="R336" s="54" t="s">
        <v>676</v>
      </c>
      <c r="S336" s="58">
        <v>2019</v>
      </c>
      <c r="T336" s="61">
        <v>0.23799999999999999</v>
      </c>
      <c r="U336" s="69">
        <f t="shared" si="20"/>
        <v>6399.82</v>
      </c>
      <c r="V336" s="70">
        <f t="shared" si="21"/>
        <v>241.22955145118732</v>
      </c>
      <c r="W336" s="15">
        <f t="shared" si="8"/>
        <v>0</v>
      </c>
      <c r="X336" s="15">
        <f t="shared" si="9"/>
        <v>0</v>
      </c>
      <c r="Y336" s="15">
        <f t="shared" si="10"/>
        <v>0</v>
      </c>
      <c r="Z336" s="13">
        <f t="shared" si="11"/>
        <v>0</v>
      </c>
      <c r="AA336" s="16">
        <f>VLOOKUP(S336,[1]CPI!$A$2:$D$67,4,0)</f>
        <v>1.0598966584134211</v>
      </c>
      <c r="AB336" s="17">
        <f t="shared" si="22"/>
        <v>6783.1478324473801</v>
      </c>
      <c r="AC336" s="17">
        <f t="shared" si="23"/>
        <v>255.67839549368188</v>
      </c>
      <c r="AD336" s="54" t="s">
        <v>73</v>
      </c>
      <c r="AE336" s="46" t="s">
        <v>817</v>
      </c>
      <c r="AF336" s="54"/>
      <c r="AG336" s="54"/>
      <c r="AH336" s="54"/>
      <c r="AI336" s="54"/>
      <c r="AJ336" s="82"/>
      <c r="AK336" s="82"/>
      <c r="AL336" s="82"/>
      <c r="AM336" s="82"/>
      <c r="AN336" s="82"/>
      <c r="AO336" s="82"/>
      <c r="AP336" s="82"/>
      <c r="AQ336" s="82"/>
    </row>
    <row r="337" spans="1:43" ht="15.75" customHeight="1" x14ac:dyDescent="0.2">
      <c r="A337" s="7">
        <v>7802</v>
      </c>
      <c r="B337" s="57" t="s">
        <v>672</v>
      </c>
      <c r="C337" s="57" t="s">
        <v>759</v>
      </c>
      <c r="D337" s="9"/>
      <c r="E337" s="57" t="s">
        <v>818</v>
      </c>
      <c r="F337" s="58">
        <v>2020</v>
      </c>
      <c r="G337" s="58">
        <v>2024</v>
      </c>
      <c r="H337" s="58">
        <v>0</v>
      </c>
      <c r="I337" s="58">
        <v>59.9</v>
      </c>
      <c r="J337" s="59">
        <v>1</v>
      </c>
      <c r="K337" s="58">
        <v>59.9</v>
      </c>
      <c r="L337" s="58">
        <v>0</v>
      </c>
      <c r="M337" s="58">
        <v>0</v>
      </c>
      <c r="N337" s="58">
        <v>37</v>
      </c>
      <c r="O337" s="57"/>
      <c r="P337" s="57" t="s">
        <v>35</v>
      </c>
      <c r="Q337" s="67">
        <v>58387</v>
      </c>
      <c r="R337" s="57" t="s">
        <v>676</v>
      </c>
      <c r="S337" s="58">
        <v>2018</v>
      </c>
      <c r="T337" s="61">
        <v>0.23699999999999999</v>
      </c>
      <c r="U337" s="62">
        <f t="shared" si="20"/>
        <v>13837.718999999999</v>
      </c>
      <c r="V337" s="14">
        <f t="shared" si="21"/>
        <v>231.01367278797997</v>
      </c>
      <c r="W337" s="15">
        <f t="shared" si="8"/>
        <v>0</v>
      </c>
      <c r="X337" s="15">
        <f t="shared" si="9"/>
        <v>0</v>
      </c>
      <c r="Y337" s="15">
        <f t="shared" si="10"/>
        <v>0</v>
      </c>
      <c r="Z337" s="13">
        <f t="shared" si="11"/>
        <v>0</v>
      </c>
      <c r="AA337" s="16">
        <f>VLOOKUP(S337,[1]CPI!$A$2:$D$67,4,0)</f>
        <v>1.0791017375063221</v>
      </c>
      <c r="AB337" s="17">
        <f t="shared" si="22"/>
        <v>14932.306616024245</v>
      </c>
      <c r="AC337" s="17">
        <f t="shared" si="23"/>
        <v>249.28725569322614</v>
      </c>
      <c r="AD337" s="57" t="s">
        <v>35</v>
      </c>
      <c r="AE337" s="63" t="s">
        <v>783</v>
      </c>
      <c r="AF337" s="54"/>
      <c r="AG337" s="9"/>
      <c r="AH337" s="9"/>
      <c r="AI337" s="9"/>
      <c r="AJ337" s="9"/>
      <c r="AK337" s="9"/>
      <c r="AL337" s="9"/>
      <c r="AM337" s="9"/>
      <c r="AN337" s="9"/>
      <c r="AO337" s="9"/>
      <c r="AP337" s="9"/>
      <c r="AQ337" s="9"/>
    </row>
    <row r="338" spans="1:43" ht="15.75" customHeight="1" x14ac:dyDescent="0.2">
      <c r="A338" s="7">
        <v>7803</v>
      </c>
      <c r="B338" s="54" t="s">
        <v>672</v>
      </c>
      <c r="C338" s="54" t="s">
        <v>819</v>
      </c>
      <c r="D338" s="54" t="s">
        <v>99</v>
      </c>
      <c r="E338" s="54" t="s">
        <v>766</v>
      </c>
      <c r="F338" s="72">
        <v>2021</v>
      </c>
      <c r="G338" s="54"/>
      <c r="H338" s="72">
        <v>0</v>
      </c>
      <c r="I338" s="72">
        <v>10.42</v>
      </c>
      <c r="J338" s="73">
        <v>1</v>
      </c>
      <c r="K338" s="72">
        <v>10.42</v>
      </c>
      <c r="L338" s="54"/>
      <c r="M338" s="54"/>
      <c r="N338" s="72">
        <v>9</v>
      </c>
      <c r="O338" s="72">
        <v>117</v>
      </c>
      <c r="P338" s="54"/>
      <c r="Q338" s="65">
        <v>10301</v>
      </c>
      <c r="R338" s="54" t="s">
        <v>676</v>
      </c>
      <c r="S338" s="54">
        <v>2021</v>
      </c>
      <c r="T338" s="61">
        <v>0.23899999999999999</v>
      </c>
      <c r="U338" s="69">
        <f t="shared" si="20"/>
        <v>2461.9389999999999</v>
      </c>
      <c r="V338" s="70">
        <f t="shared" si="21"/>
        <v>236.27053742802303</v>
      </c>
      <c r="W338" s="15">
        <f t="shared" si="8"/>
        <v>0</v>
      </c>
      <c r="X338" s="15">
        <f t="shared" si="9"/>
        <v>0</v>
      </c>
      <c r="Y338" s="15">
        <f t="shared" si="10"/>
        <v>0</v>
      </c>
      <c r="Z338" s="13">
        <f t="shared" si="11"/>
        <v>0</v>
      </c>
      <c r="AA338" s="16">
        <f>VLOOKUP(S338,[1]CPI!$A$2:$D$67,4,0)</f>
        <v>1</v>
      </c>
      <c r="AB338" s="17">
        <f t="shared" si="22"/>
        <v>2461.9389999999999</v>
      </c>
      <c r="AC338" s="17">
        <f t="shared" si="23"/>
        <v>236.27053742802303</v>
      </c>
      <c r="AD338" s="54" t="s">
        <v>73</v>
      </c>
      <c r="AE338" s="46" t="s">
        <v>820</v>
      </c>
      <c r="AF338" s="54"/>
      <c r="AG338" s="54"/>
      <c r="AH338" s="54"/>
      <c r="AI338" s="54"/>
      <c r="AJ338" s="82"/>
      <c r="AK338" s="82"/>
      <c r="AL338" s="82"/>
      <c r="AM338" s="82"/>
      <c r="AN338" s="82"/>
      <c r="AO338" s="82"/>
      <c r="AP338" s="82"/>
      <c r="AQ338" s="82"/>
    </row>
    <row r="339" spans="1:43" ht="15.75" customHeight="1" x14ac:dyDescent="0.2">
      <c r="A339" s="7">
        <v>7808</v>
      </c>
      <c r="B339" s="57" t="s">
        <v>672</v>
      </c>
      <c r="C339" s="57" t="s">
        <v>802</v>
      </c>
      <c r="D339" s="9" t="s">
        <v>674</v>
      </c>
      <c r="E339" s="57" t="s">
        <v>714</v>
      </c>
      <c r="F339" s="58">
        <v>2019</v>
      </c>
      <c r="G339" s="58">
        <v>2024</v>
      </c>
      <c r="H339" s="58">
        <v>0</v>
      </c>
      <c r="I339" s="58">
        <f>6.51+1.32</f>
        <v>7.83</v>
      </c>
      <c r="J339" s="59">
        <f>K339/I339</f>
        <v>1</v>
      </c>
      <c r="K339" s="58">
        <f>I339</f>
        <v>7.83</v>
      </c>
      <c r="L339" s="58">
        <v>0</v>
      </c>
      <c r="M339" s="58">
        <v>0</v>
      </c>
      <c r="N339" s="58">
        <v>7</v>
      </c>
      <c r="O339" s="57"/>
      <c r="P339" s="57" t="s">
        <v>35</v>
      </c>
      <c r="Q339" s="67">
        <v>7452</v>
      </c>
      <c r="R339" s="57" t="s">
        <v>676</v>
      </c>
      <c r="S339" s="58">
        <v>2019</v>
      </c>
      <c r="T339" s="89">
        <f>T329</f>
        <v>0.23799999999999999</v>
      </c>
      <c r="U339" s="62">
        <f t="shared" si="20"/>
        <v>1773.576</v>
      </c>
      <c r="V339" s="14">
        <f t="shared" si="21"/>
        <v>226.51034482758621</v>
      </c>
      <c r="W339" s="15">
        <f t="shared" si="8"/>
        <v>0</v>
      </c>
      <c r="X339" s="15">
        <f t="shared" si="9"/>
        <v>0</v>
      </c>
      <c r="Y339" s="15">
        <f t="shared" si="10"/>
        <v>0</v>
      </c>
      <c r="Z339" s="13">
        <f t="shared" si="11"/>
        <v>0</v>
      </c>
      <c r="AA339" s="16">
        <f>VLOOKUP(S339,[1]CPI!$A$2:$D$67,4,0)</f>
        <v>1.0598966584134211</v>
      </c>
      <c r="AB339" s="17">
        <f t="shared" si="22"/>
        <v>1879.8072758422418</v>
      </c>
      <c r="AC339" s="17">
        <f t="shared" si="23"/>
        <v>240.07755757883035</v>
      </c>
      <c r="AD339" s="57" t="s">
        <v>35</v>
      </c>
      <c r="AE339" s="63" t="s">
        <v>805</v>
      </c>
      <c r="AF339" s="27"/>
      <c r="AG339" s="27"/>
      <c r="AH339" s="27"/>
      <c r="AI339" s="27"/>
      <c r="AJ339" s="28"/>
      <c r="AK339" s="28"/>
      <c r="AL339" s="28"/>
      <c r="AM339" s="28"/>
      <c r="AN339" s="28"/>
      <c r="AO339" s="28"/>
      <c r="AP339" s="28"/>
      <c r="AQ339" s="28"/>
    </row>
    <row r="340" spans="1:43" ht="15.75" customHeight="1" x14ac:dyDescent="0.2">
      <c r="A340" s="7">
        <v>7809</v>
      </c>
      <c r="B340" s="54" t="s">
        <v>672</v>
      </c>
      <c r="C340" s="54" t="s">
        <v>806</v>
      </c>
      <c r="D340" s="54"/>
      <c r="E340" s="54" t="s">
        <v>821</v>
      </c>
      <c r="F340" s="72">
        <v>2019</v>
      </c>
      <c r="G340" s="54"/>
      <c r="H340" s="72">
        <v>0</v>
      </c>
      <c r="I340" s="72">
        <v>22.6</v>
      </c>
      <c r="J340" s="73">
        <v>1</v>
      </c>
      <c r="K340" s="72">
        <v>22.6</v>
      </c>
      <c r="L340" s="54"/>
      <c r="M340" s="54"/>
      <c r="N340" s="72">
        <v>21</v>
      </c>
      <c r="O340" s="72">
        <v>117</v>
      </c>
      <c r="P340" s="54"/>
      <c r="Q340" s="65">
        <v>23789</v>
      </c>
      <c r="R340" s="54" t="s">
        <v>676</v>
      </c>
      <c r="S340" s="58">
        <v>2019</v>
      </c>
      <c r="T340" s="61">
        <v>0.23799999999999999</v>
      </c>
      <c r="U340" s="69">
        <f t="shared" si="20"/>
        <v>5661.7820000000002</v>
      </c>
      <c r="V340" s="70">
        <f t="shared" si="21"/>
        <v>250.5213274336283</v>
      </c>
      <c r="W340" s="15">
        <f t="shared" si="8"/>
        <v>0</v>
      </c>
      <c r="X340" s="15">
        <f t="shared" si="9"/>
        <v>0</v>
      </c>
      <c r="Y340" s="15">
        <f t="shared" si="10"/>
        <v>0</v>
      </c>
      <c r="Z340" s="13">
        <f t="shared" si="11"/>
        <v>0</v>
      </c>
      <c r="AA340" s="16">
        <f>VLOOKUP(S340,[1]CPI!$A$2:$D$67,4,0)</f>
        <v>1.0598966584134211</v>
      </c>
      <c r="AB340" s="17">
        <f t="shared" si="22"/>
        <v>6000.9038224652559</v>
      </c>
      <c r="AC340" s="17">
        <f t="shared" si="23"/>
        <v>265.52671780819713</v>
      </c>
      <c r="AD340" s="54" t="s">
        <v>73</v>
      </c>
      <c r="AE340" s="46" t="s">
        <v>822</v>
      </c>
      <c r="AF340" s="54"/>
      <c r="AG340" s="54"/>
      <c r="AH340" s="54"/>
      <c r="AI340" s="54"/>
      <c r="AJ340" s="82"/>
      <c r="AK340" s="82"/>
      <c r="AL340" s="82"/>
      <c r="AM340" s="82"/>
      <c r="AN340" s="82"/>
      <c r="AO340" s="82"/>
      <c r="AP340" s="82"/>
      <c r="AQ340" s="82"/>
    </row>
    <row r="341" spans="1:43" ht="15.75" customHeight="1" x14ac:dyDescent="0.2">
      <c r="A341" s="86">
        <v>7810</v>
      </c>
      <c r="B341" s="57" t="s">
        <v>672</v>
      </c>
      <c r="C341" s="57" t="s">
        <v>737</v>
      </c>
      <c r="D341" s="9" t="s">
        <v>747</v>
      </c>
      <c r="E341" s="57" t="s">
        <v>747</v>
      </c>
      <c r="F341" s="58">
        <v>2018</v>
      </c>
      <c r="G341" s="58">
        <v>2023</v>
      </c>
      <c r="H341" s="58">
        <v>0</v>
      </c>
      <c r="I341" s="58">
        <v>27.6</v>
      </c>
      <c r="J341" s="59">
        <v>1</v>
      </c>
      <c r="K341" s="58">
        <v>27.6</v>
      </c>
      <c r="L341" s="58">
        <v>0</v>
      </c>
      <c r="M341" s="58">
        <v>0</v>
      </c>
      <c r="N341" s="58">
        <v>24</v>
      </c>
      <c r="O341" s="57"/>
      <c r="P341" s="57" t="s">
        <v>43</v>
      </c>
      <c r="Q341" s="67">
        <v>27530</v>
      </c>
      <c r="R341" s="57" t="s">
        <v>676</v>
      </c>
      <c r="S341" s="58">
        <v>2017</v>
      </c>
      <c r="T341" s="61">
        <v>0.23899999999999999</v>
      </c>
      <c r="U341" s="62">
        <f t="shared" si="20"/>
        <v>6579.67</v>
      </c>
      <c r="V341" s="14">
        <f t="shared" si="21"/>
        <v>238.39384057971014</v>
      </c>
      <c r="W341" s="15">
        <f t="shared" si="8"/>
        <v>0</v>
      </c>
      <c r="X341" s="15">
        <f t="shared" si="9"/>
        <v>0</v>
      </c>
      <c r="Y341" s="15">
        <f t="shared" si="10"/>
        <v>0</v>
      </c>
      <c r="Z341" s="13">
        <f t="shared" si="11"/>
        <v>0</v>
      </c>
      <c r="AA341" s="16">
        <f>VLOOKUP(S341,[1]CPI!$A$2:$D$67,4,0)</f>
        <v>1.1054585509138382</v>
      </c>
      <c r="AB341" s="17">
        <f t="shared" si="22"/>
        <v>7273.5524636912533</v>
      </c>
      <c r="AC341" s="17">
        <f t="shared" si="23"/>
        <v>263.53450955403093</v>
      </c>
      <c r="AD341" s="57" t="s">
        <v>35</v>
      </c>
      <c r="AE341" s="63" t="s">
        <v>738</v>
      </c>
      <c r="AF341" s="27"/>
      <c r="AG341" s="27"/>
      <c r="AH341" s="27"/>
      <c r="AI341" s="27"/>
      <c r="AJ341" s="28"/>
      <c r="AK341" s="28"/>
      <c r="AL341" s="28"/>
      <c r="AM341" s="28"/>
      <c r="AN341" s="28"/>
      <c r="AO341" s="28"/>
      <c r="AP341" s="28"/>
      <c r="AQ341" s="28"/>
    </row>
    <row r="342" spans="1:43" ht="15.75" customHeight="1" x14ac:dyDescent="0.2">
      <c r="A342" s="7">
        <v>7811</v>
      </c>
      <c r="B342" s="54" t="s">
        <v>672</v>
      </c>
      <c r="C342" s="54" t="s">
        <v>796</v>
      </c>
      <c r="D342" s="54"/>
      <c r="E342" s="54" t="s">
        <v>182</v>
      </c>
      <c r="F342" s="72">
        <v>2018</v>
      </c>
      <c r="G342" s="72">
        <v>2023</v>
      </c>
      <c r="H342" s="72">
        <v>0</v>
      </c>
      <c r="I342" s="72">
        <v>37.6</v>
      </c>
      <c r="J342" s="73">
        <v>1</v>
      </c>
      <c r="K342" s="72">
        <v>37.6</v>
      </c>
      <c r="L342" s="54"/>
      <c r="M342" s="54"/>
      <c r="N342" s="72">
        <v>25</v>
      </c>
      <c r="O342" s="72">
        <v>138</v>
      </c>
      <c r="P342" s="54"/>
      <c r="Q342" s="65">
        <v>37500</v>
      </c>
      <c r="R342" s="54" t="s">
        <v>676</v>
      </c>
      <c r="S342" s="54">
        <v>2020</v>
      </c>
      <c r="T342" s="61">
        <v>0.23899999999999999</v>
      </c>
      <c r="U342" s="69">
        <f t="shared" si="20"/>
        <v>8962.5</v>
      </c>
      <c r="V342" s="70">
        <f t="shared" si="21"/>
        <v>238.36436170212764</v>
      </c>
      <c r="W342" s="15">
        <f t="shared" si="8"/>
        <v>0</v>
      </c>
      <c r="X342" s="15">
        <f t="shared" si="9"/>
        <v>0</v>
      </c>
      <c r="Y342" s="15">
        <f t="shared" si="10"/>
        <v>0</v>
      </c>
      <c r="Z342" s="13">
        <f t="shared" si="11"/>
        <v>0</v>
      </c>
      <c r="AA342" s="16">
        <f>VLOOKUP(S342,[1]CPI!$A$2:$D$67,4,0)</f>
        <v>1.0469802288156225</v>
      </c>
      <c r="AB342" s="17">
        <f t="shared" si="22"/>
        <v>9383.5603007600166</v>
      </c>
      <c r="AC342" s="17">
        <f t="shared" si="23"/>
        <v>249.56277395638338</v>
      </c>
      <c r="AD342" s="54" t="s">
        <v>73</v>
      </c>
      <c r="AE342" s="46" t="s">
        <v>823</v>
      </c>
      <c r="AF342" s="54"/>
      <c r="AG342" s="54"/>
      <c r="AH342" s="54"/>
      <c r="AI342" s="54"/>
      <c r="AJ342" s="82"/>
      <c r="AK342" s="82"/>
      <c r="AL342" s="82"/>
      <c r="AM342" s="82"/>
      <c r="AN342" s="82"/>
      <c r="AO342" s="82"/>
      <c r="AP342" s="82"/>
      <c r="AQ342" s="82"/>
    </row>
    <row r="343" spans="1:43" ht="15.75" customHeight="1" x14ac:dyDescent="0.2">
      <c r="A343" s="7">
        <v>7816</v>
      </c>
      <c r="B343" s="57" t="s">
        <v>672</v>
      </c>
      <c r="C343" s="57" t="s">
        <v>673</v>
      </c>
      <c r="D343" s="9" t="s">
        <v>283</v>
      </c>
      <c r="E343" s="57" t="s">
        <v>824</v>
      </c>
      <c r="F343" s="58">
        <v>2016</v>
      </c>
      <c r="G343" s="58">
        <v>2020</v>
      </c>
      <c r="H343" s="58">
        <v>0</v>
      </c>
      <c r="I343" s="58">
        <v>17.2</v>
      </c>
      <c r="J343" s="59">
        <v>0.87209302330000005</v>
      </c>
      <c r="K343" s="58">
        <v>15</v>
      </c>
      <c r="L343" s="58">
        <v>0</v>
      </c>
      <c r="M343" s="58">
        <v>0</v>
      </c>
      <c r="N343" s="58">
        <v>9</v>
      </c>
      <c r="O343" s="57"/>
      <c r="P343" s="57" t="s">
        <v>35</v>
      </c>
      <c r="Q343" s="67">
        <v>15330</v>
      </c>
      <c r="R343" s="57" t="s">
        <v>676</v>
      </c>
      <c r="S343" s="58">
        <v>2016</v>
      </c>
      <c r="T343" s="61">
        <v>0.251</v>
      </c>
      <c r="U343" s="62">
        <f t="shared" si="20"/>
        <v>3847.83</v>
      </c>
      <c r="V343" s="14">
        <f t="shared" si="21"/>
        <v>223.7110465116279</v>
      </c>
      <c r="W343" s="15">
        <f t="shared" si="8"/>
        <v>0</v>
      </c>
      <c r="X343" s="15">
        <f t="shared" si="9"/>
        <v>0</v>
      </c>
      <c r="Y343" s="15">
        <f t="shared" si="10"/>
        <v>0</v>
      </c>
      <c r="Z343" s="13">
        <f t="shared" si="11"/>
        <v>0</v>
      </c>
      <c r="AA343" s="16">
        <f>VLOOKUP(S343,[1]CPI!$A$2:$D$67,4,0)</f>
        <v>1.1290087372451638</v>
      </c>
      <c r="AB343" s="17">
        <f t="shared" si="22"/>
        <v>4344.2336894340588</v>
      </c>
      <c r="AC343" s="17">
        <f t="shared" si="23"/>
        <v>252.57172612988711</v>
      </c>
      <c r="AD343" s="57" t="s">
        <v>43</v>
      </c>
      <c r="AE343" s="63" t="s">
        <v>795</v>
      </c>
      <c r="AF343" s="27"/>
      <c r="AG343" s="27"/>
      <c r="AH343" s="27"/>
      <c r="AI343" s="27"/>
      <c r="AJ343" s="28"/>
      <c r="AK343" s="28"/>
      <c r="AL343" s="28"/>
      <c r="AM343" s="28"/>
      <c r="AN343" s="28"/>
      <c r="AO343" s="28"/>
      <c r="AP343" s="28"/>
      <c r="AQ343" s="28"/>
    </row>
    <row r="344" spans="1:43" ht="15.75" customHeight="1" x14ac:dyDescent="0.2">
      <c r="A344" s="7">
        <v>7817</v>
      </c>
      <c r="B344" s="57" t="s">
        <v>672</v>
      </c>
      <c r="C344" s="57" t="s">
        <v>759</v>
      </c>
      <c r="D344" s="9" t="s">
        <v>99</v>
      </c>
      <c r="E344" s="57" t="s">
        <v>825</v>
      </c>
      <c r="F344" s="57"/>
      <c r="G344" s="57"/>
      <c r="H344" s="58">
        <v>0</v>
      </c>
      <c r="I344" s="58">
        <v>13.35</v>
      </c>
      <c r="J344" s="59">
        <v>1</v>
      </c>
      <c r="K344" s="58">
        <v>13.35</v>
      </c>
      <c r="L344" s="58">
        <v>0</v>
      </c>
      <c r="M344" s="58">
        <v>0</v>
      </c>
      <c r="N344" s="58">
        <v>10</v>
      </c>
      <c r="O344" s="57"/>
      <c r="P344" s="57" t="s">
        <v>43</v>
      </c>
      <c r="Q344" s="67">
        <v>16017</v>
      </c>
      <c r="R344" s="57" t="s">
        <v>676</v>
      </c>
      <c r="S344" s="58">
        <v>2014</v>
      </c>
      <c r="T344" s="61">
        <v>0.26600000000000001</v>
      </c>
      <c r="U344" s="62">
        <f t="shared" si="20"/>
        <v>4260.5219999999999</v>
      </c>
      <c r="V344" s="14">
        <f t="shared" si="21"/>
        <v>319.14022471910113</v>
      </c>
      <c r="W344" s="15">
        <f t="shared" si="8"/>
        <v>0</v>
      </c>
      <c r="X344" s="15">
        <f t="shared" si="9"/>
        <v>0</v>
      </c>
      <c r="Y344" s="15">
        <f t="shared" si="10"/>
        <v>0</v>
      </c>
      <c r="Z344" s="13">
        <f t="shared" si="11"/>
        <v>0</v>
      </c>
      <c r="AA344" s="16">
        <f>VLOOKUP(S344,[1]CPI!$A$2:$D$67,4,0)</f>
        <v>1.1446083400919169</v>
      </c>
      <c r="AB344" s="17">
        <f t="shared" si="22"/>
        <v>4876.6290143450942</v>
      </c>
      <c r="AC344" s="17">
        <f t="shared" si="23"/>
        <v>365.29056287229167</v>
      </c>
      <c r="AD344" s="57" t="s">
        <v>43</v>
      </c>
      <c r="AE344" s="63" t="s">
        <v>826</v>
      </c>
      <c r="AF344" s="54"/>
      <c r="AG344" s="9"/>
      <c r="AH344" s="9"/>
      <c r="AI344" s="9"/>
      <c r="AJ344" s="9"/>
      <c r="AK344" s="9"/>
      <c r="AL344" s="9"/>
      <c r="AM344" s="9"/>
      <c r="AN344" s="9"/>
      <c r="AO344" s="9"/>
      <c r="AP344" s="9"/>
      <c r="AQ344" s="9"/>
    </row>
    <row r="345" spans="1:43" ht="15.75" customHeight="1" x14ac:dyDescent="0.2">
      <c r="A345" s="7">
        <v>7818</v>
      </c>
      <c r="B345" s="57" t="s">
        <v>672</v>
      </c>
      <c r="C345" s="57" t="s">
        <v>755</v>
      </c>
      <c r="D345" s="9"/>
      <c r="E345" s="57" t="s">
        <v>716</v>
      </c>
      <c r="F345" s="58">
        <v>2017</v>
      </c>
      <c r="G345" s="58">
        <v>2022</v>
      </c>
      <c r="H345" s="58">
        <v>0</v>
      </c>
      <c r="I345" s="58">
        <v>17.8</v>
      </c>
      <c r="J345" s="79"/>
      <c r="K345" s="57"/>
      <c r="L345" s="58" t="e">
        <v>#N/A</v>
      </c>
      <c r="M345" s="58" t="e">
        <v>#N/A</v>
      </c>
      <c r="N345" s="58">
        <v>14</v>
      </c>
      <c r="O345" s="57"/>
      <c r="P345" s="57" t="s">
        <v>35</v>
      </c>
      <c r="Q345" s="67">
        <v>15657</v>
      </c>
      <c r="R345" s="57" t="s">
        <v>676</v>
      </c>
      <c r="S345" s="58">
        <v>2016</v>
      </c>
      <c r="T345" s="61">
        <v>0.251</v>
      </c>
      <c r="U345" s="62">
        <f t="shared" si="20"/>
        <v>3929.9070000000002</v>
      </c>
      <c r="V345" s="14">
        <f t="shared" si="21"/>
        <v>220.78129213483146</v>
      </c>
      <c r="W345" s="15">
        <f t="shared" si="8"/>
        <v>0</v>
      </c>
      <c r="X345" s="15">
        <f t="shared" si="9"/>
        <v>0</v>
      </c>
      <c r="Y345" s="15">
        <f t="shared" si="10"/>
        <v>0</v>
      </c>
      <c r="Z345" s="13">
        <f t="shared" si="11"/>
        <v>0</v>
      </c>
      <c r="AA345" s="16">
        <f>VLOOKUP(S345,[1]CPI!$A$2:$D$67,4,0)</f>
        <v>1.1290087372451638</v>
      </c>
      <c r="AB345" s="17">
        <f t="shared" si="22"/>
        <v>4436.8993395609305</v>
      </c>
      <c r="AC345" s="17">
        <f t="shared" si="23"/>
        <v>249.26400784050168</v>
      </c>
      <c r="AD345" s="57" t="s">
        <v>35</v>
      </c>
      <c r="AE345" s="63" t="s">
        <v>827</v>
      </c>
      <c r="AF345" s="27"/>
      <c r="AG345" s="27"/>
      <c r="AH345" s="27"/>
      <c r="AI345" s="27"/>
      <c r="AJ345" s="28"/>
      <c r="AK345" s="28"/>
      <c r="AL345" s="28"/>
      <c r="AM345" s="28"/>
      <c r="AN345" s="28"/>
      <c r="AO345" s="28"/>
      <c r="AP345" s="28"/>
      <c r="AQ345" s="28"/>
    </row>
    <row r="346" spans="1:43" ht="15.75" customHeight="1" x14ac:dyDescent="0.2">
      <c r="A346" s="7">
        <v>7819</v>
      </c>
      <c r="B346" s="54" t="s">
        <v>672</v>
      </c>
      <c r="C346" s="54" t="s">
        <v>695</v>
      </c>
      <c r="D346" s="54"/>
      <c r="E346" s="54" t="s">
        <v>828</v>
      </c>
      <c r="F346" s="72">
        <v>2021</v>
      </c>
      <c r="G346" s="72">
        <v>2027</v>
      </c>
      <c r="H346" s="72">
        <v>1</v>
      </c>
      <c r="I346" s="72">
        <v>41.36</v>
      </c>
      <c r="J346" s="73">
        <v>0.94</v>
      </c>
      <c r="K346" s="72">
        <v>38.68</v>
      </c>
      <c r="L346" s="54"/>
      <c r="M346" s="54"/>
      <c r="N346" s="72">
        <v>17</v>
      </c>
      <c r="O346" s="72">
        <v>184</v>
      </c>
      <c r="P346" s="54"/>
      <c r="Q346" s="65">
        <v>39900</v>
      </c>
      <c r="R346" s="54" t="s">
        <v>676</v>
      </c>
      <c r="S346" s="54">
        <v>2021</v>
      </c>
      <c r="T346" s="61">
        <v>0.23899999999999999</v>
      </c>
      <c r="U346" s="69">
        <f t="shared" si="20"/>
        <v>9536.1</v>
      </c>
      <c r="V346" s="70">
        <f t="shared" si="21"/>
        <v>230.56334622823985</v>
      </c>
      <c r="W346" s="15">
        <f t="shared" si="8"/>
        <v>0</v>
      </c>
      <c r="X346" s="15">
        <f t="shared" si="9"/>
        <v>0</v>
      </c>
      <c r="Y346" s="15">
        <f t="shared" si="10"/>
        <v>0</v>
      </c>
      <c r="Z346" s="13">
        <f t="shared" si="11"/>
        <v>0</v>
      </c>
      <c r="AA346" s="16">
        <f>VLOOKUP(S346,[1]CPI!$A$2:$D$67,4,0)</f>
        <v>1</v>
      </c>
      <c r="AB346" s="17">
        <f t="shared" si="22"/>
        <v>9536.1</v>
      </c>
      <c r="AC346" s="17">
        <f t="shared" si="23"/>
        <v>230.56334622823985</v>
      </c>
      <c r="AD346" s="54" t="s">
        <v>73</v>
      </c>
      <c r="AE346" s="46" t="s">
        <v>829</v>
      </c>
      <c r="AF346" s="80" t="s">
        <v>830</v>
      </c>
      <c r="AG346" s="81"/>
      <c r="AH346" s="81"/>
      <c r="AI346" s="81"/>
      <c r="AJ346" s="82"/>
      <c r="AK346" s="82"/>
      <c r="AL346" s="82"/>
      <c r="AM346" s="82"/>
      <c r="AN346" s="82"/>
      <c r="AO346" s="82"/>
      <c r="AP346" s="82"/>
      <c r="AQ346" s="82"/>
    </row>
    <row r="347" spans="1:43" ht="15.75" customHeight="1" x14ac:dyDescent="0.2">
      <c r="A347" s="7">
        <v>7824</v>
      </c>
      <c r="B347" s="57" t="s">
        <v>672</v>
      </c>
      <c r="C347" s="57" t="s">
        <v>673</v>
      </c>
      <c r="D347" s="9"/>
      <c r="E347" s="57" t="s">
        <v>831</v>
      </c>
      <c r="F347" s="58">
        <v>2019</v>
      </c>
      <c r="G347" s="58">
        <v>2021</v>
      </c>
      <c r="H347" s="58">
        <v>0</v>
      </c>
      <c r="I347" s="58">
        <v>16.600000000000001</v>
      </c>
      <c r="J347" s="79"/>
      <c r="K347" s="57"/>
      <c r="L347" s="58" t="e">
        <v>#N/A</v>
      </c>
      <c r="M347" s="58" t="e">
        <v>#N/A</v>
      </c>
      <c r="N347" s="58">
        <v>8</v>
      </c>
      <c r="O347" s="57"/>
      <c r="P347" s="57" t="s">
        <v>35</v>
      </c>
      <c r="Q347" s="67">
        <v>14230</v>
      </c>
      <c r="R347" s="57" t="s">
        <v>676</v>
      </c>
      <c r="S347" s="58">
        <v>2015</v>
      </c>
      <c r="T347" s="61">
        <v>0.25800000000000001</v>
      </c>
      <c r="U347" s="62">
        <f t="shared" si="20"/>
        <v>3671.34</v>
      </c>
      <c r="V347" s="14">
        <f t="shared" si="21"/>
        <v>221.16506024096384</v>
      </c>
      <c r="W347" s="15">
        <f t="shared" si="8"/>
        <v>0</v>
      </c>
      <c r="X347" s="15">
        <f t="shared" si="9"/>
        <v>0</v>
      </c>
      <c r="Y347" s="15">
        <f t="shared" si="10"/>
        <v>0</v>
      </c>
      <c r="Z347" s="13">
        <f t="shared" si="11"/>
        <v>0</v>
      </c>
      <c r="AA347" s="16">
        <f>VLOOKUP(S347,[1]CPI!$A$2:$D$67,4,0)</f>
        <v>1.143251327963817</v>
      </c>
      <c r="AB347" s="17">
        <f t="shared" si="22"/>
        <v>4197.2643304066805</v>
      </c>
      <c r="AC347" s="17">
        <f t="shared" si="23"/>
        <v>252.84724881967949</v>
      </c>
      <c r="AD347" s="57" t="s">
        <v>43</v>
      </c>
      <c r="AE347" s="63" t="s">
        <v>795</v>
      </c>
      <c r="AF347" s="27"/>
      <c r="AG347" s="27"/>
      <c r="AH347" s="27"/>
      <c r="AI347" s="27"/>
      <c r="AJ347" s="28"/>
      <c r="AK347" s="28"/>
      <c r="AL347" s="28"/>
      <c r="AM347" s="28"/>
      <c r="AN347" s="28"/>
      <c r="AO347" s="28"/>
      <c r="AP347" s="28"/>
      <c r="AQ347" s="28"/>
    </row>
    <row r="348" spans="1:43" ht="15.75" customHeight="1" x14ac:dyDescent="0.2">
      <c r="A348" s="7">
        <v>7825</v>
      </c>
      <c r="B348" s="54" t="s">
        <v>672</v>
      </c>
      <c r="C348" s="54" t="s">
        <v>757</v>
      </c>
      <c r="D348" s="54"/>
      <c r="E348" s="54" t="s">
        <v>119</v>
      </c>
      <c r="F348" s="72">
        <v>2021</v>
      </c>
      <c r="G348" s="54"/>
      <c r="H348" s="72">
        <v>0</v>
      </c>
      <c r="I348" s="72">
        <v>37.4</v>
      </c>
      <c r="J348" s="73">
        <v>1</v>
      </c>
      <c r="K348" s="72">
        <v>37.4</v>
      </c>
      <c r="L348" s="54"/>
      <c r="M348" s="54"/>
      <c r="N348" s="72">
        <v>30</v>
      </c>
      <c r="O348" s="72">
        <v>138</v>
      </c>
      <c r="P348" s="54"/>
      <c r="Q348" s="65">
        <v>33458</v>
      </c>
      <c r="R348" s="54" t="s">
        <v>676</v>
      </c>
      <c r="S348" s="54">
        <v>2021</v>
      </c>
      <c r="T348" s="61">
        <v>0.23899999999999999</v>
      </c>
      <c r="U348" s="69">
        <f t="shared" si="20"/>
        <v>7996.4619999999995</v>
      </c>
      <c r="V348" s="70">
        <f t="shared" si="21"/>
        <v>213.80914438502674</v>
      </c>
      <c r="W348" s="15">
        <f t="shared" si="8"/>
        <v>0</v>
      </c>
      <c r="X348" s="15">
        <f t="shared" si="9"/>
        <v>0</v>
      </c>
      <c r="Y348" s="15">
        <f t="shared" si="10"/>
        <v>0</v>
      </c>
      <c r="Z348" s="13">
        <f t="shared" si="11"/>
        <v>0</v>
      </c>
      <c r="AA348" s="16">
        <f>VLOOKUP(S348,[1]CPI!$A$2:$D$67,4,0)</f>
        <v>1</v>
      </c>
      <c r="AB348" s="17">
        <f t="shared" si="22"/>
        <v>7996.4619999999995</v>
      </c>
      <c r="AC348" s="17">
        <f t="shared" si="23"/>
        <v>213.80914438502674</v>
      </c>
      <c r="AD348" s="54" t="s">
        <v>73</v>
      </c>
      <c r="AE348" s="46" t="s">
        <v>832</v>
      </c>
      <c r="AF348" s="54"/>
      <c r="AG348" s="54"/>
      <c r="AH348" s="54"/>
      <c r="AI348" s="54"/>
      <c r="AJ348" s="82"/>
      <c r="AK348" s="82"/>
      <c r="AL348" s="82"/>
      <c r="AM348" s="82"/>
      <c r="AN348" s="82"/>
      <c r="AO348" s="82"/>
      <c r="AP348" s="82"/>
      <c r="AQ348" s="82"/>
    </row>
    <row r="349" spans="1:43" ht="15.75" customHeight="1" x14ac:dyDescent="0.2">
      <c r="A349" s="7">
        <v>7826</v>
      </c>
      <c r="B349" s="54" t="s">
        <v>672</v>
      </c>
      <c r="C349" s="54" t="s">
        <v>806</v>
      </c>
      <c r="D349" s="54"/>
      <c r="E349" s="54" t="s">
        <v>833</v>
      </c>
      <c r="F349" s="72">
        <v>2021</v>
      </c>
      <c r="G349" s="54"/>
      <c r="H349" s="72">
        <v>0</v>
      </c>
      <c r="I349" s="72">
        <v>31.6</v>
      </c>
      <c r="J349" s="90"/>
      <c r="K349" s="54"/>
      <c r="L349" s="54"/>
      <c r="M349" s="54"/>
      <c r="N349" s="72">
        <v>22</v>
      </c>
      <c r="O349" s="72">
        <v>117</v>
      </c>
      <c r="P349" s="54"/>
      <c r="Q349" s="65">
        <v>29560</v>
      </c>
      <c r="R349" s="54" t="s">
        <v>676</v>
      </c>
      <c r="S349" s="54">
        <v>2021</v>
      </c>
      <c r="T349" s="61">
        <v>0.23899999999999999</v>
      </c>
      <c r="U349" s="69">
        <f t="shared" si="20"/>
        <v>7064.84</v>
      </c>
      <c r="V349" s="70">
        <f t="shared" si="21"/>
        <v>223.57088607594937</v>
      </c>
      <c r="W349" s="15">
        <f t="shared" si="8"/>
        <v>0</v>
      </c>
      <c r="X349" s="15">
        <f t="shared" si="9"/>
        <v>0</v>
      </c>
      <c r="Y349" s="15">
        <f t="shared" si="10"/>
        <v>0</v>
      </c>
      <c r="Z349" s="13">
        <f t="shared" si="11"/>
        <v>0</v>
      </c>
      <c r="AA349" s="16">
        <f>VLOOKUP(S349,[1]CPI!$A$2:$D$67,4,0)</f>
        <v>1</v>
      </c>
      <c r="AB349" s="17">
        <f t="shared" si="22"/>
        <v>7064.84</v>
      </c>
      <c r="AC349" s="17">
        <f t="shared" si="23"/>
        <v>223.57088607594937</v>
      </c>
      <c r="AD349" s="54" t="s">
        <v>43</v>
      </c>
      <c r="AE349" s="84" t="s">
        <v>834</v>
      </c>
      <c r="AF349" s="54"/>
      <c r="AG349" s="54"/>
      <c r="AH349" s="54"/>
      <c r="AI349" s="54"/>
      <c r="AJ349" s="82"/>
      <c r="AK349" s="82"/>
      <c r="AL349" s="82"/>
      <c r="AM349" s="82"/>
      <c r="AN349" s="82"/>
      <c r="AO349" s="82"/>
      <c r="AP349" s="82"/>
      <c r="AQ349" s="82"/>
    </row>
    <row r="350" spans="1:43" ht="15.75" customHeight="1" x14ac:dyDescent="0.2">
      <c r="A350" s="7">
        <v>7827</v>
      </c>
      <c r="B350" s="54" t="s">
        <v>672</v>
      </c>
      <c r="C350" s="54" t="s">
        <v>737</v>
      </c>
      <c r="D350" s="54"/>
      <c r="E350" s="54" t="s">
        <v>386</v>
      </c>
      <c r="F350" s="72">
        <v>2020</v>
      </c>
      <c r="G350" s="54"/>
      <c r="H350" s="72">
        <v>0</v>
      </c>
      <c r="I350" s="72">
        <v>50.34</v>
      </c>
      <c r="J350" s="73">
        <v>1</v>
      </c>
      <c r="K350" s="72">
        <v>50.34</v>
      </c>
      <c r="L350" s="54"/>
      <c r="M350" s="54"/>
      <c r="N350" s="72">
        <v>17</v>
      </c>
      <c r="O350" s="72">
        <v>184</v>
      </c>
      <c r="P350" s="54"/>
      <c r="Q350" s="65">
        <v>41005</v>
      </c>
      <c r="R350" s="54" t="s">
        <v>676</v>
      </c>
      <c r="S350" s="54">
        <v>2020</v>
      </c>
      <c r="T350" s="61">
        <v>0.23899999999999999</v>
      </c>
      <c r="U350" s="69">
        <f t="shared" si="20"/>
        <v>9800.1949999999997</v>
      </c>
      <c r="V350" s="70">
        <f t="shared" si="21"/>
        <v>194.6800754866905</v>
      </c>
      <c r="W350" s="15">
        <f t="shared" si="8"/>
        <v>0</v>
      </c>
      <c r="X350" s="15">
        <f t="shared" si="9"/>
        <v>0</v>
      </c>
      <c r="Y350" s="15">
        <f t="shared" si="10"/>
        <v>0</v>
      </c>
      <c r="Z350" s="13">
        <f t="shared" si="11"/>
        <v>0</v>
      </c>
      <c r="AA350" s="16">
        <f>VLOOKUP(S350,[1]CPI!$A$2:$D$67,4,0)</f>
        <v>1.0469802288156225</v>
      </c>
      <c r="AB350" s="17">
        <f t="shared" si="22"/>
        <v>10260.610403537719</v>
      </c>
      <c r="AC350" s="17">
        <f t="shared" si="23"/>
        <v>203.82618997889787</v>
      </c>
      <c r="AD350" s="54" t="s">
        <v>73</v>
      </c>
      <c r="AE350" s="46" t="s">
        <v>835</v>
      </c>
      <c r="AF350" s="54"/>
      <c r="AG350" s="54"/>
      <c r="AH350" s="54"/>
      <c r="AI350" s="54"/>
      <c r="AJ350" s="82"/>
      <c r="AK350" s="82"/>
      <c r="AL350" s="82"/>
      <c r="AM350" s="82"/>
      <c r="AN350" s="82"/>
      <c r="AO350" s="82"/>
      <c r="AP350" s="82"/>
      <c r="AQ350" s="82"/>
    </row>
    <row r="351" spans="1:43" ht="15.75" customHeight="1" x14ac:dyDescent="0.2">
      <c r="A351" s="91">
        <v>7832</v>
      </c>
      <c r="B351" s="54" t="s">
        <v>672</v>
      </c>
      <c r="C351" s="54" t="s">
        <v>673</v>
      </c>
      <c r="D351" s="9" t="s">
        <v>281</v>
      </c>
      <c r="E351" s="54" t="s">
        <v>735</v>
      </c>
      <c r="F351" s="72">
        <v>2008</v>
      </c>
      <c r="G351" s="72">
        <v>2012</v>
      </c>
      <c r="H351" s="72">
        <v>0</v>
      </c>
      <c r="I351" s="72">
        <v>30.4</v>
      </c>
      <c r="J351" s="73">
        <v>1</v>
      </c>
      <c r="K351" s="72">
        <v>30.4</v>
      </c>
      <c r="L351" s="54"/>
      <c r="M351" s="54"/>
      <c r="N351" s="72">
        <v>20</v>
      </c>
      <c r="O351" s="72">
        <v>156</v>
      </c>
      <c r="P351" s="54" t="s">
        <v>50</v>
      </c>
      <c r="Q351" s="65">
        <v>28000</v>
      </c>
      <c r="R351" s="54" t="s">
        <v>676</v>
      </c>
      <c r="S351" s="9">
        <v>2010</v>
      </c>
      <c r="T351" s="61">
        <v>0.3</v>
      </c>
      <c r="U351" s="74">
        <f t="shared" si="20"/>
        <v>8400</v>
      </c>
      <c r="V351" s="75">
        <f t="shared" si="21"/>
        <v>276.31578947368422</v>
      </c>
      <c r="W351" s="15">
        <f t="shared" si="8"/>
        <v>0</v>
      </c>
      <c r="X351" s="15">
        <f t="shared" si="9"/>
        <v>0</v>
      </c>
      <c r="Y351" s="15">
        <f t="shared" si="10"/>
        <v>0</v>
      </c>
      <c r="Z351" s="13">
        <f t="shared" si="11"/>
        <v>0</v>
      </c>
      <c r="AA351" s="16">
        <f>VLOOKUP(S351,[1]CPI!$A$2:$D$67,4,0)</f>
        <v>1.2426624353377114</v>
      </c>
      <c r="AB351" s="17">
        <f t="shared" si="22"/>
        <v>10438.364456836776</v>
      </c>
      <c r="AC351" s="17">
        <f t="shared" si="23"/>
        <v>343.36725186963076</v>
      </c>
      <c r="AD351" s="54" t="s">
        <v>43</v>
      </c>
      <c r="AE351" s="76" t="s">
        <v>836</v>
      </c>
      <c r="AF351" s="9"/>
      <c r="AG351" s="9"/>
      <c r="AH351" s="9"/>
      <c r="AI351" s="9"/>
      <c r="AJ351" s="77"/>
      <c r="AK351" s="77"/>
      <c r="AL351" s="77"/>
      <c r="AM351" s="77"/>
      <c r="AN351" s="77"/>
      <c r="AO351" s="77"/>
      <c r="AP351" s="77"/>
      <c r="AQ351" s="77"/>
    </row>
    <row r="352" spans="1:43" ht="15.75" customHeight="1" x14ac:dyDescent="0.2">
      <c r="A352" s="7">
        <v>7833</v>
      </c>
      <c r="B352" s="57" t="s">
        <v>672</v>
      </c>
      <c r="C352" s="57" t="s">
        <v>837</v>
      </c>
      <c r="D352" s="9" t="s">
        <v>281</v>
      </c>
      <c r="E352" s="57" t="s">
        <v>838</v>
      </c>
      <c r="F352" s="58">
        <v>2017</v>
      </c>
      <c r="G352" s="58">
        <v>2021</v>
      </c>
      <c r="H352" s="58">
        <v>0</v>
      </c>
      <c r="I352" s="58">
        <v>26.5</v>
      </c>
      <c r="J352" s="59">
        <v>1</v>
      </c>
      <c r="K352" s="58">
        <v>26.5</v>
      </c>
      <c r="L352" s="58">
        <v>0</v>
      </c>
      <c r="M352" s="58">
        <v>0</v>
      </c>
      <c r="N352" s="58">
        <v>20</v>
      </c>
      <c r="O352" s="57"/>
      <c r="P352" s="57" t="s">
        <v>35</v>
      </c>
      <c r="Q352" s="67">
        <v>22360</v>
      </c>
      <c r="R352" s="57" t="s">
        <v>676</v>
      </c>
      <c r="S352" s="58">
        <v>2017</v>
      </c>
      <c r="T352" s="61">
        <v>0.23899999999999999</v>
      </c>
      <c r="U352" s="62">
        <f t="shared" si="20"/>
        <v>5344.04</v>
      </c>
      <c r="V352" s="14">
        <f t="shared" si="21"/>
        <v>201.66188679245283</v>
      </c>
      <c r="W352" s="15">
        <f t="shared" si="8"/>
        <v>0</v>
      </c>
      <c r="X352" s="15">
        <f t="shared" si="9"/>
        <v>0</v>
      </c>
      <c r="Y352" s="15">
        <f t="shared" si="10"/>
        <v>0</v>
      </c>
      <c r="Z352" s="13">
        <f t="shared" si="11"/>
        <v>0</v>
      </c>
      <c r="AA352" s="16">
        <f>VLOOKUP(S352,[1]CPI!$A$2:$D$67,4,0)</f>
        <v>1.1054585509138382</v>
      </c>
      <c r="AB352" s="17">
        <f t="shared" si="22"/>
        <v>5907.6147144255874</v>
      </c>
      <c r="AC352" s="17">
        <f t="shared" si="23"/>
        <v>222.92885714813539</v>
      </c>
      <c r="AD352" s="57" t="s">
        <v>35</v>
      </c>
      <c r="AE352" s="63" t="s">
        <v>839</v>
      </c>
      <c r="AF352" s="27"/>
      <c r="AG352" s="27"/>
      <c r="AH352" s="27"/>
      <c r="AI352" s="27"/>
      <c r="AJ352" s="28"/>
      <c r="AK352" s="28"/>
      <c r="AL352" s="28"/>
      <c r="AM352" s="28"/>
      <c r="AN352" s="28"/>
      <c r="AO352" s="28"/>
      <c r="AP352" s="28"/>
      <c r="AQ352" s="28"/>
    </row>
    <row r="353" spans="1:43" ht="15.75" customHeight="1" x14ac:dyDescent="0.2">
      <c r="A353" s="7">
        <v>7834</v>
      </c>
      <c r="B353" s="54" t="s">
        <v>672</v>
      </c>
      <c r="C353" s="54" t="s">
        <v>757</v>
      </c>
      <c r="D353" s="9" t="s">
        <v>92</v>
      </c>
      <c r="E353" s="54" t="s">
        <v>840</v>
      </c>
      <c r="F353" s="72">
        <v>2021</v>
      </c>
      <c r="G353" s="54"/>
      <c r="H353" s="72">
        <v>0</v>
      </c>
      <c r="I353" s="72">
        <v>6.54</v>
      </c>
      <c r="J353" s="73">
        <v>0.92</v>
      </c>
      <c r="K353" s="72">
        <v>6.04</v>
      </c>
      <c r="L353" s="54"/>
      <c r="M353" s="54"/>
      <c r="N353" s="72">
        <v>5</v>
      </c>
      <c r="O353" s="72">
        <v>138</v>
      </c>
      <c r="P353" s="54"/>
      <c r="Q353" s="65">
        <v>8180</v>
      </c>
      <c r="R353" s="54" t="s">
        <v>676</v>
      </c>
      <c r="S353" s="54">
        <v>2021</v>
      </c>
      <c r="T353" s="61">
        <v>0.23899999999999999</v>
      </c>
      <c r="U353" s="69">
        <f t="shared" si="20"/>
        <v>1955.02</v>
      </c>
      <c r="V353" s="70">
        <f t="shared" si="21"/>
        <v>298.93272171253824</v>
      </c>
      <c r="W353" s="15">
        <f t="shared" si="8"/>
        <v>0</v>
      </c>
      <c r="X353" s="15">
        <f t="shared" si="9"/>
        <v>0</v>
      </c>
      <c r="Y353" s="15">
        <f t="shared" si="10"/>
        <v>0</v>
      </c>
      <c r="Z353" s="13">
        <f t="shared" si="11"/>
        <v>0</v>
      </c>
      <c r="AA353" s="16">
        <f>VLOOKUP(S353,[1]CPI!$A$2:$D$67,4,0)</f>
        <v>1</v>
      </c>
      <c r="AB353" s="17">
        <f t="shared" si="22"/>
        <v>1955.02</v>
      </c>
      <c r="AC353" s="17">
        <f t="shared" si="23"/>
        <v>298.93272171253824</v>
      </c>
      <c r="AD353" s="54" t="s">
        <v>73</v>
      </c>
      <c r="AE353" s="46" t="s">
        <v>841</v>
      </c>
      <c r="AF353" s="54"/>
      <c r="AG353" s="54"/>
      <c r="AH353" s="54"/>
      <c r="AI353" s="54"/>
      <c r="AJ353" s="82"/>
      <c r="AK353" s="82"/>
      <c r="AL353" s="82"/>
      <c r="AM353" s="82"/>
      <c r="AN353" s="82"/>
      <c r="AO353" s="82"/>
      <c r="AP353" s="82"/>
      <c r="AQ353" s="82"/>
    </row>
    <row r="354" spans="1:43" ht="15.75" customHeight="1" x14ac:dyDescent="0.2">
      <c r="A354" s="91">
        <v>7835</v>
      </c>
      <c r="B354" s="54" t="s">
        <v>672</v>
      </c>
      <c r="C354" s="54" t="s">
        <v>755</v>
      </c>
      <c r="D354" s="54" t="s">
        <v>287</v>
      </c>
      <c r="E354" s="54" t="s">
        <v>723</v>
      </c>
      <c r="F354" s="54"/>
      <c r="G354" s="54">
        <v>2021</v>
      </c>
      <c r="H354" s="54">
        <v>0</v>
      </c>
      <c r="I354" s="54">
        <v>15.183999999999999</v>
      </c>
      <c r="J354" s="73">
        <v>1</v>
      </c>
      <c r="K354" s="54">
        <v>15.183999999999999</v>
      </c>
      <c r="L354" s="54"/>
      <c r="M354" s="54"/>
      <c r="N354" s="54">
        <v>12</v>
      </c>
      <c r="O354" s="54">
        <v>138</v>
      </c>
      <c r="P354" s="54"/>
      <c r="Q354" s="65">
        <v>15702</v>
      </c>
      <c r="R354" s="54" t="s">
        <v>676</v>
      </c>
      <c r="S354" s="54">
        <v>2021</v>
      </c>
      <c r="T354" s="61">
        <v>0.23899999999999999</v>
      </c>
      <c r="U354" s="69">
        <f t="shared" si="20"/>
        <v>3752.7779999999998</v>
      </c>
      <c r="V354" s="70">
        <f t="shared" si="21"/>
        <v>247.15345100105375</v>
      </c>
      <c r="W354" s="15">
        <f t="shared" si="8"/>
        <v>0</v>
      </c>
      <c r="X354" s="15">
        <f t="shared" si="9"/>
        <v>0</v>
      </c>
      <c r="Y354" s="15">
        <f t="shared" si="10"/>
        <v>0</v>
      </c>
      <c r="Z354" s="13">
        <f t="shared" si="11"/>
        <v>0</v>
      </c>
      <c r="AA354" s="16">
        <f>VLOOKUP(S354,[1]CPI!$A$2:$D$67,4,0)</f>
        <v>1</v>
      </c>
      <c r="AB354" s="17">
        <f t="shared" si="22"/>
        <v>3752.7779999999998</v>
      </c>
      <c r="AC354" s="17">
        <f t="shared" si="23"/>
        <v>247.15345100105375</v>
      </c>
      <c r="AD354" s="54" t="s">
        <v>73</v>
      </c>
      <c r="AE354" s="46" t="s">
        <v>842</v>
      </c>
      <c r="AF354" s="54"/>
      <c r="AG354" s="54"/>
      <c r="AH354" s="54"/>
      <c r="AI354" s="54"/>
      <c r="AJ354" s="54"/>
      <c r="AK354" s="54"/>
      <c r="AL354" s="54"/>
      <c r="AM354" s="54"/>
      <c r="AN354" s="54"/>
      <c r="AO354" s="54"/>
      <c r="AP354" s="54"/>
      <c r="AQ354" s="54"/>
    </row>
    <row r="355" spans="1:43" ht="15.75" customHeight="1" x14ac:dyDescent="0.2">
      <c r="A355" s="7">
        <v>7840</v>
      </c>
      <c r="B355" s="54" t="s">
        <v>672</v>
      </c>
      <c r="C355" s="54" t="s">
        <v>759</v>
      </c>
      <c r="D355" s="54" t="s">
        <v>674</v>
      </c>
      <c r="E355" s="54" t="s">
        <v>714</v>
      </c>
      <c r="F355" s="72">
        <v>2016</v>
      </c>
      <c r="G355" s="72">
        <v>2021</v>
      </c>
      <c r="H355" s="72">
        <v>0</v>
      </c>
      <c r="I355" s="72">
        <v>17.600000000000001</v>
      </c>
      <c r="J355" s="73">
        <v>1</v>
      </c>
      <c r="K355" s="72">
        <v>17.600000000000001</v>
      </c>
      <c r="L355" s="54"/>
      <c r="M355" s="54"/>
      <c r="N355" s="72">
        <v>12</v>
      </c>
      <c r="O355" s="72">
        <v>184</v>
      </c>
      <c r="P355" s="54"/>
      <c r="Q355" s="65">
        <v>14670</v>
      </c>
      <c r="R355" s="54" t="s">
        <v>676</v>
      </c>
      <c r="S355" s="58">
        <v>2018</v>
      </c>
      <c r="T355" s="61">
        <v>0.23699999999999999</v>
      </c>
      <c r="U355" s="69">
        <f t="shared" si="20"/>
        <v>3476.79</v>
      </c>
      <c r="V355" s="70">
        <f t="shared" si="21"/>
        <v>197.54488636363635</v>
      </c>
      <c r="W355" s="15">
        <f t="shared" si="8"/>
        <v>0</v>
      </c>
      <c r="X355" s="15">
        <f t="shared" si="9"/>
        <v>0</v>
      </c>
      <c r="Y355" s="15">
        <f t="shared" si="10"/>
        <v>0</v>
      </c>
      <c r="Z355" s="13">
        <f t="shared" si="11"/>
        <v>0</v>
      </c>
      <c r="AA355" s="16">
        <f>VLOOKUP(S355,[1]CPI!$A$2:$D$67,4,0)</f>
        <v>1.0791017375063221</v>
      </c>
      <c r="AB355" s="17">
        <f t="shared" si="22"/>
        <v>3751.8101299446057</v>
      </c>
      <c r="AC355" s="17">
        <f t="shared" si="23"/>
        <v>213.17103011048894</v>
      </c>
      <c r="AD355" s="54" t="s">
        <v>73</v>
      </c>
      <c r="AE355" s="46" t="s">
        <v>843</v>
      </c>
      <c r="AF355" s="54"/>
      <c r="AG355" s="54"/>
      <c r="AH355" s="54"/>
      <c r="AI355" s="54"/>
      <c r="AJ355" s="82"/>
      <c r="AK355" s="82"/>
      <c r="AL355" s="82"/>
      <c r="AM355" s="82"/>
      <c r="AN355" s="82"/>
      <c r="AO355" s="82"/>
      <c r="AP355" s="82"/>
      <c r="AQ355" s="82"/>
    </row>
    <row r="356" spans="1:43" ht="15.75" customHeight="1" x14ac:dyDescent="0.2">
      <c r="A356" s="7">
        <v>7841</v>
      </c>
      <c r="B356" s="57" t="s">
        <v>672</v>
      </c>
      <c r="C356" s="57" t="s">
        <v>837</v>
      </c>
      <c r="D356" s="9"/>
      <c r="E356" s="57" t="s">
        <v>711</v>
      </c>
      <c r="F356" s="58">
        <v>2017</v>
      </c>
      <c r="G356" s="58">
        <v>2021</v>
      </c>
      <c r="H356" s="58">
        <v>0</v>
      </c>
      <c r="I356" s="58">
        <v>21.6</v>
      </c>
      <c r="J356" s="59">
        <v>1</v>
      </c>
      <c r="K356" s="58">
        <v>21.6</v>
      </c>
      <c r="L356" s="58">
        <v>0</v>
      </c>
      <c r="M356" s="58">
        <v>0</v>
      </c>
      <c r="N356" s="58">
        <v>16</v>
      </c>
      <c r="O356" s="57"/>
      <c r="P356" s="57" t="s">
        <v>35</v>
      </c>
      <c r="Q356" s="67">
        <v>18132</v>
      </c>
      <c r="R356" s="57" t="s">
        <v>676</v>
      </c>
      <c r="S356" s="58">
        <v>2017</v>
      </c>
      <c r="T356" s="61">
        <v>0.23899999999999999</v>
      </c>
      <c r="U356" s="62">
        <f t="shared" si="20"/>
        <v>4333.5479999999998</v>
      </c>
      <c r="V356" s="14">
        <f t="shared" si="21"/>
        <v>200.6272222222222</v>
      </c>
      <c r="W356" s="15">
        <f t="shared" si="8"/>
        <v>0</v>
      </c>
      <c r="X356" s="15">
        <f t="shared" si="9"/>
        <v>0</v>
      </c>
      <c r="Y356" s="15">
        <f t="shared" si="10"/>
        <v>0</v>
      </c>
      <c r="Z356" s="13">
        <f t="shared" si="11"/>
        <v>0</v>
      </c>
      <c r="AA356" s="16">
        <f>VLOOKUP(S356,[1]CPI!$A$2:$D$67,4,0)</f>
        <v>1.1054585509138382</v>
      </c>
      <c r="AB356" s="17">
        <f t="shared" si="22"/>
        <v>4790.5576923955614</v>
      </c>
      <c r="AC356" s="17">
        <f t="shared" si="23"/>
        <v>221.78507835164635</v>
      </c>
      <c r="AD356" s="57" t="s">
        <v>35</v>
      </c>
      <c r="AE356" s="63" t="s">
        <v>839</v>
      </c>
      <c r="AF356" s="27"/>
      <c r="AG356" s="27"/>
      <c r="AH356" s="27"/>
      <c r="AI356" s="27"/>
      <c r="AJ356" s="28"/>
      <c r="AK356" s="28"/>
      <c r="AL356" s="28"/>
      <c r="AM356" s="28"/>
      <c r="AN356" s="28"/>
      <c r="AO356" s="28"/>
      <c r="AP356" s="28"/>
      <c r="AQ356" s="28"/>
    </row>
    <row r="357" spans="1:43" ht="15.75" customHeight="1" x14ac:dyDescent="0.2">
      <c r="A357" s="7">
        <v>7842</v>
      </c>
      <c r="B357" s="54" t="s">
        <v>672</v>
      </c>
      <c r="C357" s="54" t="s">
        <v>819</v>
      </c>
      <c r="D357" s="54"/>
      <c r="E357" s="54" t="s">
        <v>103</v>
      </c>
      <c r="F357" s="54"/>
      <c r="G357" s="72">
        <v>2021</v>
      </c>
      <c r="H357" s="72">
        <v>0</v>
      </c>
      <c r="I357" s="72">
        <v>28.5</v>
      </c>
      <c r="J357" s="73">
        <v>1</v>
      </c>
      <c r="K357" s="72">
        <v>28.5</v>
      </c>
      <c r="L357" s="54"/>
      <c r="M357" s="54"/>
      <c r="N357" s="72">
        <v>22</v>
      </c>
      <c r="O357" s="72">
        <v>117</v>
      </c>
      <c r="P357" s="54"/>
      <c r="Q357" s="65">
        <v>22347</v>
      </c>
      <c r="R357" s="54" t="s">
        <v>676</v>
      </c>
      <c r="S357" s="54">
        <v>2021</v>
      </c>
      <c r="T357" s="61">
        <v>0.23899999999999999</v>
      </c>
      <c r="U357" s="69">
        <f t="shared" si="20"/>
        <v>5340.933</v>
      </c>
      <c r="V357" s="70">
        <f t="shared" si="21"/>
        <v>187.40115789473685</v>
      </c>
      <c r="W357" s="15">
        <f t="shared" si="8"/>
        <v>0</v>
      </c>
      <c r="X357" s="15">
        <f t="shared" si="9"/>
        <v>0</v>
      </c>
      <c r="Y357" s="15">
        <f t="shared" si="10"/>
        <v>0</v>
      </c>
      <c r="Z357" s="13">
        <f t="shared" si="11"/>
        <v>0</v>
      </c>
      <c r="AA357" s="16">
        <f>VLOOKUP(S357,[1]CPI!$A$2:$D$67,4,0)</f>
        <v>1</v>
      </c>
      <c r="AB357" s="17">
        <f t="shared" si="22"/>
        <v>5340.933</v>
      </c>
      <c r="AC357" s="17">
        <f t="shared" si="23"/>
        <v>187.40115789473685</v>
      </c>
      <c r="AD357" s="54" t="s">
        <v>73</v>
      </c>
      <c r="AE357" s="46" t="s">
        <v>844</v>
      </c>
      <c r="AF357" s="54"/>
      <c r="AG357" s="54"/>
      <c r="AH357" s="54"/>
      <c r="AI357" s="54"/>
      <c r="AJ357" s="82"/>
      <c r="AK357" s="82"/>
      <c r="AL357" s="82"/>
      <c r="AM357" s="82"/>
      <c r="AN357" s="82"/>
      <c r="AO357" s="82"/>
      <c r="AP357" s="82"/>
      <c r="AQ357" s="82"/>
    </row>
    <row r="358" spans="1:43" ht="15.75" customHeight="1" x14ac:dyDescent="0.2">
      <c r="A358" s="7">
        <v>7843</v>
      </c>
      <c r="B358" s="57" t="s">
        <v>672</v>
      </c>
      <c r="C358" s="57" t="s">
        <v>845</v>
      </c>
      <c r="D358" s="9"/>
      <c r="E358" s="57" t="s">
        <v>281</v>
      </c>
      <c r="F358" s="58">
        <v>2017</v>
      </c>
      <c r="G358" s="58">
        <v>2022</v>
      </c>
      <c r="H358" s="58">
        <v>0</v>
      </c>
      <c r="I358" s="58">
        <v>44.5</v>
      </c>
      <c r="J358" s="59">
        <v>1</v>
      </c>
      <c r="K358" s="58">
        <v>44.5</v>
      </c>
      <c r="L358" s="58">
        <v>0</v>
      </c>
      <c r="M358" s="58">
        <v>0</v>
      </c>
      <c r="N358" s="58">
        <v>27</v>
      </c>
      <c r="O358" s="57"/>
      <c r="P358" s="57" t="s">
        <v>35</v>
      </c>
      <c r="Q358" s="67">
        <v>36464</v>
      </c>
      <c r="R358" s="57" t="s">
        <v>676</v>
      </c>
      <c r="S358" s="58">
        <v>2016</v>
      </c>
      <c r="T358" s="61">
        <v>0.251</v>
      </c>
      <c r="U358" s="62">
        <f t="shared" si="20"/>
        <v>9152.4639999999999</v>
      </c>
      <c r="V358" s="14">
        <f t="shared" si="21"/>
        <v>205.67334831460673</v>
      </c>
      <c r="W358" s="15">
        <f t="shared" si="8"/>
        <v>0</v>
      </c>
      <c r="X358" s="15">
        <f t="shared" si="9"/>
        <v>0</v>
      </c>
      <c r="Y358" s="15">
        <f t="shared" si="10"/>
        <v>0</v>
      </c>
      <c r="Z358" s="13">
        <f t="shared" si="11"/>
        <v>0</v>
      </c>
      <c r="AA358" s="16">
        <f>VLOOKUP(S358,[1]CPI!$A$2:$D$67,4,0)</f>
        <v>1.1290087372451638</v>
      </c>
      <c r="AB358" s="17">
        <f t="shared" si="22"/>
        <v>10333.211823321821</v>
      </c>
      <c r="AC358" s="17">
        <f t="shared" si="23"/>
        <v>232.20700726565889</v>
      </c>
      <c r="AD358" s="57" t="s">
        <v>35</v>
      </c>
      <c r="AE358" s="63" t="s">
        <v>846</v>
      </c>
      <c r="AF358" s="19"/>
      <c r="AG358" s="19"/>
      <c r="AH358" s="19"/>
      <c r="AI358" s="19"/>
      <c r="AJ358" s="20"/>
      <c r="AK358" s="20"/>
      <c r="AL358" s="20"/>
      <c r="AM358" s="20"/>
      <c r="AN358" s="20"/>
      <c r="AO358" s="20"/>
      <c r="AP358" s="20"/>
      <c r="AQ358" s="20"/>
    </row>
    <row r="359" spans="1:43" ht="15.75" customHeight="1" x14ac:dyDescent="0.2">
      <c r="A359" s="7">
        <v>7848</v>
      </c>
      <c r="B359" s="54" t="s">
        <v>672</v>
      </c>
      <c r="C359" s="54" t="s">
        <v>757</v>
      </c>
      <c r="D359" s="54" t="s">
        <v>142</v>
      </c>
      <c r="E359" s="54" t="s">
        <v>847</v>
      </c>
      <c r="F359" s="72">
        <v>2021</v>
      </c>
      <c r="G359" s="72">
        <v>2025</v>
      </c>
      <c r="H359" s="72">
        <v>0</v>
      </c>
      <c r="I359" s="72">
        <v>10</v>
      </c>
      <c r="J359" s="73">
        <v>1</v>
      </c>
      <c r="K359" s="72">
        <v>10</v>
      </c>
      <c r="L359" s="54"/>
      <c r="M359" s="54"/>
      <c r="N359" s="72">
        <v>6</v>
      </c>
      <c r="O359" s="72">
        <v>117</v>
      </c>
      <c r="P359" s="54"/>
      <c r="Q359" s="65">
        <v>8810</v>
      </c>
      <c r="R359" s="54" t="s">
        <v>676</v>
      </c>
      <c r="S359" s="54">
        <v>2021</v>
      </c>
      <c r="T359" s="61">
        <v>0.23899999999999999</v>
      </c>
      <c r="U359" s="69">
        <f t="shared" si="20"/>
        <v>2105.5899999999997</v>
      </c>
      <c r="V359" s="70">
        <f t="shared" si="21"/>
        <v>210.55899999999997</v>
      </c>
      <c r="W359" s="15">
        <f t="shared" si="8"/>
        <v>0</v>
      </c>
      <c r="X359" s="15">
        <f t="shared" si="9"/>
        <v>0</v>
      </c>
      <c r="Y359" s="15">
        <f t="shared" si="10"/>
        <v>0</v>
      </c>
      <c r="Z359" s="13">
        <f t="shared" si="11"/>
        <v>0</v>
      </c>
      <c r="AA359" s="16">
        <f>VLOOKUP(S359,[1]CPI!$A$2:$D$67,4,0)</f>
        <v>1</v>
      </c>
      <c r="AB359" s="17">
        <f t="shared" si="22"/>
        <v>2105.5899999999997</v>
      </c>
      <c r="AC359" s="17">
        <f t="shared" si="23"/>
        <v>210.55899999999997</v>
      </c>
      <c r="AD359" s="54" t="s">
        <v>73</v>
      </c>
      <c r="AE359" s="46" t="s">
        <v>848</v>
      </c>
      <c r="AF359" s="54"/>
      <c r="AG359" s="54"/>
      <c r="AH359" s="54"/>
      <c r="AI359" s="54"/>
      <c r="AJ359" s="82"/>
      <c r="AK359" s="82"/>
      <c r="AL359" s="82"/>
      <c r="AM359" s="82"/>
      <c r="AN359" s="82"/>
      <c r="AO359" s="82"/>
      <c r="AP359" s="82"/>
      <c r="AQ359" s="82"/>
    </row>
    <row r="360" spans="1:43" ht="15.75" customHeight="1" x14ac:dyDescent="0.2">
      <c r="A360" s="7">
        <v>7849</v>
      </c>
      <c r="B360" s="57" t="s">
        <v>672</v>
      </c>
      <c r="C360" s="57" t="s">
        <v>759</v>
      </c>
      <c r="D360" s="9"/>
      <c r="E360" s="57" t="s">
        <v>784</v>
      </c>
      <c r="F360" s="57"/>
      <c r="G360" s="57"/>
      <c r="H360" s="58">
        <v>0</v>
      </c>
      <c r="I360" s="58">
        <v>20.6</v>
      </c>
      <c r="J360" s="59">
        <v>1</v>
      </c>
      <c r="K360" s="58">
        <v>20.6</v>
      </c>
      <c r="L360" s="58">
        <v>0</v>
      </c>
      <c r="M360" s="58">
        <v>0</v>
      </c>
      <c r="N360" s="58">
        <v>6</v>
      </c>
      <c r="O360" s="57"/>
      <c r="P360" s="57" t="s">
        <v>35</v>
      </c>
      <c r="Q360" s="67">
        <v>17190</v>
      </c>
      <c r="R360" s="57" t="s">
        <v>676</v>
      </c>
      <c r="S360" s="58">
        <v>2018</v>
      </c>
      <c r="T360" s="61">
        <v>0.23699999999999999</v>
      </c>
      <c r="U360" s="62">
        <f t="shared" si="20"/>
        <v>4074.0299999999997</v>
      </c>
      <c r="V360" s="14">
        <f t="shared" si="21"/>
        <v>197.76844660194172</v>
      </c>
      <c r="W360" s="15">
        <f t="shared" si="8"/>
        <v>0</v>
      </c>
      <c r="X360" s="15">
        <f t="shared" si="9"/>
        <v>0</v>
      </c>
      <c r="Y360" s="15">
        <f t="shared" si="10"/>
        <v>0</v>
      </c>
      <c r="Z360" s="13">
        <f t="shared" si="11"/>
        <v>0</v>
      </c>
      <c r="AA360" s="16">
        <f>VLOOKUP(S360,[1]CPI!$A$2:$D$67,4,0)</f>
        <v>1.0791017375063221</v>
      </c>
      <c r="AB360" s="17">
        <f t="shared" si="22"/>
        <v>4396.2928516528809</v>
      </c>
      <c r="AC360" s="17">
        <f t="shared" si="23"/>
        <v>213.4122743520816</v>
      </c>
      <c r="AD360" s="57" t="s">
        <v>35</v>
      </c>
      <c r="AE360" s="63" t="s">
        <v>783</v>
      </c>
      <c r="AF360" s="19"/>
      <c r="AG360" s="19"/>
      <c r="AH360" s="19"/>
      <c r="AI360" s="19"/>
      <c r="AJ360" s="20"/>
      <c r="AK360" s="20"/>
      <c r="AL360" s="20"/>
      <c r="AM360" s="20"/>
      <c r="AN360" s="20"/>
      <c r="AO360" s="20"/>
      <c r="AP360" s="20"/>
      <c r="AQ360" s="20"/>
    </row>
    <row r="361" spans="1:43" ht="15.75" customHeight="1" x14ac:dyDescent="0.2">
      <c r="A361" s="7">
        <v>7850</v>
      </c>
      <c r="B361" s="54" t="s">
        <v>672</v>
      </c>
      <c r="C361" s="54" t="s">
        <v>757</v>
      </c>
      <c r="D361" s="54"/>
      <c r="E361" s="54" t="s">
        <v>849</v>
      </c>
      <c r="F361" s="72">
        <v>2020</v>
      </c>
      <c r="G361" s="72">
        <v>2023</v>
      </c>
      <c r="H361" s="72">
        <v>0</v>
      </c>
      <c r="I361" s="72">
        <v>13.33</v>
      </c>
      <c r="J361" s="73">
        <v>1</v>
      </c>
      <c r="K361" s="72">
        <v>13.33</v>
      </c>
      <c r="L361" s="54"/>
      <c r="M361" s="54"/>
      <c r="N361" s="72">
        <v>10</v>
      </c>
      <c r="O361" s="72">
        <v>138</v>
      </c>
      <c r="P361" s="54"/>
      <c r="Q361" s="65">
        <v>10508</v>
      </c>
      <c r="R361" s="54" t="s">
        <v>676</v>
      </c>
      <c r="S361" s="54">
        <v>2021</v>
      </c>
      <c r="T361" s="61">
        <v>0.23899999999999999</v>
      </c>
      <c r="U361" s="69">
        <f t="shared" si="20"/>
        <v>2511.4119999999998</v>
      </c>
      <c r="V361" s="70">
        <f t="shared" si="21"/>
        <v>188.40300075018754</v>
      </c>
      <c r="W361" s="15">
        <f t="shared" si="8"/>
        <v>0</v>
      </c>
      <c r="X361" s="15">
        <f t="shared" si="9"/>
        <v>0</v>
      </c>
      <c r="Y361" s="15">
        <f t="shared" si="10"/>
        <v>0</v>
      </c>
      <c r="Z361" s="13">
        <f t="shared" si="11"/>
        <v>0</v>
      </c>
      <c r="AA361" s="16">
        <f>VLOOKUP(S361,[1]CPI!$A$2:$D$67,4,0)</f>
        <v>1</v>
      </c>
      <c r="AB361" s="17">
        <f t="shared" si="22"/>
        <v>2511.4119999999998</v>
      </c>
      <c r="AC361" s="17">
        <f t="shared" si="23"/>
        <v>188.40300075018754</v>
      </c>
      <c r="AD361" s="54" t="s">
        <v>73</v>
      </c>
      <c r="AE361" s="46" t="s">
        <v>850</v>
      </c>
      <c r="AF361" s="54"/>
      <c r="AG361" s="54"/>
      <c r="AH361" s="54"/>
      <c r="AI361" s="54"/>
      <c r="AJ361" s="82"/>
      <c r="AK361" s="82"/>
      <c r="AL361" s="82"/>
      <c r="AM361" s="82"/>
      <c r="AN361" s="82"/>
      <c r="AO361" s="82"/>
      <c r="AP361" s="82"/>
      <c r="AQ361" s="82"/>
    </row>
    <row r="362" spans="1:43" ht="15.75" customHeight="1" x14ac:dyDescent="0.2">
      <c r="A362" s="7">
        <v>7851</v>
      </c>
      <c r="B362" s="57" t="s">
        <v>672</v>
      </c>
      <c r="C362" s="57" t="s">
        <v>796</v>
      </c>
      <c r="D362" s="9" t="s">
        <v>386</v>
      </c>
      <c r="E362" s="57" t="s">
        <v>851</v>
      </c>
      <c r="F362" s="58">
        <v>2017</v>
      </c>
      <c r="G362" s="58">
        <v>2021</v>
      </c>
      <c r="H362" s="58">
        <v>0</v>
      </c>
      <c r="I362" s="58">
        <v>11.6</v>
      </c>
      <c r="J362" s="59">
        <v>1</v>
      </c>
      <c r="K362" s="58">
        <v>11.6</v>
      </c>
      <c r="L362" s="58">
        <v>0</v>
      </c>
      <c r="M362" s="58">
        <v>0</v>
      </c>
      <c r="N362" s="58">
        <v>7</v>
      </c>
      <c r="O362" s="57"/>
      <c r="P362" s="57" t="s">
        <v>35</v>
      </c>
      <c r="Q362" s="67">
        <v>9494</v>
      </c>
      <c r="R362" s="57" t="s">
        <v>676</v>
      </c>
      <c r="S362" s="58">
        <v>2017</v>
      </c>
      <c r="T362" s="61">
        <v>0.23899999999999999</v>
      </c>
      <c r="U362" s="62">
        <f t="shared" si="20"/>
        <v>2269.0659999999998</v>
      </c>
      <c r="V362" s="14">
        <f t="shared" si="21"/>
        <v>195.60913793103447</v>
      </c>
      <c r="W362" s="15">
        <f t="shared" si="8"/>
        <v>0</v>
      </c>
      <c r="X362" s="15">
        <f t="shared" si="9"/>
        <v>0</v>
      </c>
      <c r="Y362" s="15">
        <f t="shared" si="10"/>
        <v>0</v>
      </c>
      <c r="Z362" s="13">
        <f t="shared" si="11"/>
        <v>0</v>
      </c>
      <c r="AA362" s="16">
        <f>VLOOKUP(S362,[1]CPI!$A$2:$D$67,4,0)</f>
        <v>1.1054585509138382</v>
      </c>
      <c r="AB362" s="17">
        <f t="shared" si="22"/>
        <v>2508.3584122878588</v>
      </c>
      <c r="AC362" s="17">
        <f t="shared" si="23"/>
        <v>216.23779416274647</v>
      </c>
      <c r="AD362" s="57" t="s">
        <v>35</v>
      </c>
      <c r="AE362" s="63" t="s">
        <v>852</v>
      </c>
      <c r="AF362" s="27"/>
      <c r="AG362" s="27"/>
      <c r="AH362" s="27"/>
      <c r="AI362" s="27"/>
      <c r="AJ362" s="28"/>
      <c r="AK362" s="28"/>
      <c r="AL362" s="28"/>
      <c r="AM362" s="28"/>
      <c r="AN362" s="28"/>
      <c r="AO362" s="28"/>
      <c r="AP362" s="28"/>
      <c r="AQ362" s="28"/>
    </row>
    <row r="363" spans="1:43" ht="15.75" customHeight="1" x14ac:dyDescent="0.2">
      <c r="A363" s="7">
        <v>7856</v>
      </c>
      <c r="B363" s="57" t="s">
        <v>672</v>
      </c>
      <c r="C363" s="57" t="s">
        <v>802</v>
      </c>
      <c r="D363" s="9"/>
      <c r="E363" s="57" t="s">
        <v>853</v>
      </c>
      <c r="F363" s="58">
        <v>2019</v>
      </c>
      <c r="G363" s="58">
        <v>2024</v>
      </c>
      <c r="H363" s="58">
        <v>0</v>
      </c>
      <c r="I363" s="58">
        <v>28.85</v>
      </c>
      <c r="J363" s="59">
        <f>K363/I363</f>
        <v>0.91161178509532059</v>
      </c>
      <c r="K363" s="58">
        <v>26.3</v>
      </c>
      <c r="L363" s="58">
        <v>0</v>
      </c>
      <c r="M363" s="58">
        <v>0</v>
      </c>
      <c r="N363" s="58">
        <v>19</v>
      </c>
      <c r="O363" s="57"/>
      <c r="P363" s="57" t="s">
        <v>35</v>
      </c>
      <c r="Q363" s="67">
        <v>23644</v>
      </c>
      <c r="R363" s="57" t="s">
        <v>676</v>
      </c>
      <c r="S363" s="58">
        <v>2019</v>
      </c>
      <c r="T363" s="61">
        <v>0.23799999999999999</v>
      </c>
      <c r="U363" s="62">
        <f t="shared" si="20"/>
        <v>5627.2719999999999</v>
      </c>
      <c r="V363" s="14">
        <f t="shared" si="21"/>
        <v>195.05275563258232</v>
      </c>
      <c r="W363" s="15">
        <f t="shared" si="8"/>
        <v>0</v>
      </c>
      <c r="X363" s="15">
        <f t="shared" si="9"/>
        <v>0</v>
      </c>
      <c r="Y363" s="15">
        <f t="shared" si="10"/>
        <v>0</v>
      </c>
      <c r="Z363" s="13">
        <f t="shared" si="11"/>
        <v>0</v>
      </c>
      <c r="AA363" s="16">
        <f>VLOOKUP(S363,[1]CPI!$A$2:$D$67,4,0)</f>
        <v>1.0598966584134211</v>
      </c>
      <c r="AB363" s="17">
        <f t="shared" si="22"/>
        <v>5964.326788783409</v>
      </c>
      <c r="AC363" s="17">
        <f t="shared" si="23"/>
        <v>206.73576390930359</v>
      </c>
      <c r="AD363" s="57" t="s">
        <v>35</v>
      </c>
      <c r="AE363" s="63" t="s">
        <v>805</v>
      </c>
      <c r="AF363" s="9"/>
      <c r="AG363" s="54"/>
      <c r="AH363" s="54"/>
      <c r="AI363" s="54"/>
      <c r="AJ363" s="87"/>
      <c r="AK363" s="87"/>
      <c r="AL363" s="87"/>
      <c r="AM363" s="87"/>
      <c r="AN363" s="87"/>
      <c r="AO363" s="87"/>
      <c r="AP363" s="87"/>
    </row>
    <row r="364" spans="1:43" ht="15.75" customHeight="1" x14ac:dyDescent="0.2">
      <c r="A364" s="7">
        <v>7857</v>
      </c>
      <c r="B364" s="54" t="s">
        <v>672</v>
      </c>
      <c r="C364" s="54" t="s">
        <v>854</v>
      </c>
      <c r="D364" s="54"/>
      <c r="E364" s="54" t="s">
        <v>708</v>
      </c>
      <c r="F364" s="54"/>
      <c r="G364" s="72">
        <v>2021</v>
      </c>
      <c r="H364" s="72">
        <v>0</v>
      </c>
      <c r="I364" s="72">
        <v>20.22</v>
      </c>
      <c r="J364" s="73">
        <v>1</v>
      </c>
      <c r="K364" s="72">
        <v>20.22</v>
      </c>
      <c r="L364" s="54"/>
      <c r="M364" s="54"/>
      <c r="N364" s="72">
        <v>17</v>
      </c>
      <c r="O364" s="72">
        <v>117</v>
      </c>
      <c r="P364" s="54"/>
      <c r="Q364" s="65">
        <v>16400</v>
      </c>
      <c r="R364" s="54" t="s">
        <v>676</v>
      </c>
      <c r="S364" s="54">
        <v>2021</v>
      </c>
      <c r="T364" s="61">
        <v>0.23899999999999999</v>
      </c>
      <c r="U364" s="69">
        <f t="shared" si="20"/>
        <v>3919.6</v>
      </c>
      <c r="V364" s="70">
        <f t="shared" si="21"/>
        <v>193.84767556874382</v>
      </c>
      <c r="W364" s="15">
        <f t="shared" si="8"/>
        <v>0</v>
      </c>
      <c r="X364" s="15">
        <f t="shared" si="9"/>
        <v>0</v>
      </c>
      <c r="Y364" s="15">
        <f t="shared" si="10"/>
        <v>0</v>
      </c>
      <c r="Z364" s="13">
        <f t="shared" si="11"/>
        <v>0</v>
      </c>
      <c r="AA364" s="16">
        <f>VLOOKUP(S364,[1]CPI!$A$2:$D$67,4,0)</f>
        <v>1</v>
      </c>
      <c r="AB364" s="17">
        <f t="shared" si="22"/>
        <v>3919.6</v>
      </c>
      <c r="AC364" s="17">
        <f t="shared" si="23"/>
        <v>193.84767556874382</v>
      </c>
      <c r="AD364" s="54" t="s">
        <v>73</v>
      </c>
      <c r="AE364" s="46" t="s">
        <v>855</v>
      </c>
      <c r="AF364" s="54"/>
      <c r="AG364" s="54"/>
      <c r="AH364" s="54"/>
      <c r="AI364" s="54"/>
      <c r="AJ364" s="82"/>
      <c r="AK364" s="82"/>
      <c r="AL364" s="82"/>
      <c r="AM364" s="82"/>
      <c r="AN364" s="82"/>
      <c r="AO364" s="82"/>
      <c r="AP364" s="82"/>
      <c r="AQ364" s="82"/>
    </row>
    <row r="365" spans="1:43" ht="15.75" customHeight="1" x14ac:dyDescent="0.2">
      <c r="A365" s="7">
        <v>7858</v>
      </c>
      <c r="B365" s="57" t="s">
        <v>672</v>
      </c>
      <c r="C365" s="57" t="s">
        <v>695</v>
      </c>
      <c r="D365" s="9" t="s">
        <v>674</v>
      </c>
      <c r="E365" s="57" t="s">
        <v>774</v>
      </c>
      <c r="F365" s="57"/>
      <c r="G365" s="58">
        <v>2009</v>
      </c>
      <c r="H365" s="58">
        <v>0</v>
      </c>
      <c r="I365" s="58">
        <v>23.22</v>
      </c>
      <c r="J365" s="59">
        <f>K365/I365</f>
        <v>1</v>
      </c>
      <c r="K365" s="58">
        <v>23.22</v>
      </c>
      <c r="L365" s="58">
        <v>0</v>
      </c>
      <c r="M365" s="58">
        <v>0</v>
      </c>
      <c r="N365" s="58">
        <v>22</v>
      </c>
      <c r="O365" s="57"/>
      <c r="P365" s="57" t="s">
        <v>43</v>
      </c>
      <c r="Q365" s="67">
        <v>14493</v>
      </c>
      <c r="R365" s="57" t="s">
        <v>676</v>
      </c>
      <c r="S365" s="58">
        <v>2001</v>
      </c>
      <c r="T365" s="61">
        <v>0.36799999999999999</v>
      </c>
      <c r="U365" s="62">
        <f t="shared" si="20"/>
        <v>5333.424</v>
      </c>
      <c r="V365" s="14">
        <f t="shared" si="21"/>
        <v>229.69095607235144</v>
      </c>
      <c r="W365" s="15">
        <f t="shared" si="8"/>
        <v>0</v>
      </c>
      <c r="X365" s="15">
        <f t="shared" si="9"/>
        <v>0</v>
      </c>
      <c r="Y365" s="15">
        <f t="shared" si="10"/>
        <v>0</v>
      </c>
      <c r="Z365" s="13">
        <f t="shared" si="11"/>
        <v>0</v>
      </c>
      <c r="AA365" s="16">
        <f>VLOOKUP(S365,[1]CPI!$A$2:$D$67,4,0)</f>
        <v>1.5300395256916999</v>
      </c>
      <c r="AB365" s="17">
        <f t="shared" si="22"/>
        <v>8160.3495272727287</v>
      </c>
      <c r="AC365" s="17">
        <f t="shared" si="23"/>
        <v>351.43624148461367</v>
      </c>
      <c r="AD365" s="57" t="s">
        <v>43</v>
      </c>
      <c r="AE365" s="63" t="s">
        <v>715</v>
      </c>
      <c r="AF365" s="27"/>
      <c r="AG365" s="27"/>
      <c r="AH365" s="27"/>
      <c r="AI365" s="27"/>
      <c r="AJ365" s="28"/>
      <c r="AK365" s="28"/>
      <c r="AL365" s="28"/>
      <c r="AM365" s="28"/>
      <c r="AN365" s="28"/>
      <c r="AO365" s="28"/>
      <c r="AP365" s="28"/>
      <c r="AQ365" s="28"/>
    </row>
    <row r="366" spans="1:43" ht="15.75" customHeight="1" x14ac:dyDescent="0.2">
      <c r="A366" s="7">
        <v>7859</v>
      </c>
      <c r="B366" s="54" t="s">
        <v>672</v>
      </c>
      <c r="C366" s="54" t="s">
        <v>796</v>
      </c>
      <c r="D366" s="9" t="s">
        <v>856</v>
      </c>
      <c r="E366" s="54" t="s">
        <v>856</v>
      </c>
      <c r="F366" s="72">
        <v>2017</v>
      </c>
      <c r="G366" s="72">
        <v>2021</v>
      </c>
      <c r="H366" s="72">
        <v>1</v>
      </c>
      <c r="I366" s="72">
        <v>31</v>
      </c>
      <c r="J366" s="73">
        <v>1</v>
      </c>
      <c r="K366" s="72">
        <v>31</v>
      </c>
      <c r="L366" s="54"/>
      <c r="M366" s="54"/>
      <c r="N366" s="72">
        <v>6</v>
      </c>
      <c r="O366" s="72">
        <v>184</v>
      </c>
      <c r="P366" s="54"/>
      <c r="Q366" s="65">
        <v>26400</v>
      </c>
      <c r="R366" s="54" t="s">
        <v>676</v>
      </c>
      <c r="S366" s="54">
        <v>2020</v>
      </c>
      <c r="T366" s="61">
        <v>0.23899999999999999</v>
      </c>
      <c r="U366" s="69">
        <f t="shared" si="20"/>
        <v>6309.5999999999995</v>
      </c>
      <c r="V366" s="70">
        <f t="shared" si="21"/>
        <v>203.53548387096774</v>
      </c>
      <c r="W366" s="15">
        <f t="shared" si="8"/>
        <v>0</v>
      </c>
      <c r="X366" s="15">
        <f t="shared" si="9"/>
        <v>0</v>
      </c>
      <c r="Y366" s="15">
        <f t="shared" si="10"/>
        <v>0</v>
      </c>
      <c r="Z366" s="13">
        <f t="shared" si="11"/>
        <v>0</v>
      </c>
      <c r="AA366" s="16">
        <f>VLOOKUP(S366,[1]CPI!$A$2:$D$67,4,0)</f>
        <v>1.0469802288156225</v>
      </c>
      <c r="AB366" s="17">
        <f t="shared" si="22"/>
        <v>6606.0264517350506</v>
      </c>
      <c r="AC366" s="17">
        <f t="shared" si="23"/>
        <v>213.09762747532423</v>
      </c>
      <c r="AD366" s="54" t="s">
        <v>73</v>
      </c>
      <c r="AE366" s="46" t="s">
        <v>857</v>
      </c>
      <c r="AF366" s="76"/>
      <c r="AG366" s="54"/>
      <c r="AH366" s="54"/>
      <c r="AI366" s="54"/>
      <c r="AJ366" s="82"/>
      <c r="AK366" s="82"/>
      <c r="AL366" s="82"/>
      <c r="AM366" s="82"/>
      <c r="AN366" s="82"/>
      <c r="AO366" s="82"/>
      <c r="AP366" s="82"/>
      <c r="AQ366" s="82"/>
    </row>
    <row r="367" spans="1:43" ht="15.75" customHeight="1" x14ac:dyDescent="0.2">
      <c r="A367" s="7">
        <v>7864</v>
      </c>
      <c r="B367" s="57" t="s">
        <v>672</v>
      </c>
      <c r="C367" s="57" t="s">
        <v>673</v>
      </c>
      <c r="D367" s="9"/>
      <c r="E367" s="57" t="s">
        <v>856</v>
      </c>
      <c r="F367" s="57">
        <v>2019</v>
      </c>
      <c r="G367" s="57">
        <v>2022</v>
      </c>
      <c r="H367" s="58">
        <v>0</v>
      </c>
      <c r="I367" s="58">
        <v>78.599999999999994</v>
      </c>
      <c r="J367" s="59">
        <v>0.62</v>
      </c>
      <c r="K367" s="58">
        <v>48.5</v>
      </c>
      <c r="L367" s="58">
        <v>0</v>
      </c>
      <c r="M367" s="58">
        <v>0</v>
      </c>
      <c r="N367" s="58">
        <v>20</v>
      </c>
      <c r="O367" s="57"/>
      <c r="P367" s="57" t="s">
        <v>35</v>
      </c>
      <c r="Q367" s="67">
        <v>63930</v>
      </c>
      <c r="R367" s="57" t="s">
        <v>676</v>
      </c>
      <c r="S367" s="58">
        <v>2019</v>
      </c>
      <c r="T367" s="61">
        <v>0.23799999999999999</v>
      </c>
      <c r="U367" s="62">
        <f t="shared" si="20"/>
        <v>15215.34</v>
      </c>
      <c r="V367" s="14">
        <f t="shared" si="21"/>
        <v>193.57938931297713</v>
      </c>
      <c r="W367" s="15">
        <f t="shared" si="8"/>
        <v>0</v>
      </c>
      <c r="X367" s="15">
        <f t="shared" si="9"/>
        <v>0</v>
      </c>
      <c r="Y367" s="15">
        <f t="shared" si="10"/>
        <v>0</v>
      </c>
      <c r="Z367" s="13">
        <f t="shared" si="11"/>
        <v>0</v>
      </c>
      <c r="AA367" s="16">
        <f>VLOOKUP(S367,[1]CPI!$A$2:$D$67,4,0)</f>
        <v>1.0598966584134211</v>
      </c>
      <c r="AB367" s="17">
        <f t="shared" si="22"/>
        <v>16126.688022624063</v>
      </c>
      <c r="AC367" s="17">
        <f t="shared" si="23"/>
        <v>205.17414787053517</v>
      </c>
      <c r="AD367" s="57" t="s">
        <v>35</v>
      </c>
      <c r="AE367" s="63" t="s">
        <v>858</v>
      </c>
      <c r="AF367" s="27"/>
      <c r="AG367" s="27"/>
      <c r="AH367" s="27"/>
      <c r="AI367" s="27"/>
      <c r="AJ367" s="28"/>
      <c r="AK367" s="28"/>
      <c r="AL367" s="28"/>
      <c r="AM367" s="28"/>
      <c r="AN367" s="28"/>
      <c r="AO367" s="28"/>
      <c r="AP367" s="28"/>
      <c r="AQ367" s="28"/>
    </row>
    <row r="368" spans="1:43" ht="15.75" customHeight="1" x14ac:dyDescent="0.2">
      <c r="A368" s="7">
        <v>7865</v>
      </c>
      <c r="B368" s="57" t="s">
        <v>672</v>
      </c>
      <c r="C368" s="57" t="s">
        <v>796</v>
      </c>
      <c r="D368" s="9"/>
      <c r="E368" s="57" t="s">
        <v>859</v>
      </c>
      <c r="F368" s="58">
        <v>2018</v>
      </c>
      <c r="G368" s="58">
        <v>2022</v>
      </c>
      <c r="H368" s="58">
        <v>0</v>
      </c>
      <c r="I368" s="58">
        <v>9.6999999999999993</v>
      </c>
      <c r="J368" s="59">
        <v>1</v>
      </c>
      <c r="K368" s="58">
        <v>9.6999999999999993</v>
      </c>
      <c r="L368" s="58">
        <v>0</v>
      </c>
      <c r="M368" s="58">
        <v>0</v>
      </c>
      <c r="N368" s="58">
        <v>6</v>
      </c>
      <c r="O368" s="57"/>
      <c r="P368" s="57" t="s">
        <v>35</v>
      </c>
      <c r="Q368" s="67">
        <v>7862</v>
      </c>
      <c r="R368" s="57" t="s">
        <v>676</v>
      </c>
      <c r="S368" s="58">
        <v>2017</v>
      </c>
      <c r="T368" s="61">
        <v>0.23899999999999999</v>
      </c>
      <c r="U368" s="62">
        <f t="shared" si="20"/>
        <v>1879.018</v>
      </c>
      <c r="V368" s="14">
        <f t="shared" si="21"/>
        <v>193.71319587628867</v>
      </c>
      <c r="W368" s="15">
        <f t="shared" si="8"/>
        <v>0</v>
      </c>
      <c r="X368" s="15">
        <f t="shared" si="9"/>
        <v>0</v>
      </c>
      <c r="Y368" s="15">
        <f t="shared" si="10"/>
        <v>0</v>
      </c>
      <c r="Z368" s="13">
        <f t="shared" si="11"/>
        <v>0</v>
      </c>
      <c r="AA368" s="16">
        <f>VLOOKUP(S368,[1]CPI!$A$2:$D$67,4,0)</f>
        <v>1.1054585509138382</v>
      </c>
      <c r="AB368" s="17">
        <f t="shared" si="22"/>
        <v>2077.1765154210184</v>
      </c>
      <c r="AC368" s="17">
        <f t="shared" si="23"/>
        <v>214.14190880629056</v>
      </c>
      <c r="AD368" s="57" t="s">
        <v>35</v>
      </c>
      <c r="AE368" s="63" t="s">
        <v>852</v>
      </c>
      <c r="AF368" s="27"/>
      <c r="AG368" s="27"/>
      <c r="AH368" s="27"/>
      <c r="AI368" s="27"/>
      <c r="AJ368" s="28"/>
      <c r="AK368" s="28"/>
      <c r="AL368" s="28"/>
      <c r="AM368" s="28"/>
      <c r="AN368" s="28"/>
      <c r="AO368" s="28"/>
      <c r="AP368" s="28"/>
      <c r="AQ368" s="28"/>
    </row>
    <row r="369" spans="1:43" ht="15.75" customHeight="1" x14ac:dyDescent="0.2">
      <c r="A369" s="7">
        <v>7866</v>
      </c>
      <c r="B369" s="54" t="s">
        <v>672</v>
      </c>
      <c r="C369" s="54" t="s">
        <v>755</v>
      </c>
      <c r="D369" s="54" t="s">
        <v>281</v>
      </c>
      <c r="E369" s="54" t="s">
        <v>860</v>
      </c>
      <c r="F369" s="72">
        <v>2017</v>
      </c>
      <c r="G369" s="72">
        <v>2022</v>
      </c>
      <c r="H369" s="72">
        <v>0</v>
      </c>
      <c r="I369" s="72">
        <v>8.3659999999999997</v>
      </c>
      <c r="J369" s="73">
        <v>1</v>
      </c>
      <c r="K369" s="72">
        <v>8.3659999999999997</v>
      </c>
      <c r="L369" s="54"/>
      <c r="M369" s="54"/>
      <c r="N369" s="72">
        <v>5</v>
      </c>
      <c r="O369" s="72">
        <v>117</v>
      </c>
      <c r="P369" s="54"/>
      <c r="Q369" s="65">
        <v>6226</v>
      </c>
      <c r="R369" s="54" t="s">
        <v>676</v>
      </c>
      <c r="S369" s="54">
        <v>2020</v>
      </c>
      <c r="T369" s="61">
        <v>0.23899999999999999</v>
      </c>
      <c r="U369" s="69">
        <f t="shared" si="20"/>
        <v>1488.0139999999999</v>
      </c>
      <c r="V369" s="70">
        <f t="shared" si="21"/>
        <v>177.86445135070522</v>
      </c>
      <c r="W369" s="15">
        <f t="shared" si="8"/>
        <v>0</v>
      </c>
      <c r="X369" s="15">
        <f t="shared" si="9"/>
        <v>0</v>
      </c>
      <c r="Y369" s="15">
        <f t="shared" si="10"/>
        <v>0</v>
      </c>
      <c r="Z369" s="13">
        <f t="shared" si="11"/>
        <v>0</v>
      </c>
      <c r="AA369" s="16">
        <f>VLOOKUP(S369,[1]CPI!$A$2:$D$67,4,0)</f>
        <v>1.0469802288156225</v>
      </c>
      <c r="AB369" s="17">
        <f t="shared" si="22"/>
        <v>1557.9212382008495</v>
      </c>
      <c r="AC369" s="17">
        <f t="shared" si="23"/>
        <v>186.22056397332651</v>
      </c>
      <c r="AD369" s="54" t="s">
        <v>73</v>
      </c>
      <c r="AE369" s="46" t="s">
        <v>861</v>
      </c>
      <c r="AF369" s="54"/>
      <c r="AG369" s="54"/>
      <c r="AH369" s="54"/>
      <c r="AI369" s="54"/>
      <c r="AJ369" s="82"/>
      <c r="AK369" s="82"/>
      <c r="AL369" s="82"/>
      <c r="AM369" s="82"/>
      <c r="AN369" s="82"/>
      <c r="AO369" s="82"/>
      <c r="AP369" s="82"/>
      <c r="AQ369" s="82"/>
    </row>
    <row r="370" spans="1:43" ht="15.75" customHeight="1" x14ac:dyDescent="0.2">
      <c r="A370" s="7">
        <v>7867</v>
      </c>
      <c r="B370" s="57" t="s">
        <v>672</v>
      </c>
      <c r="C370" s="57" t="s">
        <v>845</v>
      </c>
      <c r="D370" s="9" t="s">
        <v>99</v>
      </c>
      <c r="E370" s="57" t="s">
        <v>862</v>
      </c>
      <c r="F370" s="58">
        <v>2016</v>
      </c>
      <c r="G370" s="58">
        <v>2020</v>
      </c>
      <c r="H370" s="58">
        <v>0</v>
      </c>
      <c r="I370" s="58">
        <v>15.5</v>
      </c>
      <c r="J370" s="59">
        <v>1</v>
      </c>
      <c r="K370" s="58">
        <v>15.5</v>
      </c>
      <c r="L370" s="58">
        <v>0</v>
      </c>
      <c r="M370" s="58">
        <v>0</v>
      </c>
      <c r="N370" s="58">
        <v>9</v>
      </c>
      <c r="O370" s="57"/>
      <c r="P370" s="57" t="s">
        <v>35</v>
      </c>
      <c r="Q370" s="67">
        <v>12218</v>
      </c>
      <c r="R370" s="57" t="s">
        <v>676</v>
      </c>
      <c r="S370" s="58">
        <v>2016</v>
      </c>
      <c r="T370" s="61">
        <v>0.251</v>
      </c>
      <c r="U370" s="62">
        <f t="shared" si="20"/>
        <v>3066.7179999999998</v>
      </c>
      <c r="V370" s="14">
        <f t="shared" si="21"/>
        <v>197.85277419354838</v>
      </c>
      <c r="W370" s="15">
        <f t="shared" si="8"/>
        <v>0</v>
      </c>
      <c r="X370" s="15">
        <f t="shared" si="9"/>
        <v>0</v>
      </c>
      <c r="Y370" s="15">
        <f t="shared" si="10"/>
        <v>0</v>
      </c>
      <c r="Z370" s="13">
        <f t="shared" si="11"/>
        <v>0</v>
      </c>
      <c r="AA370" s="16">
        <f>VLOOKUP(S370,[1]CPI!$A$2:$D$67,4,0)</f>
        <v>1.1290087372451638</v>
      </c>
      <c r="AB370" s="17">
        <f t="shared" si="22"/>
        <v>3462.3514166670143</v>
      </c>
      <c r="AC370" s="17">
        <f t="shared" si="23"/>
        <v>223.37751075271061</v>
      </c>
      <c r="AD370" s="57" t="s">
        <v>35</v>
      </c>
      <c r="AE370" s="63" t="s">
        <v>846</v>
      </c>
      <c r="AF370" s="19"/>
      <c r="AG370" s="19"/>
      <c r="AH370" s="19"/>
      <c r="AI370" s="19"/>
      <c r="AJ370" s="20"/>
      <c r="AK370" s="20"/>
      <c r="AL370" s="20"/>
      <c r="AM370" s="20"/>
      <c r="AN370" s="20"/>
      <c r="AO370" s="20"/>
      <c r="AP370" s="20"/>
      <c r="AQ370" s="20"/>
    </row>
    <row r="371" spans="1:43" ht="15.75" customHeight="1" x14ac:dyDescent="0.2">
      <c r="A371" s="7">
        <v>7872</v>
      </c>
      <c r="B371" s="57" t="s">
        <v>672</v>
      </c>
      <c r="C371" s="57" t="s">
        <v>863</v>
      </c>
      <c r="D371" s="9"/>
      <c r="E371" s="57" t="s">
        <v>864</v>
      </c>
      <c r="F371" s="57"/>
      <c r="G371" s="57"/>
      <c r="H371" s="58">
        <v>0</v>
      </c>
      <c r="I371" s="58">
        <v>8.3000000000000007</v>
      </c>
      <c r="J371" s="59">
        <v>1</v>
      </c>
      <c r="K371" s="58">
        <v>8.3000000000000007</v>
      </c>
      <c r="L371" s="58">
        <v>0</v>
      </c>
      <c r="M371" s="58">
        <v>0</v>
      </c>
      <c r="N371" s="58">
        <v>6</v>
      </c>
      <c r="O371" s="57"/>
      <c r="P371" s="57" t="s">
        <v>35</v>
      </c>
      <c r="Q371" s="67">
        <v>6684</v>
      </c>
      <c r="R371" s="57" t="s">
        <v>676</v>
      </c>
      <c r="S371" s="58">
        <v>2019</v>
      </c>
      <c r="T371" s="61">
        <v>0.23799999999999999</v>
      </c>
      <c r="U371" s="62">
        <f t="shared" si="20"/>
        <v>1590.7919999999999</v>
      </c>
      <c r="V371" s="14">
        <f t="shared" si="21"/>
        <v>191.66168674698793</v>
      </c>
      <c r="W371" s="15">
        <f t="shared" si="8"/>
        <v>0</v>
      </c>
      <c r="X371" s="15">
        <f t="shared" si="9"/>
        <v>0</v>
      </c>
      <c r="Y371" s="15">
        <f t="shared" si="10"/>
        <v>0</v>
      </c>
      <c r="Z371" s="13">
        <f t="shared" si="11"/>
        <v>0</v>
      </c>
      <c r="AA371" s="16">
        <f>VLOOKUP(S371,[1]CPI!$A$2:$D$67,4,0)</f>
        <v>1.0598966584134211</v>
      </c>
      <c r="AB371" s="17">
        <f t="shared" si="22"/>
        <v>1686.0751250308028</v>
      </c>
      <c r="AC371" s="17">
        <f t="shared" si="23"/>
        <v>203.14158132901238</v>
      </c>
      <c r="AD371" s="57" t="s">
        <v>35</v>
      </c>
      <c r="AE371" s="63" t="s">
        <v>865</v>
      </c>
      <c r="AF371" s="19"/>
      <c r="AG371" s="19"/>
      <c r="AH371" s="19"/>
      <c r="AI371" s="19"/>
      <c r="AJ371" s="20"/>
      <c r="AK371" s="20"/>
      <c r="AL371" s="20"/>
      <c r="AM371" s="20"/>
      <c r="AN371" s="20"/>
      <c r="AO371" s="20"/>
      <c r="AP371" s="20"/>
      <c r="AQ371" s="20"/>
    </row>
    <row r="372" spans="1:43" ht="15.75" customHeight="1" x14ac:dyDescent="0.2">
      <c r="A372" s="7">
        <v>7873</v>
      </c>
      <c r="B372" s="57" t="s">
        <v>672</v>
      </c>
      <c r="C372" s="57" t="s">
        <v>863</v>
      </c>
      <c r="D372" s="9"/>
      <c r="E372" s="57" t="s">
        <v>735</v>
      </c>
      <c r="F372" s="57"/>
      <c r="G372" s="57"/>
      <c r="H372" s="58">
        <v>0</v>
      </c>
      <c r="I372" s="58">
        <v>36.5</v>
      </c>
      <c r="J372" s="59">
        <v>0.92328767119999999</v>
      </c>
      <c r="K372" s="58">
        <v>33.700000000000003</v>
      </c>
      <c r="L372" s="58">
        <v>2.5099999999999998</v>
      </c>
      <c r="M372" s="58">
        <v>0.41</v>
      </c>
      <c r="N372" s="58">
        <v>24</v>
      </c>
      <c r="O372" s="57"/>
      <c r="P372" s="57" t="s">
        <v>35</v>
      </c>
      <c r="Q372" s="67">
        <v>29304</v>
      </c>
      <c r="R372" s="57" t="s">
        <v>676</v>
      </c>
      <c r="S372" s="58">
        <v>2019</v>
      </c>
      <c r="T372" s="61">
        <v>0.23799999999999999</v>
      </c>
      <c r="U372" s="62">
        <f t="shared" si="20"/>
        <v>6974.3519999999999</v>
      </c>
      <c r="V372" s="14">
        <f t="shared" si="21"/>
        <v>191.07813698630136</v>
      </c>
      <c r="W372" s="15">
        <f t="shared" si="8"/>
        <v>0</v>
      </c>
      <c r="X372" s="15">
        <f t="shared" si="9"/>
        <v>0</v>
      </c>
      <c r="Y372" s="15">
        <f t="shared" si="10"/>
        <v>0</v>
      </c>
      <c r="Z372" s="13">
        <f t="shared" si="11"/>
        <v>0</v>
      </c>
      <c r="AA372" s="16">
        <f>VLOOKUP(S372,[1]CPI!$A$2:$D$67,4,0)</f>
        <v>1.0598966584134211</v>
      </c>
      <c r="AB372" s="17">
        <f t="shared" si="22"/>
        <v>7392.0923793989596</v>
      </c>
      <c r="AC372" s="17">
        <f t="shared" si="23"/>
        <v>202.52307888764273</v>
      </c>
      <c r="AD372" s="57" t="s">
        <v>35</v>
      </c>
      <c r="AE372" s="63" t="s">
        <v>865</v>
      </c>
      <c r="AF372" s="19"/>
      <c r="AG372" s="19"/>
      <c r="AH372" s="19"/>
      <c r="AI372" s="19"/>
      <c r="AJ372" s="20"/>
      <c r="AK372" s="20"/>
      <c r="AL372" s="20"/>
      <c r="AM372" s="20"/>
      <c r="AN372" s="20"/>
      <c r="AO372" s="20"/>
      <c r="AP372" s="20"/>
      <c r="AQ372" s="20"/>
    </row>
    <row r="373" spans="1:43" ht="15.75" customHeight="1" x14ac:dyDescent="0.2">
      <c r="A373" s="7">
        <v>7874</v>
      </c>
      <c r="B373" s="54" t="s">
        <v>672</v>
      </c>
      <c r="C373" s="54" t="s">
        <v>866</v>
      </c>
      <c r="D373" s="54"/>
      <c r="E373" s="54" t="s">
        <v>708</v>
      </c>
      <c r="F373" s="72">
        <v>2020</v>
      </c>
      <c r="G373" s="54"/>
      <c r="H373" s="72">
        <v>0</v>
      </c>
      <c r="I373" s="72">
        <v>27.7</v>
      </c>
      <c r="J373" s="73">
        <v>1</v>
      </c>
      <c r="K373" s="72">
        <v>27.7</v>
      </c>
      <c r="L373" s="54"/>
      <c r="M373" s="54"/>
      <c r="N373" s="72">
        <v>20</v>
      </c>
      <c r="O373" s="72">
        <v>117</v>
      </c>
      <c r="P373" s="54"/>
      <c r="Q373" s="65">
        <v>21786</v>
      </c>
      <c r="R373" s="54" t="s">
        <v>676</v>
      </c>
      <c r="S373" s="54">
        <v>2020</v>
      </c>
      <c r="T373" s="61">
        <v>0.23899999999999999</v>
      </c>
      <c r="U373" s="69">
        <f t="shared" si="20"/>
        <v>5206.8539999999994</v>
      </c>
      <c r="V373" s="70">
        <f t="shared" si="21"/>
        <v>187.97306859205776</v>
      </c>
      <c r="W373" s="15">
        <f t="shared" si="8"/>
        <v>0</v>
      </c>
      <c r="X373" s="15">
        <f t="shared" si="9"/>
        <v>0</v>
      </c>
      <c r="Y373" s="15">
        <f t="shared" si="10"/>
        <v>0</v>
      </c>
      <c r="Z373" s="13">
        <f t="shared" si="11"/>
        <v>0</v>
      </c>
      <c r="AA373" s="16">
        <f>VLOOKUP(S373,[1]CPI!$A$2:$D$67,4,0)</f>
        <v>1.0469802288156225</v>
      </c>
      <c r="AB373" s="17">
        <f t="shared" si="22"/>
        <v>5451.4731923295385</v>
      </c>
      <c r="AC373" s="17">
        <f t="shared" si="23"/>
        <v>196.80408636568734</v>
      </c>
      <c r="AD373" s="54" t="s">
        <v>73</v>
      </c>
      <c r="AE373" s="46" t="s">
        <v>867</v>
      </c>
      <c r="AF373" s="54"/>
      <c r="AG373" s="54"/>
      <c r="AH373" s="54"/>
      <c r="AI373" s="54"/>
      <c r="AJ373" s="82"/>
      <c r="AK373" s="82"/>
      <c r="AL373" s="82"/>
      <c r="AM373" s="82"/>
      <c r="AN373" s="82"/>
      <c r="AO373" s="82"/>
      <c r="AP373" s="82"/>
      <c r="AQ373" s="82"/>
    </row>
    <row r="374" spans="1:43" ht="15.75" customHeight="1" x14ac:dyDescent="0.2">
      <c r="A374" s="7">
        <v>7875</v>
      </c>
      <c r="B374" s="54" t="s">
        <v>672</v>
      </c>
      <c r="C374" s="54" t="s">
        <v>757</v>
      </c>
      <c r="D374" s="54"/>
      <c r="E374" s="54" t="s">
        <v>868</v>
      </c>
      <c r="F374" s="72">
        <v>2016</v>
      </c>
      <c r="G374" s="72">
        <v>2020</v>
      </c>
      <c r="H374" s="72">
        <v>0</v>
      </c>
      <c r="I374" s="72">
        <v>19.677</v>
      </c>
      <c r="J374" s="73">
        <v>1</v>
      </c>
      <c r="K374" s="72">
        <v>19.677</v>
      </c>
      <c r="L374" s="54"/>
      <c r="M374" s="54"/>
      <c r="N374" s="72">
        <v>16</v>
      </c>
      <c r="O374" s="72">
        <v>117</v>
      </c>
      <c r="P374" s="54"/>
      <c r="Q374" s="65">
        <v>21250</v>
      </c>
      <c r="R374" s="54" t="s">
        <v>676</v>
      </c>
      <c r="S374" s="58">
        <v>2018</v>
      </c>
      <c r="T374" s="61">
        <v>0.23699999999999999</v>
      </c>
      <c r="U374" s="69">
        <f t="shared" si="20"/>
        <v>5036.25</v>
      </c>
      <c r="V374" s="70">
        <f t="shared" si="21"/>
        <v>255.94602835798142</v>
      </c>
      <c r="W374" s="15">
        <f t="shared" si="8"/>
        <v>0</v>
      </c>
      <c r="X374" s="15">
        <f t="shared" si="9"/>
        <v>0</v>
      </c>
      <c r="Y374" s="15">
        <f t="shared" si="10"/>
        <v>0</v>
      </c>
      <c r="Z374" s="13">
        <f t="shared" si="11"/>
        <v>0</v>
      </c>
      <c r="AA374" s="16">
        <f>VLOOKUP(S374,[1]CPI!$A$2:$D$67,4,0)</f>
        <v>1.0791017375063221</v>
      </c>
      <c r="AB374" s="17">
        <f t="shared" si="22"/>
        <v>5434.6261255162144</v>
      </c>
      <c r="AC374" s="17">
        <f t="shared" si="23"/>
        <v>276.19180390894013</v>
      </c>
      <c r="AD374" s="54" t="s">
        <v>73</v>
      </c>
      <c r="AE374" s="46" t="s">
        <v>869</v>
      </c>
      <c r="AF374" s="54"/>
      <c r="AG374" s="54"/>
      <c r="AH374" s="54"/>
      <c r="AI374" s="54"/>
      <c r="AJ374" s="82"/>
      <c r="AK374" s="82"/>
      <c r="AL374" s="82"/>
      <c r="AM374" s="82"/>
      <c r="AN374" s="82"/>
      <c r="AO374" s="82"/>
      <c r="AP374" s="82"/>
      <c r="AQ374" s="82"/>
    </row>
    <row r="375" spans="1:43" ht="15.75" customHeight="1" x14ac:dyDescent="0.2">
      <c r="A375" s="7">
        <v>7880</v>
      </c>
      <c r="B375" s="57" t="s">
        <v>672</v>
      </c>
      <c r="C375" s="57" t="s">
        <v>837</v>
      </c>
      <c r="D375" s="9" t="s">
        <v>119</v>
      </c>
      <c r="E375" s="57" t="s">
        <v>870</v>
      </c>
      <c r="F375" s="58">
        <v>2018</v>
      </c>
      <c r="G375" s="58">
        <v>2022</v>
      </c>
      <c r="H375" s="58">
        <v>0</v>
      </c>
      <c r="I375" s="58">
        <v>8.43</v>
      </c>
      <c r="J375" s="59">
        <v>1</v>
      </c>
      <c r="K375" s="58">
        <v>8.43</v>
      </c>
      <c r="L375" s="58">
        <v>0</v>
      </c>
      <c r="M375" s="58">
        <v>0</v>
      </c>
      <c r="N375" s="58">
        <v>7</v>
      </c>
      <c r="O375" s="57"/>
      <c r="P375" s="57" t="s">
        <v>35</v>
      </c>
      <c r="Q375" s="67">
        <v>6727</v>
      </c>
      <c r="R375" s="57" t="s">
        <v>676</v>
      </c>
      <c r="S375" s="58">
        <v>2017</v>
      </c>
      <c r="T375" s="61">
        <v>0.23899999999999999</v>
      </c>
      <c r="U375" s="62">
        <f t="shared" si="20"/>
        <v>1607.7529999999999</v>
      </c>
      <c r="V375" s="14">
        <f t="shared" si="21"/>
        <v>190.71803084223012</v>
      </c>
      <c r="W375" s="15">
        <f t="shared" si="8"/>
        <v>0</v>
      </c>
      <c r="X375" s="15">
        <f t="shared" si="9"/>
        <v>0</v>
      </c>
      <c r="Y375" s="15">
        <f t="shared" si="10"/>
        <v>0</v>
      </c>
      <c r="Z375" s="13">
        <f t="shared" si="11"/>
        <v>0</v>
      </c>
      <c r="AA375" s="16">
        <f>VLOOKUP(S375,[1]CPI!$A$2:$D$67,4,0)</f>
        <v>1.1054585509138382</v>
      </c>
      <c r="AB375" s="17">
        <f t="shared" si="22"/>
        <v>1777.3043016073759</v>
      </c>
      <c r="AC375" s="17">
        <f t="shared" si="23"/>
        <v>210.8308780079924</v>
      </c>
      <c r="AD375" s="57" t="s">
        <v>35</v>
      </c>
      <c r="AE375" s="63" t="s">
        <v>839</v>
      </c>
      <c r="AF375" s="27"/>
      <c r="AG375" s="27"/>
      <c r="AH375" s="27"/>
      <c r="AI375" s="27"/>
      <c r="AJ375" s="28"/>
      <c r="AK375" s="28"/>
      <c r="AL375" s="28"/>
      <c r="AM375" s="28"/>
      <c r="AN375" s="28"/>
      <c r="AO375" s="28"/>
      <c r="AP375" s="28"/>
      <c r="AQ375" s="28"/>
    </row>
    <row r="376" spans="1:43" ht="15.75" customHeight="1" x14ac:dyDescent="0.2">
      <c r="A376" s="7">
        <v>7881</v>
      </c>
      <c r="B376" s="54" t="s">
        <v>672</v>
      </c>
      <c r="C376" s="54" t="s">
        <v>759</v>
      </c>
      <c r="D376" s="54"/>
      <c r="E376" s="54" t="s">
        <v>119</v>
      </c>
      <c r="F376" s="72">
        <v>2017</v>
      </c>
      <c r="G376" s="72">
        <v>2021</v>
      </c>
      <c r="H376" s="72">
        <v>0</v>
      </c>
      <c r="I376" s="72">
        <v>33.590000000000003</v>
      </c>
      <c r="J376" s="73">
        <v>0.75</v>
      </c>
      <c r="K376" s="72">
        <v>25.33</v>
      </c>
      <c r="L376" s="54"/>
      <c r="M376" s="54"/>
      <c r="N376" s="72">
        <v>26</v>
      </c>
      <c r="O376" s="72">
        <v>138</v>
      </c>
      <c r="P376" s="54"/>
      <c r="Q376" s="65">
        <v>23266</v>
      </c>
      <c r="R376" s="54" t="s">
        <v>676</v>
      </c>
      <c r="S376" s="58">
        <v>2019</v>
      </c>
      <c r="T376" s="61">
        <v>0.23799999999999999</v>
      </c>
      <c r="U376" s="69">
        <f t="shared" si="20"/>
        <v>5537.308</v>
      </c>
      <c r="V376" s="70">
        <f t="shared" si="21"/>
        <v>164.8498958023221</v>
      </c>
      <c r="W376" s="15">
        <f t="shared" si="8"/>
        <v>0</v>
      </c>
      <c r="X376" s="15">
        <f t="shared" si="9"/>
        <v>0</v>
      </c>
      <c r="Y376" s="15">
        <f t="shared" si="10"/>
        <v>0</v>
      </c>
      <c r="Z376" s="13">
        <f t="shared" si="11"/>
        <v>0</v>
      </c>
      <c r="AA376" s="16">
        <f>VLOOKUP(S376,[1]CPI!$A$2:$D$67,4,0)</f>
        <v>1.0598966584134211</v>
      </c>
      <c r="AB376" s="17">
        <f t="shared" si="22"/>
        <v>5868.9742458059036</v>
      </c>
      <c r="AC376" s="17">
        <f t="shared" si="23"/>
        <v>174.72385370068184</v>
      </c>
      <c r="AD376" s="54" t="s">
        <v>73</v>
      </c>
      <c r="AE376" s="46" t="s">
        <v>871</v>
      </c>
      <c r="AF376" s="54"/>
      <c r="AG376" s="54"/>
      <c r="AH376" s="54"/>
      <c r="AI376" s="54"/>
      <c r="AJ376" s="82"/>
      <c r="AK376" s="82"/>
      <c r="AL376" s="82"/>
      <c r="AM376" s="82"/>
      <c r="AN376" s="82"/>
      <c r="AO376" s="82"/>
      <c r="AP376" s="82"/>
      <c r="AQ376" s="82"/>
    </row>
    <row r="377" spans="1:43" ht="15.75" customHeight="1" x14ac:dyDescent="0.2">
      <c r="A377" s="7">
        <v>7882</v>
      </c>
      <c r="B377" s="57" t="s">
        <v>672</v>
      </c>
      <c r="C377" s="57" t="s">
        <v>872</v>
      </c>
      <c r="D377" s="9" t="s">
        <v>119</v>
      </c>
      <c r="E377" s="57" t="s">
        <v>873</v>
      </c>
      <c r="F377" s="58">
        <v>2019</v>
      </c>
      <c r="G377" s="58">
        <v>2024</v>
      </c>
      <c r="H377" s="72">
        <v>0</v>
      </c>
      <c r="I377" s="72">
        <v>8.9499999999999993</v>
      </c>
      <c r="J377" s="73">
        <v>1</v>
      </c>
      <c r="K377" s="72">
        <v>8.9499999999999993</v>
      </c>
      <c r="L377" s="54"/>
      <c r="M377" s="54"/>
      <c r="N377" s="72">
        <v>7</v>
      </c>
      <c r="O377" s="72">
        <v>117</v>
      </c>
      <c r="P377" s="54"/>
      <c r="Q377" s="65">
        <v>8900</v>
      </c>
      <c r="R377" s="54" t="s">
        <v>676</v>
      </c>
      <c r="S377" s="54">
        <v>2021</v>
      </c>
      <c r="T377" s="61">
        <v>0.23899999999999999</v>
      </c>
      <c r="U377" s="69">
        <f t="shared" si="20"/>
        <v>2127.1</v>
      </c>
      <c r="V377" s="70">
        <f t="shared" si="21"/>
        <v>237.66480446927375</v>
      </c>
      <c r="W377" s="15">
        <f t="shared" si="8"/>
        <v>0</v>
      </c>
      <c r="X377" s="15">
        <f t="shared" si="9"/>
        <v>0</v>
      </c>
      <c r="Y377" s="15">
        <f t="shared" si="10"/>
        <v>0</v>
      </c>
      <c r="Z377" s="13">
        <f t="shared" si="11"/>
        <v>0</v>
      </c>
      <c r="AA377" s="16">
        <f>VLOOKUP(S377,[1]CPI!$A$2:$D$67,4,0)</f>
        <v>1</v>
      </c>
      <c r="AB377" s="17">
        <f t="shared" si="22"/>
        <v>2127.1</v>
      </c>
      <c r="AC377" s="17">
        <f t="shared" si="23"/>
        <v>237.66480446927375</v>
      </c>
      <c r="AD377" s="54" t="s">
        <v>73</v>
      </c>
      <c r="AE377" s="46" t="s">
        <v>874</v>
      </c>
      <c r="AF377" s="27"/>
      <c r="AG377" s="27"/>
      <c r="AH377" s="27"/>
      <c r="AI377" s="27"/>
      <c r="AJ377" s="28"/>
      <c r="AK377" s="28"/>
      <c r="AL377" s="28"/>
      <c r="AM377" s="28"/>
      <c r="AN377" s="28"/>
      <c r="AO377" s="28"/>
      <c r="AP377" s="28"/>
      <c r="AQ377" s="28"/>
    </row>
    <row r="378" spans="1:43" ht="15.75" customHeight="1" x14ac:dyDescent="0.2">
      <c r="A378" s="7">
        <v>7883</v>
      </c>
      <c r="B378" s="57" t="s">
        <v>672</v>
      </c>
      <c r="C378" s="57" t="s">
        <v>673</v>
      </c>
      <c r="D378" s="9" t="s">
        <v>688</v>
      </c>
      <c r="E378" s="57" t="s">
        <v>875</v>
      </c>
      <c r="F378" s="58">
        <v>2019</v>
      </c>
      <c r="G378" s="58">
        <v>2022</v>
      </c>
      <c r="H378" s="58">
        <v>0</v>
      </c>
      <c r="I378" s="58">
        <v>30.2</v>
      </c>
      <c r="J378" s="59">
        <f>K378/I378</f>
        <v>0.60264900662251653</v>
      </c>
      <c r="K378" s="58">
        <v>18.2</v>
      </c>
      <c r="L378" s="58">
        <v>12.08</v>
      </c>
      <c r="M378" s="58">
        <v>0</v>
      </c>
      <c r="N378" s="58">
        <v>18</v>
      </c>
      <c r="O378" s="57"/>
      <c r="P378" s="57" t="s">
        <v>35</v>
      </c>
      <c r="Q378" s="67">
        <v>23960</v>
      </c>
      <c r="R378" s="57" t="s">
        <v>676</v>
      </c>
      <c r="S378" s="58">
        <v>2019</v>
      </c>
      <c r="T378" s="61">
        <v>0.23799999999999999</v>
      </c>
      <c r="U378" s="62">
        <f t="shared" si="20"/>
        <v>5702.48</v>
      </c>
      <c r="V378" s="14">
        <f t="shared" si="21"/>
        <v>188.82384105960264</v>
      </c>
      <c r="W378" s="15">
        <f t="shared" si="8"/>
        <v>0</v>
      </c>
      <c r="X378" s="15">
        <f t="shared" si="9"/>
        <v>0</v>
      </c>
      <c r="Y378" s="15">
        <f t="shared" si="10"/>
        <v>0</v>
      </c>
      <c r="Z378" s="13">
        <f t="shared" si="11"/>
        <v>0</v>
      </c>
      <c r="AA378" s="16">
        <f>VLOOKUP(S378,[1]CPI!$A$2:$D$67,4,0)</f>
        <v>1.0598966584134211</v>
      </c>
      <c r="AB378" s="17">
        <f t="shared" si="22"/>
        <v>6044.0394966693648</v>
      </c>
      <c r="AC378" s="17">
        <f t="shared" si="23"/>
        <v>200.13375816785978</v>
      </c>
      <c r="AD378" s="57" t="s">
        <v>35</v>
      </c>
      <c r="AE378" s="57" t="s">
        <v>876</v>
      </c>
      <c r="AF378" s="27"/>
      <c r="AG378" s="27"/>
      <c r="AH378" s="27"/>
      <c r="AI378" s="27"/>
      <c r="AJ378" s="28"/>
      <c r="AK378" s="28"/>
      <c r="AL378" s="28"/>
      <c r="AM378" s="28"/>
      <c r="AN378" s="28"/>
      <c r="AO378" s="28"/>
      <c r="AP378" s="28"/>
      <c r="AQ378" s="28"/>
    </row>
    <row r="379" spans="1:43" ht="15.75" customHeight="1" x14ac:dyDescent="0.2">
      <c r="A379" s="7">
        <v>7888</v>
      </c>
      <c r="B379" s="57" t="s">
        <v>672</v>
      </c>
      <c r="C379" s="57" t="s">
        <v>863</v>
      </c>
      <c r="D379" s="9"/>
      <c r="E379" s="57" t="s">
        <v>711</v>
      </c>
      <c r="F379" s="57"/>
      <c r="G379" s="57"/>
      <c r="H379" s="58">
        <v>0</v>
      </c>
      <c r="I379" s="58">
        <v>26.9</v>
      </c>
      <c r="J379" s="59">
        <v>1</v>
      </c>
      <c r="K379" s="58">
        <v>26.9</v>
      </c>
      <c r="L379" s="58">
        <v>0</v>
      </c>
      <c r="M379" s="58">
        <v>0</v>
      </c>
      <c r="N379" s="58">
        <v>20</v>
      </c>
      <c r="O379" s="57"/>
      <c r="P379" s="57" t="s">
        <v>35</v>
      </c>
      <c r="Q379" s="67">
        <v>21158</v>
      </c>
      <c r="R379" s="57" t="s">
        <v>676</v>
      </c>
      <c r="S379" s="58">
        <v>2019</v>
      </c>
      <c r="T379" s="61">
        <v>0.23799999999999999</v>
      </c>
      <c r="U379" s="62">
        <f t="shared" si="20"/>
        <v>5035.6039999999994</v>
      </c>
      <c r="V379" s="14">
        <f t="shared" si="21"/>
        <v>187.19717472118958</v>
      </c>
      <c r="W379" s="15">
        <f t="shared" si="8"/>
        <v>0</v>
      </c>
      <c r="X379" s="15">
        <f t="shared" si="9"/>
        <v>0</v>
      </c>
      <c r="Y379" s="15">
        <f t="shared" si="10"/>
        <v>0</v>
      </c>
      <c r="Z379" s="13">
        <f t="shared" si="11"/>
        <v>0</v>
      </c>
      <c r="AA379" s="16">
        <f>VLOOKUP(S379,[1]CPI!$A$2:$D$67,4,0)</f>
        <v>1.0598966584134211</v>
      </c>
      <c r="AB379" s="17">
        <f t="shared" si="22"/>
        <v>5337.2198526932561</v>
      </c>
      <c r="AC379" s="17">
        <f t="shared" si="23"/>
        <v>198.40965995142219</v>
      </c>
      <c r="AD379" s="57" t="s">
        <v>35</v>
      </c>
      <c r="AE379" s="63" t="s">
        <v>865</v>
      </c>
      <c r="AF379" s="19"/>
      <c r="AG379" s="19"/>
      <c r="AH379" s="19"/>
      <c r="AI379" s="19"/>
      <c r="AJ379" s="20"/>
      <c r="AK379" s="20"/>
      <c r="AL379" s="20"/>
      <c r="AM379" s="20"/>
      <c r="AN379" s="20"/>
      <c r="AO379" s="20"/>
      <c r="AP379" s="20"/>
      <c r="AQ379" s="20"/>
    </row>
    <row r="380" spans="1:43" ht="15.75" customHeight="1" x14ac:dyDescent="0.2">
      <c r="A380" s="91">
        <v>7889</v>
      </c>
      <c r="B380" s="54" t="s">
        <v>672</v>
      </c>
      <c r="C380" s="54" t="s">
        <v>877</v>
      </c>
      <c r="D380" s="54" t="s">
        <v>119</v>
      </c>
      <c r="E380" s="54" t="s">
        <v>708</v>
      </c>
      <c r="F380" s="72">
        <v>2021</v>
      </c>
      <c r="G380" s="72"/>
      <c r="H380" s="72">
        <v>0</v>
      </c>
      <c r="I380" s="72">
        <v>19.567</v>
      </c>
      <c r="J380" s="73">
        <v>1</v>
      </c>
      <c r="K380" s="72">
        <v>19.567</v>
      </c>
      <c r="L380" s="54"/>
      <c r="M380" s="54"/>
      <c r="N380" s="72">
        <v>18</v>
      </c>
      <c r="O380" s="72">
        <v>117</v>
      </c>
      <c r="P380" s="54"/>
      <c r="Q380" s="65">
        <v>20000</v>
      </c>
      <c r="R380" s="54" t="s">
        <v>676</v>
      </c>
      <c r="S380" s="72">
        <v>2019</v>
      </c>
      <c r="T380" s="61">
        <v>0.23799999999999999</v>
      </c>
      <c r="U380" s="74">
        <f t="shared" si="20"/>
        <v>4760</v>
      </c>
      <c r="V380" s="75">
        <f t="shared" si="21"/>
        <v>243.26672458731537</v>
      </c>
      <c r="W380" s="15">
        <f t="shared" si="8"/>
        <v>0</v>
      </c>
      <c r="X380" s="15">
        <f t="shared" si="9"/>
        <v>0</v>
      </c>
      <c r="Y380" s="15">
        <f t="shared" si="10"/>
        <v>0</v>
      </c>
      <c r="Z380" s="13">
        <f t="shared" si="11"/>
        <v>0</v>
      </c>
      <c r="AA380" s="16">
        <f>VLOOKUP(S380,[1]CPI!$A$2:$D$67,4,0)</f>
        <v>1.0598966584134211</v>
      </c>
      <c r="AB380" s="17">
        <f t="shared" si="22"/>
        <v>5045.1080940478842</v>
      </c>
      <c r="AC380" s="17">
        <f t="shared" si="23"/>
        <v>257.83758849327359</v>
      </c>
      <c r="AD380" s="54" t="s">
        <v>35</v>
      </c>
      <c r="AE380" s="76" t="s">
        <v>878</v>
      </c>
      <c r="AF380" s="9"/>
      <c r="AG380" s="9"/>
      <c r="AH380" s="9"/>
      <c r="AI380" s="9"/>
      <c r="AJ380" s="77"/>
      <c r="AK380" s="77"/>
      <c r="AL380" s="77"/>
      <c r="AM380" s="77"/>
      <c r="AN380" s="77"/>
      <c r="AO380" s="77"/>
      <c r="AP380" s="77"/>
      <c r="AQ380" s="77"/>
    </row>
    <row r="381" spans="1:43" ht="15.75" customHeight="1" x14ac:dyDescent="0.2">
      <c r="A381" s="7">
        <v>7890</v>
      </c>
      <c r="B381" s="57" t="s">
        <v>672</v>
      </c>
      <c r="C381" s="57" t="s">
        <v>759</v>
      </c>
      <c r="D381" s="9" t="s">
        <v>124</v>
      </c>
      <c r="E381" s="57" t="s">
        <v>879</v>
      </c>
      <c r="F381" s="58">
        <v>2017</v>
      </c>
      <c r="G381" s="58">
        <v>2021</v>
      </c>
      <c r="H381" s="58">
        <v>0</v>
      </c>
      <c r="I381" s="58">
        <v>32.1</v>
      </c>
      <c r="J381" s="59">
        <v>1</v>
      </c>
      <c r="K381" s="58">
        <v>32.1</v>
      </c>
      <c r="L381" s="58">
        <v>0</v>
      </c>
      <c r="M381" s="58">
        <v>0</v>
      </c>
      <c r="N381" s="58">
        <v>20</v>
      </c>
      <c r="O381" s="57"/>
      <c r="P381" s="57" t="s">
        <v>35</v>
      </c>
      <c r="Q381" s="67">
        <v>24620</v>
      </c>
      <c r="R381" s="57" t="s">
        <v>676</v>
      </c>
      <c r="S381" s="58">
        <v>2015</v>
      </c>
      <c r="T381" s="61">
        <v>0.25800000000000001</v>
      </c>
      <c r="U381" s="62">
        <f t="shared" si="20"/>
        <v>6351.96</v>
      </c>
      <c r="V381" s="14">
        <f t="shared" si="21"/>
        <v>197.8803738317757</v>
      </c>
      <c r="W381" s="15">
        <f t="shared" si="8"/>
        <v>0</v>
      </c>
      <c r="X381" s="15">
        <f t="shared" si="9"/>
        <v>0</v>
      </c>
      <c r="Y381" s="15">
        <f t="shared" si="10"/>
        <v>0</v>
      </c>
      <c r="Z381" s="13">
        <f t="shared" si="11"/>
        <v>0</v>
      </c>
      <c r="AA381" s="16">
        <f>VLOOKUP(S381,[1]CPI!$A$2:$D$67,4,0)</f>
        <v>1.143251327963817</v>
      </c>
      <c r="AB381" s="17">
        <f t="shared" si="22"/>
        <v>7261.8867051730467</v>
      </c>
      <c r="AC381" s="17">
        <f t="shared" si="23"/>
        <v>226.22700016115411</v>
      </c>
      <c r="AD381" s="57" t="s">
        <v>35</v>
      </c>
      <c r="AE381" s="63" t="s">
        <v>880</v>
      </c>
      <c r="AF381" s="19"/>
      <c r="AG381" s="19"/>
      <c r="AH381" s="19"/>
      <c r="AI381" s="19"/>
      <c r="AJ381" s="20"/>
      <c r="AK381" s="20"/>
      <c r="AL381" s="20"/>
      <c r="AM381" s="20"/>
      <c r="AN381" s="20"/>
      <c r="AO381" s="20"/>
      <c r="AP381" s="20"/>
      <c r="AQ381" s="20"/>
    </row>
    <row r="382" spans="1:43" ht="15.75" customHeight="1" x14ac:dyDescent="0.2">
      <c r="A382" s="7">
        <v>7891</v>
      </c>
      <c r="B382" s="57" t="s">
        <v>672</v>
      </c>
      <c r="C382" s="57" t="s">
        <v>757</v>
      </c>
      <c r="D382" s="9" t="s">
        <v>99</v>
      </c>
      <c r="E382" s="57" t="s">
        <v>881</v>
      </c>
      <c r="F382" s="58">
        <v>2017</v>
      </c>
      <c r="G382" s="58">
        <v>2020</v>
      </c>
      <c r="H382" s="58">
        <v>0</v>
      </c>
      <c r="I382" s="58">
        <v>5.6</v>
      </c>
      <c r="J382" s="59">
        <v>1</v>
      </c>
      <c r="K382" s="58">
        <v>5.6</v>
      </c>
      <c r="L382" s="58">
        <v>0</v>
      </c>
      <c r="M382" s="58">
        <v>0</v>
      </c>
      <c r="N382" s="58">
        <v>4</v>
      </c>
      <c r="O382" s="57"/>
      <c r="P382" s="57" t="s">
        <v>35</v>
      </c>
      <c r="Q382" s="67">
        <v>4280</v>
      </c>
      <c r="R382" s="57" t="s">
        <v>676</v>
      </c>
      <c r="S382" s="58">
        <v>2015</v>
      </c>
      <c r="T382" s="61">
        <v>0.25800000000000001</v>
      </c>
      <c r="U382" s="62">
        <f t="shared" si="20"/>
        <v>1104.24</v>
      </c>
      <c r="V382" s="14">
        <f t="shared" si="21"/>
        <v>197.18571428571431</v>
      </c>
      <c r="W382" s="15">
        <f t="shared" si="8"/>
        <v>0</v>
      </c>
      <c r="X382" s="15">
        <f t="shared" si="9"/>
        <v>0</v>
      </c>
      <c r="Y382" s="15">
        <f t="shared" si="10"/>
        <v>0</v>
      </c>
      <c r="Z382" s="13">
        <f t="shared" si="11"/>
        <v>0</v>
      </c>
      <c r="AA382" s="16">
        <f>VLOOKUP(S382,[1]CPI!$A$2:$D$67,4,0)</f>
        <v>1.143251327963817</v>
      </c>
      <c r="AB382" s="17">
        <f t="shared" si="22"/>
        <v>1262.4238463907652</v>
      </c>
      <c r="AC382" s="17">
        <f t="shared" si="23"/>
        <v>225.4328297126367</v>
      </c>
      <c r="AD382" s="57" t="s">
        <v>35</v>
      </c>
      <c r="AE382" s="63" t="s">
        <v>882</v>
      </c>
      <c r="AF382" s="27"/>
      <c r="AG382" s="27"/>
      <c r="AH382" s="27"/>
      <c r="AI382" s="27"/>
      <c r="AJ382" s="28"/>
      <c r="AK382" s="28"/>
      <c r="AL382" s="28"/>
      <c r="AM382" s="28"/>
      <c r="AN382" s="28"/>
      <c r="AO382" s="28"/>
      <c r="AP382" s="28"/>
      <c r="AQ382" s="28"/>
    </row>
    <row r="383" spans="1:43" ht="15.75" customHeight="1" x14ac:dyDescent="0.2">
      <c r="A383" s="7">
        <v>7896</v>
      </c>
      <c r="B383" s="57" t="s">
        <v>672</v>
      </c>
      <c r="C383" s="57" t="s">
        <v>854</v>
      </c>
      <c r="D383" s="9" t="s">
        <v>99</v>
      </c>
      <c r="E383" s="57" t="s">
        <v>766</v>
      </c>
      <c r="F383" s="58">
        <v>2017</v>
      </c>
      <c r="G383" s="58">
        <v>2021</v>
      </c>
      <c r="H383" s="58">
        <v>0</v>
      </c>
      <c r="I383" s="58">
        <v>6.5</v>
      </c>
      <c r="J383" s="59">
        <v>1</v>
      </c>
      <c r="K383" s="58">
        <v>6.5</v>
      </c>
      <c r="L383" s="58">
        <v>0</v>
      </c>
      <c r="M383" s="58">
        <v>0</v>
      </c>
      <c r="N383" s="58">
        <v>4</v>
      </c>
      <c r="O383" s="57">
        <v>117</v>
      </c>
      <c r="P383" s="57" t="s">
        <v>43</v>
      </c>
      <c r="Q383" s="67">
        <v>4898</v>
      </c>
      <c r="R383" s="57" t="s">
        <v>676</v>
      </c>
      <c r="S383" s="58">
        <v>2017</v>
      </c>
      <c r="T383" s="61">
        <v>0.23899999999999999</v>
      </c>
      <c r="U383" s="62">
        <f t="shared" si="20"/>
        <v>1170.6219999999998</v>
      </c>
      <c r="V383" s="14">
        <f t="shared" si="21"/>
        <v>180.09569230769227</v>
      </c>
      <c r="W383" s="15">
        <f t="shared" si="8"/>
        <v>0</v>
      </c>
      <c r="X383" s="15">
        <f t="shared" si="9"/>
        <v>0</v>
      </c>
      <c r="Y383" s="15">
        <f t="shared" si="10"/>
        <v>0</v>
      </c>
      <c r="Z383" s="13">
        <f t="shared" si="11"/>
        <v>0</v>
      </c>
      <c r="AA383" s="16">
        <f>VLOOKUP(S383,[1]CPI!$A$2:$D$67,4,0)</f>
        <v>1.1054585509138382</v>
      </c>
      <c r="AB383" s="17">
        <f t="shared" si="22"/>
        <v>1294.0740997878588</v>
      </c>
      <c r="AC383" s="17">
        <f t="shared" si="23"/>
        <v>199.08832304428597</v>
      </c>
      <c r="AD383" s="57" t="s">
        <v>43</v>
      </c>
      <c r="AE383" s="63" t="s">
        <v>883</v>
      </c>
      <c r="AF383" s="27"/>
      <c r="AG383" s="27"/>
      <c r="AH383" s="27"/>
      <c r="AI383" s="27"/>
      <c r="AJ383" s="28"/>
      <c r="AK383" s="28"/>
      <c r="AL383" s="28"/>
      <c r="AM383" s="28"/>
      <c r="AN383" s="28"/>
      <c r="AO383" s="28"/>
      <c r="AP383" s="28"/>
      <c r="AQ383" s="28"/>
    </row>
    <row r="384" spans="1:43" ht="15.75" customHeight="1" x14ac:dyDescent="0.2">
      <c r="A384" s="7">
        <v>7897</v>
      </c>
      <c r="B384" s="54" t="s">
        <v>672</v>
      </c>
      <c r="C384" s="54" t="s">
        <v>757</v>
      </c>
      <c r="D384" s="54"/>
      <c r="E384" s="54" t="s">
        <v>283</v>
      </c>
      <c r="F384" s="72">
        <v>2019</v>
      </c>
      <c r="G384" s="54"/>
      <c r="H384" s="72">
        <v>0</v>
      </c>
      <c r="I384" s="72">
        <v>35.49</v>
      </c>
      <c r="J384" s="73">
        <v>1</v>
      </c>
      <c r="K384" s="72">
        <v>35.49</v>
      </c>
      <c r="L384" s="54"/>
      <c r="M384" s="54"/>
      <c r="N384" s="72">
        <v>27</v>
      </c>
      <c r="O384" s="72">
        <v>117</v>
      </c>
      <c r="P384" s="54"/>
      <c r="Q384" s="65">
        <v>30186</v>
      </c>
      <c r="R384" s="54" t="s">
        <v>676</v>
      </c>
      <c r="S384" s="72">
        <v>2019</v>
      </c>
      <c r="T384" s="61">
        <v>0.23799999999999999</v>
      </c>
      <c r="U384" s="69">
        <f t="shared" si="20"/>
        <v>7184.268</v>
      </c>
      <c r="V384" s="70">
        <f t="shared" si="21"/>
        <v>202.43076923076922</v>
      </c>
      <c r="W384" s="15">
        <f t="shared" si="8"/>
        <v>0</v>
      </c>
      <c r="X384" s="15">
        <f t="shared" si="9"/>
        <v>0</v>
      </c>
      <c r="Y384" s="15">
        <f t="shared" si="10"/>
        <v>0</v>
      </c>
      <c r="Z384" s="13">
        <f t="shared" si="11"/>
        <v>0</v>
      </c>
      <c r="AA384" s="16">
        <f>VLOOKUP(S384,[1]CPI!$A$2:$D$67,4,0)</f>
        <v>1.0598966584134211</v>
      </c>
      <c r="AB384" s="17">
        <f t="shared" si="22"/>
        <v>7614.5816463464716</v>
      </c>
      <c r="AC384" s="17">
        <f t="shared" si="23"/>
        <v>214.55569586775067</v>
      </c>
      <c r="AD384" s="54" t="s">
        <v>73</v>
      </c>
      <c r="AE384" s="46" t="s">
        <v>884</v>
      </c>
      <c r="AF384" s="54"/>
      <c r="AG384" s="54"/>
      <c r="AH384" s="54"/>
      <c r="AI384" s="54"/>
      <c r="AJ384" s="82"/>
      <c r="AK384" s="82"/>
      <c r="AL384" s="82"/>
      <c r="AM384" s="82"/>
      <c r="AN384" s="82"/>
      <c r="AO384" s="82"/>
      <c r="AP384" s="82"/>
      <c r="AQ384" s="82"/>
    </row>
    <row r="385" spans="1:43" ht="15.75" customHeight="1" x14ac:dyDescent="0.2">
      <c r="A385" s="7">
        <v>7898</v>
      </c>
      <c r="B385" s="57" t="s">
        <v>672</v>
      </c>
      <c r="C385" s="57" t="s">
        <v>866</v>
      </c>
      <c r="D385" s="9"/>
      <c r="E385" s="57" t="s">
        <v>706</v>
      </c>
      <c r="F385" s="58">
        <v>2017</v>
      </c>
      <c r="G385" s="58">
        <v>2021</v>
      </c>
      <c r="H385" s="58">
        <v>0</v>
      </c>
      <c r="I385" s="58">
        <v>24.2</v>
      </c>
      <c r="J385" s="59">
        <v>1</v>
      </c>
      <c r="K385" s="58">
        <v>24.2</v>
      </c>
      <c r="L385" s="58">
        <v>0</v>
      </c>
      <c r="M385" s="58">
        <v>0</v>
      </c>
      <c r="N385" s="58">
        <v>21</v>
      </c>
      <c r="O385" s="57"/>
      <c r="P385" s="57" t="s">
        <v>35</v>
      </c>
      <c r="Q385" s="67">
        <v>18436</v>
      </c>
      <c r="R385" s="57" t="s">
        <v>676</v>
      </c>
      <c r="S385" s="58">
        <v>2015</v>
      </c>
      <c r="T385" s="61">
        <v>0.25800000000000001</v>
      </c>
      <c r="U385" s="62">
        <f t="shared" si="20"/>
        <v>4756.4880000000003</v>
      </c>
      <c r="V385" s="14">
        <f t="shared" si="21"/>
        <v>196.54909090909092</v>
      </c>
      <c r="W385" s="15">
        <f t="shared" si="8"/>
        <v>0</v>
      </c>
      <c r="X385" s="15">
        <f t="shared" si="9"/>
        <v>0</v>
      </c>
      <c r="Y385" s="15">
        <f t="shared" si="10"/>
        <v>0</v>
      </c>
      <c r="Z385" s="13">
        <f t="shared" si="11"/>
        <v>0</v>
      </c>
      <c r="AA385" s="16">
        <f>VLOOKUP(S385,[1]CPI!$A$2:$D$67,4,0)</f>
        <v>1.143251327963817</v>
      </c>
      <c r="AB385" s="17">
        <f t="shared" si="22"/>
        <v>5437.8612224439603</v>
      </c>
      <c r="AC385" s="17">
        <f t="shared" si="23"/>
        <v>224.70500919189919</v>
      </c>
      <c r="AD385" s="57" t="s">
        <v>35</v>
      </c>
      <c r="AE385" s="63" t="s">
        <v>885</v>
      </c>
      <c r="AF385" s="27"/>
      <c r="AG385" s="27"/>
      <c r="AH385" s="27"/>
      <c r="AI385" s="27"/>
      <c r="AJ385" s="28"/>
      <c r="AK385" s="28"/>
      <c r="AL385" s="28"/>
      <c r="AM385" s="28"/>
      <c r="AN385" s="28"/>
      <c r="AO385" s="28"/>
      <c r="AP385" s="28"/>
      <c r="AQ385" s="28"/>
    </row>
    <row r="386" spans="1:43" ht="15.75" customHeight="1" x14ac:dyDescent="0.2">
      <c r="A386" s="7">
        <v>7899</v>
      </c>
      <c r="B386" s="57" t="s">
        <v>672</v>
      </c>
      <c r="C386" s="57" t="s">
        <v>802</v>
      </c>
      <c r="D386" s="9"/>
      <c r="E386" s="57" t="s">
        <v>886</v>
      </c>
      <c r="F386" s="58">
        <v>2019</v>
      </c>
      <c r="G386" s="58">
        <v>2024</v>
      </c>
      <c r="H386" s="58">
        <v>0</v>
      </c>
      <c r="I386" s="58">
        <v>24.78</v>
      </c>
      <c r="J386" s="59">
        <v>1</v>
      </c>
      <c r="K386" s="58">
        <v>24.78</v>
      </c>
      <c r="L386" s="58">
        <v>0</v>
      </c>
      <c r="M386" s="58">
        <v>0</v>
      </c>
      <c r="N386" s="58">
        <v>24</v>
      </c>
      <c r="O386" s="57">
        <v>117</v>
      </c>
      <c r="P386" s="57" t="s">
        <v>35</v>
      </c>
      <c r="Q386" s="67">
        <v>19112</v>
      </c>
      <c r="R386" s="57" t="s">
        <v>676</v>
      </c>
      <c r="S386" s="72">
        <v>2019</v>
      </c>
      <c r="T386" s="61">
        <v>0.23799999999999999</v>
      </c>
      <c r="U386" s="62">
        <f t="shared" si="20"/>
        <v>4548.6559999999999</v>
      </c>
      <c r="V386" s="14">
        <f t="shared" si="21"/>
        <v>183.56158192090393</v>
      </c>
      <c r="W386" s="15">
        <f t="shared" si="8"/>
        <v>0</v>
      </c>
      <c r="X386" s="15">
        <f t="shared" si="9"/>
        <v>0</v>
      </c>
      <c r="Y386" s="15">
        <f t="shared" si="10"/>
        <v>0</v>
      </c>
      <c r="Z386" s="13">
        <f t="shared" si="11"/>
        <v>0</v>
      </c>
      <c r="AA386" s="16">
        <f>VLOOKUP(S386,[1]CPI!$A$2:$D$67,4,0)</f>
        <v>1.0598966584134211</v>
      </c>
      <c r="AB386" s="17">
        <f t="shared" si="22"/>
        <v>4821.1052946721584</v>
      </c>
      <c r="AC386" s="17">
        <f t="shared" si="23"/>
        <v>194.55630729104752</v>
      </c>
      <c r="AD386" s="57" t="s">
        <v>35</v>
      </c>
      <c r="AE386" s="63" t="s">
        <v>805</v>
      </c>
      <c r="AF386" s="9"/>
      <c r="AG386" s="54"/>
      <c r="AH386" s="54"/>
      <c r="AI386" s="54"/>
      <c r="AJ386" s="87"/>
      <c r="AK386" s="87"/>
      <c r="AL386" s="87"/>
      <c r="AM386" s="87"/>
      <c r="AN386" s="87"/>
      <c r="AO386" s="87"/>
      <c r="AP386" s="87"/>
    </row>
    <row r="387" spans="1:43" ht="15.75" customHeight="1" x14ac:dyDescent="0.2">
      <c r="A387" s="7">
        <v>7904</v>
      </c>
      <c r="B387" s="57" t="s">
        <v>672</v>
      </c>
      <c r="C387" s="57" t="s">
        <v>673</v>
      </c>
      <c r="D387" s="9" t="s">
        <v>283</v>
      </c>
      <c r="E387" s="57" t="s">
        <v>711</v>
      </c>
      <c r="F387" s="58">
        <v>2009</v>
      </c>
      <c r="G387" s="58">
        <v>2014</v>
      </c>
      <c r="H387" s="58">
        <v>0</v>
      </c>
      <c r="I387" s="58">
        <v>23.7</v>
      </c>
      <c r="J387" s="59">
        <v>1</v>
      </c>
      <c r="K387" s="58">
        <v>23.7</v>
      </c>
      <c r="L387" s="58">
        <v>0</v>
      </c>
      <c r="M387" s="58">
        <v>0</v>
      </c>
      <c r="N387" s="58">
        <v>21</v>
      </c>
      <c r="O387" s="57"/>
      <c r="P387" s="57" t="s">
        <v>35</v>
      </c>
      <c r="Q387" s="67">
        <v>16000</v>
      </c>
      <c r="R387" s="57" t="s">
        <v>676</v>
      </c>
      <c r="S387" s="58">
        <v>2014</v>
      </c>
      <c r="T387" s="61">
        <v>0.26600000000000001</v>
      </c>
      <c r="U387" s="62">
        <f t="shared" si="20"/>
        <v>4256</v>
      </c>
      <c r="V387" s="14">
        <f t="shared" si="21"/>
        <v>179.57805907172997</v>
      </c>
      <c r="W387" s="15">
        <f t="shared" si="8"/>
        <v>0</v>
      </c>
      <c r="X387" s="15">
        <f t="shared" si="9"/>
        <v>0</v>
      </c>
      <c r="Y387" s="15">
        <f t="shared" si="10"/>
        <v>0</v>
      </c>
      <c r="Z387" s="13">
        <f t="shared" si="11"/>
        <v>0</v>
      </c>
      <c r="AA387" s="16">
        <f>VLOOKUP(S387,[1]CPI!$A$2:$D$67,4,0)</f>
        <v>1.1446083400919169</v>
      </c>
      <c r="AB387" s="17">
        <f t="shared" si="22"/>
        <v>4871.4530954311986</v>
      </c>
      <c r="AC387" s="17">
        <f t="shared" si="23"/>
        <v>205.54654411102103</v>
      </c>
      <c r="AD387" s="57" t="s">
        <v>43</v>
      </c>
      <c r="AE387" s="63" t="s">
        <v>887</v>
      </c>
      <c r="AF387" s="27"/>
      <c r="AG387" s="27"/>
      <c r="AH387" s="27"/>
      <c r="AI387" s="27"/>
      <c r="AJ387" s="28"/>
      <c r="AK387" s="28"/>
      <c r="AL387" s="28"/>
      <c r="AM387" s="28"/>
      <c r="AN387" s="28"/>
      <c r="AO387" s="28"/>
      <c r="AP387" s="28"/>
      <c r="AQ387" s="28"/>
    </row>
    <row r="388" spans="1:43" ht="15.75" customHeight="1" x14ac:dyDescent="0.2">
      <c r="A388" s="7">
        <v>7905</v>
      </c>
      <c r="B388" s="57" t="s">
        <v>672</v>
      </c>
      <c r="C388" s="57" t="s">
        <v>819</v>
      </c>
      <c r="D388" s="9"/>
      <c r="E388" s="57" t="s">
        <v>706</v>
      </c>
      <c r="F388" s="58">
        <v>2016</v>
      </c>
      <c r="G388" s="58">
        <v>2021</v>
      </c>
      <c r="H388" s="58">
        <v>0</v>
      </c>
      <c r="I388" s="58">
        <v>38.200000000000003</v>
      </c>
      <c r="J388" s="59">
        <v>0.84293193720000004</v>
      </c>
      <c r="K388" s="58">
        <v>32.200000000000003</v>
      </c>
      <c r="L388" s="58">
        <v>0</v>
      </c>
      <c r="M388" s="58">
        <v>0</v>
      </c>
      <c r="N388" s="58">
        <v>29</v>
      </c>
      <c r="O388" s="57"/>
      <c r="P388" s="57" t="s">
        <v>35</v>
      </c>
      <c r="Q388" s="67">
        <v>28650</v>
      </c>
      <c r="R388" s="57" t="s">
        <v>676</v>
      </c>
      <c r="S388" s="58">
        <v>2015</v>
      </c>
      <c r="T388" s="61">
        <v>0.25800000000000001</v>
      </c>
      <c r="U388" s="62">
        <f t="shared" si="20"/>
        <v>7391.7</v>
      </c>
      <c r="V388" s="14">
        <f t="shared" si="21"/>
        <v>193.49999999999997</v>
      </c>
      <c r="W388" s="15">
        <f t="shared" si="8"/>
        <v>0</v>
      </c>
      <c r="X388" s="15">
        <f t="shared" si="9"/>
        <v>0</v>
      </c>
      <c r="Y388" s="15">
        <f t="shared" si="10"/>
        <v>0</v>
      </c>
      <c r="Z388" s="13">
        <f t="shared" si="11"/>
        <v>0</v>
      </c>
      <c r="AA388" s="16">
        <f>VLOOKUP(S388,[1]CPI!$A$2:$D$67,4,0)</f>
        <v>1.143251327963817</v>
      </c>
      <c r="AB388" s="17">
        <f t="shared" si="22"/>
        <v>8450.5708409101462</v>
      </c>
      <c r="AC388" s="17">
        <f t="shared" si="23"/>
        <v>221.21913196099857</v>
      </c>
      <c r="AD388" s="57" t="s">
        <v>35</v>
      </c>
      <c r="AE388" s="63" t="s">
        <v>888</v>
      </c>
      <c r="AF388" s="27"/>
      <c r="AG388" s="27"/>
      <c r="AH388" s="27"/>
      <c r="AI388" s="27"/>
      <c r="AJ388" s="28"/>
      <c r="AK388" s="28"/>
      <c r="AL388" s="28"/>
      <c r="AM388" s="28"/>
      <c r="AN388" s="28"/>
      <c r="AO388" s="28"/>
      <c r="AP388" s="28"/>
      <c r="AQ388" s="28"/>
    </row>
    <row r="389" spans="1:43" ht="15.75" customHeight="1" x14ac:dyDescent="0.2">
      <c r="A389" s="7">
        <v>7906</v>
      </c>
      <c r="B389" s="57" t="s">
        <v>672</v>
      </c>
      <c r="C389" s="57" t="s">
        <v>889</v>
      </c>
      <c r="D389" s="9"/>
      <c r="E389" s="57" t="s">
        <v>674</v>
      </c>
      <c r="F389" s="57"/>
      <c r="G389" s="57"/>
      <c r="H389" s="58">
        <v>0</v>
      </c>
      <c r="I389" s="58">
        <v>50</v>
      </c>
      <c r="J389" s="59">
        <v>1</v>
      </c>
      <c r="K389" s="58">
        <v>50</v>
      </c>
      <c r="L389" s="58">
        <v>0</v>
      </c>
      <c r="M389" s="58">
        <v>0</v>
      </c>
      <c r="N389" s="58">
        <v>35</v>
      </c>
      <c r="O389" s="57"/>
      <c r="P389" s="57" t="s">
        <v>35</v>
      </c>
      <c r="Q389" s="67">
        <v>38286</v>
      </c>
      <c r="R389" s="57" t="s">
        <v>676</v>
      </c>
      <c r="S389" s="58">
        <v>2019</v>
      </c>
      <c r="T389" s="61">
        <v>0.23799999999999999</v>
      </c>
      <c r="U389" s="62">
        <f t="shared" si="20"/>
        <v>9112.0679999999993</v>
      </c>
      <c r="V389" s="14">
        <f t="shared" si="21"/>
        <v>182.24135999999999</v>
      </c>
      <c r="W389" s="15">
        <f t="shared" si="8"/>
        <v>0</v>
      </c>
      <c r="X389" s="15">
        <f t="shared" si="9"/>
        <v>0</v>
      </c>
      <c r="Y389" s="15">
        <f t="shared" si="10"/>
        <v>0</v>
      </c>
      <c r="Z389" s="13">
        <f t="shared" si="11"/>
        <v>0</v>
      </c>
      <c r="AA389" s="16">
        <f>VLOOKUP(S389,[1]CPI!$A$2:$D$67,4,0)</f>
        <v>1.0598966584134211</v>
      </c>
      <c r="AB389" s="17">
        <f t="shared" si="22"/>
        <v>9657.8504244358646</v>
      </c>
      <c r="AC389" s="17">
        <f t="shared" si="23"/>
        <v>193.15700848871728</v>
      </c>
      <c r="AD389" s="57" t="s">
        <v>35</v>
      </c>
      <c r="AE389" s="63" t="s">
        <v>890</v>
      </c>
      <c r="AF389" s="19"/>
      <c r="AG389" s="19"/>
      <c r="AH389" s="19"/>
      <c r="AI389" s="19"/>
      <c r="AJ389" s="20"/>
      <c r="AK389" s="20"/>
      <c r="AL389" s="20"/>
      <c r="AM389" s="20"/>
      <c r="AN389" s="20"/>
      <c r="AO389" s="20"/>
      <c r="AP389" s="20"/>
      <c r="AQ389" s="20"/>
    </row>
    <row r="390" spans="1:43" ht="15.75" customHeight="1" x14ac:dyDescent="0.2">
      <c r="A390" s="7">
        <v>7907</v>
      </c>
      <c r="B390" s="54" t="s">
        <v>672</v>
      </c>
      <c r="C390" s="54" t="s">
        <v>755</v>
      </c>
      <c r="D390" s="54" t="s">
        <v>142</v>
      </c>
      <c r="E390" s="54" t="s">
        <v>847</v>
      </c>
      <c r="F390" s="72">
        <v>2017</v>
      </c>
      <c r="G390" s="72">
        <v>2022</v>
      </c>
      <c r="H390" s="72">
        <v>0</v>
      </c>
      <c r="I390" s="72">
        <v>23.9</v>
      </c>
      <c r="J390" s="73">
        <v>1</v>
      </c>
      <c r="K390" s="72">
        <v>23.9</v>
      </c>
      <c r="L390" s="54"/>
      <c r="M390" s="54"/>
      <c r="N390" s="72">
        <v>15</v>
      </c>
      <c r="O390" s="72">
        <v>117</v>
      </c>
      <c r="P390" s="54"/>
      <c r="Q390" s="65">
        <v>20686</v>
      </c>
      <c r="R390" s="54" t="s">
        <v>676</v>
      </c>
      <c r="S390" s="54">
        <v>2020</v>
      </c>
      <c r="T390" s="61">
        <v>0.23899999999999999</v>
      </c>
      <c r="U390" s="69">
        <f t="shared" si="20"/>
        <v>4943.9539999999997</v>
      </c>
      <c r="V390" s="70">
        <f t="shared" si="21"/>
        <v>206.86</v>
      </c>
      <c r="W390" s="15">
        <f t="shared" si="8"/>
        <v>0</v>
      </c>
      <c r="X390" s="15">
        <f t="shared" si="9"/>
        <v>0</v>
      </c>
      <c r="Y390" s="15">
        <f t="shared" si="10"/>
        <v>0</v>
      </c>
      <c r="Z390" s="13">
        <f t="shared" si="11"/>
        <v>0</v>
      </c>
      <c r="AA390" s="16">
        <f>VLOOKUP(S390,[1]CPI!$A$2:$D$67,4,0)</f>
        <v>1.0469802288156225</v>
      </c>
      <c r="AB390" s="17">
        <f t="shared" si="22"/>
        <v>5176.222090173912</v>
      </c>
      <c r="AC390" s="17">
        <f t="shared" si="23"/>
        <v>216.57833013279969</v>
      </c>
      <c r="AD390" s="54" t="s">
        <v>73</v>
      </c>
      <c r="AE390" s="46" t="s">
        <v>891</v>
      </c>
      <c r="AF390" s="54"/>
      <c r="AG390" s="54"/>
      <c r="AH390" s="54"/>
      <c r="AI390" s="54"/>
      <c r="AJ390" s="82"/>
      <c r="AK390" s="82"/>
      <c r="AL390" s="82"/>
      <c r="AM390" s="82"/>
      <c r="AN390" s="82"/>
      <c r="AO390" s="82"/>
      <c r="AP390" s="82"/>
      <c r="AQ390" s="82"/>
    </row>
    <row r="391" spans="1:43" ht="15.75" customHeight="1" x14ac:dyDescent="0.2">
      <c r="A391" s="7">
        <v>7912</v>
      </c>
      <c r="B391" s="54" t="s">
        <v>672</v>
      </c>
      <c r="C391" s="54" t="s">
        <v>796</v>
      </c>
      <c r="D391" s="54" t="s">
        <v>674</v>
      </c>
      <c r="E391" s="54" t="s">
        <v>892</v>
      </c>
      <c r="F391" s="72">
        <v>2017</v>
      </c>
      <c r="G391" s="72">
        <v>2023</v>
      </c>
      <c r="H391" s="72">
        <v>0</v>
      </c>
      <c r="I391" s="72">
        <v>20</v>
      </c>
      <c r="J391" s="73">
        <v>0.56999999999999995</v>
      </c>
      <c r="K391" s="72">
        <v>11.3</v>
      </c>
      <c r="L391" s="54"/>
      <c r="M391" s="54"/>
      <c r="N391" s="72">
        <v>9</v>
      </c>
      <c r="O391" s="72">
        <v>138</v>
      </c>
      <c r="P391" s="54"/>
      <c r="Q391" s="65">
        <v>15083</v>
      </c>
      <c r="R391" s="54" t="s">
        <v>676</v>
      </c>
      <c r="S391" s="54">
        <v>2020</v>
      </c>
      <c r="T391" s="61">
        <v>0.23899999999999999</v>
      </c>
      <c r="U391" s="69">
        <f t="shared" si="20"/>
        <v>3604.837</v>
      </c>
      <c r="V391" s="70">
        <f t="shared" si="21"/>
        <v>180.24185</v>
      </c>
      <c r="W391" s="15">
        <f t="shared" si="8"/>
        <v>0</v>
      </c>
      <c r="X391" s="15">
        <f t="shared" si="9"/>
        <v>0</v>
      </c>
      <c r="Y391" s="15">
        <f t="shared" si="10"/>
        <v>0</v>
      </c>
      <c r="Z391" s="13">
        <f t="shared" si="11"/>
        <v>0</v>
      </c>
      <c r="AA391" s="16">
        <f>VLOOKUP(S391,[1]CPI!$A$2:$D$67,4,0)</f>
        <v>1.0469802288156225</v>
      </c>
      <c r="AB391" s="17">
        <f t="shared" si="22"/>
        <v>3774.1930671030223</v>
      </c>
      <c r="AC391" s="17">
        <f t="shared" si="23"/>
        <v>188.70965335515109</v>
      </c>
      <c r="AD391" s="54" t="s">
        <v>35</v>
      </c>
      <c r="AE391" s="84" t="s">
        <v>893</v>
      </c>
      <c r="AF391" s="85"/>
      <c r="AG391" s="54"/>
      <c r="AH391" s="54"/>
      <c r="AI391" s="54"/>
      <c r="AJ391" s="82"/>
      <c r="AK391" s="82"/>
      <c r="AL391" s="82"/>
      <c r="AM391" s="82"/>
      <c r="AN391" s="82"/>
      <c r="AO391" s="82"/>
      <c r="AP391" s="82"/>
      <c r="AQ391" s="82"/>
    </row>
    <row r="392" spans="1:43" ht="15.75" customHeight="1" x14ac:dyDescent="0.2">
      <c r="A392" s="7">
        <v>7913</v>
      </c>
      <c r="B392" s="57" t="s">
        <v>672</v>
      </c>
      <c r="C392" s="57" t="s">
        <v>837</v>
      </c>
      <c r="D392" s="9" t="s">
        <v>281</v>
      </c>
      <c r="E392" s="57" t="s">
        <v>894</v>
      </c>
      <c r="F392" s="58">
        <v>2018</v>
      </c>
      <c r="G392" s="58">
        <v>2022</v>
      </c>
      <c r="H392" s="58">
        <v>0</v>
      </c>
      <c r="I392" s="58">
        <v>10.050000000000001</v>
      </c>
      <c r="J392" s="59">
        <v>1</v>
      </c>
      <c r="K392" s="58">
        <v>10.050000000000001</v>
      </c>
      <c r="L392" s="58">
        <v>0</v>
      </c>
      <c r="M392" s="58">
        <v>0</v>
      </c>
      <c r="N392" s="58">
        <v>7</v>
      </c>
      <c r="O392" s="57"/>
      <c r="P392" s="57" t="s">
        <v>35</v>
      </c>
      <c r="Q392" s="67">
        <v>7565</v>
      </c>
      <c r="R392" s="57" t="s">
        <v>676</v>
      </c>
      <c r="S392" s="58">
        <v>2017</v>
      </c>
      <c r="T392" s="61">
        <v>0.23899999999999999</v>
      </c>
      <c r="U392" s="62">
        <f t="shared" si="20"/>
        <v>1808.0349999999999</v>
      </c>
      <c r="V392" s="14">
        <f t="shared" si="21"/>
        <v>179.90398009950246</v>
      </c>
      <c r="W392" s="15">
        <f t="shared" si="8"/>
        <v>0</v>
      </c>
      <c r="X392" s="15">
        <f t="shared" si="9"/>
        <v>0</v>
      </c>
      <c r="Y392" s="15">
        <f t="shared" si="10"/>
        <v>0</v>
      </c>
      <c r="Z392" s="13">
        <f t="shared" si="11"/>
        <v>0</v>
      </c>
      <c r="AA392" s="16">
        <f>VLOOKUP(S392,[1]CPI!$A$2:$D$67,4,0)</f>
        <v>1.1054585509138382</v>
      </c>
      <c r="AB392" s="17">
        <f t="shared" si="22"/>
        <v>1998.7077511015011</v>
      </c>
      <c r="AC392" s="17">
        <f t="shared" si="23"/>
        <v>198.87639314442796</v>
      </c>
      <c r="AD392" s="57" t="s">
        <v>35</v>
      </c>
      <c r="AE392" s="63" t="s">
        <v>839</v>
      </c>
      <c r="AF392" s="27"/>
      <c r="AG392" s="27"/>
      <c r="AH392" s="27"/>
      <c r="AI392" s="27"/>
      <c r="AJ392" s="28"/>
      <c r="AK392" s="28"/>
      <c r="AL392" s="28"/>
      <c r="AM392" s="28"/>
      <c r="AN392" s="28"/>
      <c r="AO392" s="28"/>
      <c r="AP392" s="28"/>
      <c r="AQ392" s="28"/>
    </row>
    <row r="393" spans="1:43" ht="15.75" customHeight="1" x14ac:dyDescent="0.2">
      <c r="A393" s="7">
        <v>7914</v>
      </c>
      <c r="B393" s="54" t="s">
        <v>672</v>
      </c>
      <c r="C393" s="54" t="s">
        <v>755</v>
      </c>
      <c r="D393" s="54"/>
      <c r="E393" s="54" t="s">
        <v>774</v>
      </c>
      <c r="F393" s="72">
        <v>2018</v>
      </c>
      <c r="G393" s="72">
        <v>2022</v>
      </c>
      <c r="H393" s="72">
        <v>0</v>
      </c>
      <c r="I393" s="72">
        <v>17.100000000000001</v>
      </c>
      <c r="J393" s="73">
        <v>1</v>
      </c>
      <c r="K393" s="72">
        <v>17.100000000000001</v>
      </c>
      <c r="L393" s="54"/>
      <c r="M393" s="54"/>
      <c r="N393" s="72">
        <v>9</v>
      </c>
      <c r="O393" s="72">
        <v>138</v>
      </c>
      <c r="P393" s="54"/>
      <c r="Q393" s="65">
        <v>13526</v>
      </c>
      <c r="R393" s="54" t="s">
        <v>676</v>
      </c>
      <c r="S393" s="54">
        <v>2020</v>
      </c>
      <c r="T393" s="61">
        <v>0.23899999999999999</v>
      </c>
      <c r="U393" s="69">
        <f t="shared" si="20"/>
        <v>3232.7139999999999</v>
      </c>
      <c r="V393" s="70">
        <f t="shared" si="21"/>
        <v>189.04760233918125</v>
      </c>
      <c r="W393" s="15">
        <f t="shared" si="8"/>
        <v>0</v>
      </c>
      <c r="X393" s="15">
        <f t="shared" si="9"/>
        <v>0</v>
      </c>
      <c r="Y393" s="15">
        <f t="shared" si="10"/>
        <v>0</v>
      </c>
      <c r="Z393" s="13">
        <f t="shared" si="11"/>
        <v>0</v>
      </c>
      <c r="AA393" s="16">
        <f>VLOOKUP(S393,[1]CPI!$A$2:$D$67,4,0)</f>
        <v>1.0469802288156225</v>
      </c>
      <c r="AB393" s="17">
        <f t="shared" si="22"/>
        <v>3384.5876434154661</v>
      </c>
      <c r="AC393" s="17">
        <f t="shared" si="23"/>
        <v>197.9291019541208</v>
      </c>
      <c r="AD393" s="54" t="s">
        <v>73</v>
      </c>
      <c r="AE393" s="46" t="s">
        <v>895</v>
      </c>
      <c r="AF393" s="54"/>
      <c r="AG393" s="54"/>
      <c r="AH393" s="54"/>
      <c r="AI393" s="54"/>
      <c r="AJ393" s="82"/>
      <c r="AK393" s="82"/>
      <c r="AL393" s="82"/>
      <c r="AM393" s="82"/>
      <c r="AN393" s="82"/>
      <c r="AO393" s="82"/>
      <c r="AP393" s="82"/>
      <c r="AQ393" s="82"/>
    </row>
    <row r="394" spans="1:43" ht="15.75" customHeight="1" x14ac:dyDescent="0.2">
      <c r="A394" s="7">
        <v>7915</v>
      </c>
      <c r="B394" s="57" t="s">
        <v>672</v>
      </c>
      <c r="C394" s="57" t="s">
        <v>796</v>
      </c>
      <c r="D394" s="9" t="s">
        <v>283</v>
      </c>
      <c r="E394" s="57" t="s">
        <v>750</v>
      </c>
      <c r="F394" s="58">
        <v>2018</v>
      </c>
      <c r="G394" s="58">
        <v>2022</v>
      </c>
      <c r="H394" s="58">
        <v>0</v>
      </c>
      <c r="I394" s="58">
        <v>21.8</v>
      </c>
      <c r="J394" s="59">
        <v>1</v>
      </c>
      <c r="K394" s="58">
        <v>21.8</v>
      </c>
      <c r="L394" s="58">
        <v>0</v>
      </c>
      <c r="M394" s="58">
        <v>0</v>
      </c>
      <c r="N394" s="58">
        <v>11</v>
      </c>
      <c r="O394" s="57"/>
      <c r="P394" s="57" t="s">
        <v>35</v>
      </c>
      <c r="Q394" s="67">
        <v>16235</v>
      </c>
      <c r="R394" s="57" t="s">
        <v>676</v>
      </c>
      <c r="S394" s="58">
        <v>2017</v>
      </c>
      <c r="T394" s="61">
        <v>0.23899999999999999</v>
      </c>
      <c r="U394" s="62">
        <f t="shared" si="20"/>
        <v>3880.165</v>
      </c>
      <c r="V394" s="14">
        <f t="shared" si="21"/>
        <v>177.98922018348622</v>
      </c>
      <c r="W394" s="15">
        <f t="shared" si="8"/>
        <v>0</v>
      </c>
      <c r="X394" s="15">
        <f t="shared" si="9"/>
        <v>0</v>
      </c>
      <c r="Y394" s="15">
        <f t="shared" si="10"/>
        <v>0</v>
      </c>
      <c r="Z394" s="13">
        <f t="shared" si="11"/>
        <v>0</v>
      </c>
      <c r="AA394" s="16">
        <f>VLOOKUP(S394,[1]CPI!$A$2:$D$67,4,0)</f>
        <v>1.1054585509138382</v>
      </c>
      <c r="AB394" s="17">
        <f t="shared" si="22"/>
        <v>4289.3615782065926</v>
      </c>
      <c r="AC394" s="17">
        <f t="shared" si="23"/>
        <v>196.75970542232076</v>
      </c>
      <c r="AD394" s="57" t="s">
        <v>35</v>
      </c>
      <c r="AE394" s="63" t="s">
        <v>852</v>
      </c>
      <c r="AF394" s="27"/>
      <c r="AG394" s="27"/>
      <c r="AH394" s="27"/>
      <c r="AI394" s="27"/>
      <c r="AJ394" s="28"/>
      <c r="AK394" s="28"/>
      <c r="AL394" s="28"/>
      <c r="AM394" s="28"/>
      <c r="AN394" s="28"/>
      <c r="AO394" s="28"/>
      <c r="AP394" s="28"/>
      <c r="AQ394" s="28"/>
    </row>
    <row r="395" spans="1:43" ht="15.75" customHeight="1" x14ac:dyDescent="0.2">
      <c r="A395" s="7">
        <v>7920</v>
      </c>
      <c r="B395" s="54" t="s">
        <v>672</v>
      </c>
      <c r="C395" s="54" t="s">
        <v>896</v>
      </c>
      <c r="D395" s="54"/>
      <c r="E395" s="54" t="s">
        <v>283</v>
      </c>
      <c r="F395" s="72">
        <v>2021</v>
      </c>
      <c r="G395" s="54"/>
      <c r="H395" s="72">
        <v>0</v>
      </c>
      <c r="I395" s="72">
        <v>29.6</v>
      </c>
      <c r="J395" s="73">
        <v>1</v>
      </c>
      <c r="K395" s="72">
        <v>29.6</v>
      </c>
      <c r="L395" s="54"/>
      <c r="M395" s="54"/>
      <c r="N395" s="72">
        <v>25</v>
      </c>
      <c r="O395" s="72">
        <v>117</v>
      </c>
      <c r="P395" s="54"/>
      <c r="Q395" s="65">
        <v>21993</v>
      </c>
      <c r="R395" s="54" t="s">
        <v>676</v>
      </c>
      <c r="S395" s="54">
        <v>2021</v>
      </c>
      <c r="T395" s="61">
        <v>0.23899999999999999</v>
      </c>
      <c r="U395" s="69">
        <f t="shared" si="20"/>
        <v>5256.3270000000002</v>
      </c>
      <c r="V395" s="70">
        <f t="shared" si="21"/>
        <v>177.57861486486487</v>
      </c>
      <c r="W395" s="15">
        <f t="shared" si="8"/>
        <v>0</v>
      </c>
      <c r="X395" s="15">
        <f t="shared" si="9"/>
        <v>0</v>
      </c>
      <c r="Y395" s="15">
        <f t="shared" si="10"/>
        <v>0</v>
      </c>
      <c r="Z395" s="13">
        <f t="shared" si="11"/>
        <v>0</v>
      </c>
      <c r="AA395" s="16">
        <f>VLOOKUP(S395,[1]CPI!$A$2:$D$67,4,0)</f>
        <v>1</v>
      </c>
      <c r="AB395" s="17">
        <f t="shared" si="22"/>
        <v>5256.3270000000002</v>
      </c>
      <c r="AC395" s="17">
        <f t="shared" si="23"/>
        <v>177.57861486486487</v>
      </c>
      <c r="AD395" s="54" t="s">
        <v>73</v>
      </c>
      <c r="AE395" s="46" t="s">
        <v>897</v>
      </c>
      <c r="AF395" s="54"/>
      <c r="AG395" s="54"/>
      <c r="AH395" s="54"/>
      <c r="AI395" s="54"/>
      <c r="AJ395" s="82"/>
      <c r="AK395" s="82"/>
      <c r="AL395" s="82"/>
      <c r="AM395" s="82"/>
      <c r="AN395" s="82"/>
      <c r="AO395" s="82"/>
      <c r="AP395" s="82"/>
      <c r="AQ395" s="82"/>
    </row>
    <row r="396" spans="1:43" ht="15.75" customHeight="1" x14ac:dyDescent="0.2">
      <c r="A396" s="7">
        <v>7922</v>
      </c>
      <c r="B396" s="54" t="s">
        <v>672</v>
      </c>
      <c r="C396" s="54" t="s">
        <v>796</v>
      </c>
      <c r="D396" s="54" t="s">
        <v>803</v>
      </c>
      <c r="E396" s="54" t="s">
        <v>803</v>
      </c>
      <c r="F396" s="72">
        <v>2017</v>
      </c>
      <c r="G396" s="72">
        <v>2023</v>
      </c>
      <c r="H396" s="72">
        <v>1</v>
      </c>
      <c r="I396" s="72">
        <v>62.5</v>
      </c>
      <c r="J396" s="73">
        <v>1</v>
      </c>
      <c r="K396" s="72">
        <v>62.5</v>
      </c>
      <c r="L396" s="54"/>
      <c r="M396" s="54"/>
      <c r="N396" s="72">
        <v>9</v>
      </c>
      <c r="O396" s="72">
        <v>184</v>
      </c>
      <c r="P396" s="54"/>
      <c r="Q396" s="65">
        <v>48600</v>
      </c>
      <c r="R396" s="54" t="s">
        <v>676</v>
      </c>
      <c r="S396" s="54">
        <v>2020</v>
      </c>
      <c r="T396" s="61">
        <v>0.23899999999999999</v>
      </c>
      <c r="U396" s="69">
        <f t="shared" si="20"/>
        <v>11615.4</v>
      </c>
      <c r="V396" s="70">
        <f t="shared" si="21"/>
        <v>185.84639999999999</v>
      </c>
      <c r="W396" s="15">
        <f t="shared" si="8"/>
        <v>0</v>
      </c>
      <c r="X396" s="15">
        <f t="shared" si="9"/>
        <v>0</v>
      </c>
      <c r="Y396" s="15">
        <f t="shared" si="10"/>
        <v>0</v>
      </c>
      <c r="Z396" s="13">
        <f t="shared" si="11"/>
        <v>0</v>
      </c>
      <c r="AA396" s="16">
        <f>VLOOKUP(S396,[1]CPI!$A$2:$D$67,4,0)</f>
        <v>1.0469802288156225</v>
      </c>
      <c r="AB396" s="17">
        <f t="shared" si="22"/>
        <v>12161.094149784982</v>
      </c>
      <c r="AC396" s="17">
        <f t="shared" si="23"/>
        <v>194.5775063965597</v>
      </c>
      <c r="AD396" s="54" t="s">
        <v>73</v>
      </c>
      <c r="AE396" s="46" t="s">
        <v>898</v>
      </c>
      <c r="AF396" s="80" t="s">
        <v>899</v>
      </c>
      <c r="AG396" s="81"/>
      <c r="AH396" s="81"/>
      <c r="AI396" s="81"/>
      <c r="AJ396" s="82"/>
      <c r="AK396" s="82"/>
      <c r="AL396" s="82"/>
      <c r="AM396" s="82"/>
      <c r="AN396" s="82"/>
      <c r="AO396" s="82"/>
      <c r="AP396" s="82"/>
      <c r="AQ396" s="82"/>
    </row>
    <row r="397" spans="1:43" ht="15.75" customHeight="1" x14ac:dyDescent="0.2">
      <c r="A397" s="7">
        <v>7923</v>
      </c>
      <c r="B397" s="57" t="s">
        <v>672</v>
      </c>
      <c r="C397" s="57" t="s">
        <v>900</v>
      </c>
      <c r="D397" s="9"/>
      <c r="E397" s="57" t="s">
        <v>735</v>
      </c>
      <c r="F397" s="58">
        <v>2020</v>
      </c>
      <c r="G397" s="58">
        <v>2026</v>
      </c>
      <c r="H397" s="58">
        <v>0</v>
      </c>
      <c r="I397" s="58">
        <v>36</v>
      </c>
      <c r="J397" s="79"/>
      <c r="K397" s="57"/>
      <c r="L397" s="58" t="e">
        <v>#N/A</v>
      </c>
      <c r="M397" s="58" t="e">
        <v>#N/A</v>
      </c>
      <c r="N397" s="58">
        <v>32</v>
      </c>
      <c r="O397" s="57"/>
      <c r="P397" s="57" t="s">
        <v>35</v>
      </c>
      <c r="Q397" s="67">
        <v>26350</v>
      </c>
      <c r="R397" s="57" t="s">
        <v>676</v>
      </c>
      <c r="S397" s="58">
        <v>2019</v>
      </c>
      <c r="T397" s="61">
        <v>0.23799999999999999</v>
      </c>
      <c r="U397" s="62">
        <f t="shared" si="20"/>
        <v>6271.2999999999993</v>
      </c>
      <c r="V397" s="14">
        <f t="shared" si="21"/>
        <v>174.20277777777775</v>
      </c>
      <c r="W397" s="15">
        <f t="shared" si="8"/>
        <v>0</v>
      </c>
      <c r="X397" s="15">
        <f t="shared" si="9"/>
        <v>0</v>
      </c>
      <c r="Y397" s="15">
        <f t="shared" si="10"/>
        <v>0</v>
      </c>
      <c r="Z397" s="13">
        <f t="shared" si="11"/>
        <v>0</v>
      </c>
      <c r="AA397" s="16">
        <f>VLOOKUP(S397,[1]CPI!$A$2:$D$67,4,0)</f>
        <v>1.0598966584134211</v>
      </c>
      <c r="AB397" s="17">
        <f t="shared" si="22"/>
        <v>6646.9299139080867</v>
      </c>
      <c r="AC397" s="17">
        <f t="shared" si="23"/>
        <v>184.6369420530024</v>
      </c>
      <c r="AD397" s="57" t="s">
        <v>43</v>
      </c>
      <c r="AE397" s="63" t="s">
        <v>901</v>
      </c>
      <c r="AF397" s="27"/>
      <c r="AG397" s="27"/>
      <c r="AH397" s="27"/>
      <c r="AI397" s="27"/>
      <c r="AJ397" s="28"/>
      <c r="AK397" s="28"/>
      <c r="AL397" s="28"/>
      <c r="AM397" s="28"/>
      <c r="AN397" s="28"/>
      <c r="AO397" s="28"/>
      <c r="AP397" s="28"/>
      <c r="AQ397" s="28"/>
    </row>
    <row r="398" spans="1:43" ht="15.75" customHeight="1" x14ac:dyDescent="0.2">
      <c r="A398" s="7">
        <v>7928</v>
      </c>
      <c r="B398" s="57" t="s">
        <v>672</v>
      </c>
      <c r="C398" s="57" t="s">
        <v>802</v>
      </c>
      <c r="D398" s="9" t="s">
        <v>810</v>
      </c>
      <c r="E398" s="57" t="s">
        <v>902</v>
      </c>
      <c r="F398" s="58">
        <v>2019</v>
      </c>
      <c r="G398" s="58">
        <v>2024</v>
      </c>
      <c r="H398" s="58">
        <v>0</v>
      </c>
      <c r="I398" s="58">
        <v>27.6</v>
      </c>
      <c r="J398" s="59">
        <v>1</v>
      </c>
      <c r="K398" s="58">
        <v>27.6</v>
      </c>
      <c r="L398" s="58">
        <v>0</v>
      </c>
      <c r="M398" s="58">
        <v>0</v>
      </c>
      <c r="N398" s="58">
        <v>17</v>
      </c>
      <c r="O398" s="57"/>
      <c r="P398" s="57" t="s">
        <v>35</v>
      </c>
      <c r="Q398" s="67">
        <v>20014</v>
      </c>
      <c r="R398" s="57" t="s">
        <v>676</v>
      </c>
      <c r="S398" s="58">
        <v>2019</v>
      </c>
      <c r="T398" s="61">
        <v>0.23799999999999999</v>
      </c>
      <c r="U398" s="62">
        <f t="shared" si="20"/>
        <v>4763.3319999999994</v>
      </c>
      <c r="V398" s="14">
        <f t="shared" si="21"/>
        <v>172.58449275362315</v>
      </c>
      <c r="W398" s="15">
        <f t="shared" si="8"/>
        <v>0</v>
      </c>
      <c r="X398" s="15">
        <f t="shared" si="9"/>
        <v>0</v>
      </c>
      <c r="Y398" s="15">
        <f t="shared" si="10"/>
        <v>0</v>
      </c>
      <c r="Z398" s="13">
        <f t="shared" si="11"/>
        <v>0</v>
      </c>
      <c r="AA398" s="16">
        <f>VLOOKUP(S398,[1]CPI!$A$2:$D$67,4,0)</f>
        <v>1.0598966584134211</v>
      </c>
      <c r="AB398" s="17">
        <f t="shared" si="22"/>
        <v>5048.639669713717</v>
      </c>
      <c r="AC398" s="17">
        <f t="shared" si="23"/>
        <v>182.92172716354045</v>
      </c>
      <c r="AD398" s="57" t="s">
        <v>35</v>
      </c>
      <c r="AE398" s="63" t="s">
        <v>805</v>
      </c>
      <c r="AF398" s="27"/>
      <c r="AG398" s="27"/>
      <c r="AH398" s="27"/>
      <c r="AI398" s="27"/>
      <c r="AJ398" s="28"/>
      <c r="AK398" s="28"/>
      <c r="AL398" s="28"/>
      <c r="AM398" s="28"/>
      <c r="AN398" s="28"/>
      <c r="AO398" s="28"/>
      <c r="AP398" s="28"/>
      <c r="AQ398" s="28"/>
    </row>
    <row r="399" spans="1:43" ht="15" customHeight="1" x14ac:dyDescent="0.2">
      <c r="A399" s="7">
        <v>7929</v>
      </c>
      <c r="B399" s="54" t="s">
        <v>672</v>
      </c>
      <c r="C399" s="54" t="s">
        <v>854</v>
      </c>
      <c r="D399" s="54"/>
      <c r="E399" s="54" t="s">
        <v>706</v>
      </c>
      <c r="F399" s="54"/>
      <c r="G399" s="72">
        <v>2020</v>
      </c>
      <c r="H399" s="72">
        <v>0</v>
      </c>
      <c r="I399" s="72">
        <v>24.98</v>
      </c>
      <c r="J399" s="73">
        <v>1</v>
      </c>
      <c r="K399" s="72">
        <v>24.98</v>
      </c>
      <c r="L399" s="54"/>
      <c r="M399" s="54"/>
      <c r="N399" s="72">
        <v>19</v>
      </c>
      <c r="O399" s="72">
        <v>117</v>
      </c>
      <c r="P399" s="54"/>
      <c r="Q399" s="65">
        <v>17330</v>
      </c>
      <c r="R399" s="54" t="s">
        <v>676</v>
      </c>
      <c r="S399" s="54">
        <v>2020</v>
      </c>
      <c r="T399" s="61">
        <v>0.23899999999999999</v>
      </c>
      <c r="U399" s="69">
        <f t="shared" si="20"/>
        <v>4141.87</v>
      </c>
      <c r="V399" s="70">
        <f t="shared" si="21"/>
        <v>165.80744595676541</v>
      </c>
      <c r="W399" s="15">
        <f t="shared" si="8"/>
        <v>0</v>
      </c>
      <c r="X399" s="15">
        <f t="shared" si="9"/>
        <v>0</v>
      </c>
      <c r="Y399" s="15">
        <f t="shared" si="10"/>
        <v>0</v>
      </c>
      <c r="Z399" s="13">
        <f t="shared" si="11"/>
        <v>0</v>
      </c>
      <c r="AA399" s="16">
        <f>VLOOKUP(S399,[1]CPI!$A$2:$D$67,4,0)</f>
        <v>1.0469802288156225</v>
      </c>
      <c r="AB399" s="17">
        <f t="shared" si="22"/>
        <v>4336.4560003245624</v>
      </c>
      <c r="AC399" s="17">
        <f t="shared" si="23"/>
        <v>173.59711770714821</v>
      </c>
      <c r="AD399" s="54" t="s">
        <v>73</v>
      </c>
      <c r="AE399" s="46" t="s">
        <v>903</v>
      </c>
      <c r="AF399" s="54"/>
      <c r="AG399" s="54"/>
      <c r="AH399" s="54"/>
      <c r="AI399" s="54"/>
      <c r="AJ399" s="82"/>
      <c r="AK399" s="82"/>
      <c r="AL399" s="82"/>
      <c r="AM399" s="82"/>
      <c r="AN399" s="82"/>
      <c r="AO399" s="82"/>
      <c r="AP399" s="82"/>
      <c r="AQ399" s="82"/>
    </row>
    <row r="400" spans="1:43" ht="15.75" customHeight="1" x14ac:dyDescent="0.2">
      <c r="A400" s="7">
        <v>7930</v>
      </c>
      <c r="B400" s="57" t="s">
        <v>672</v>
      </c>
      <c r="C400" s="57" t="s">
        <v>854</v>
      </c>
      <c r="D400" s="9"/>
      <c r="E400" s="57" t="s">
        <v>904</v>
      </c>
      <c r="F400" s="58">
        <v>2015</v>
      </c>
      <c r="G400" s="58">
        <v>2019</v>
      </c>
      <c r="H400" s="58">
        <v>0</v>
      </c>
      <c r="I400" s="58">
        <v>27.7</v>
      </c>
      <c r="J400" s="59">
        <v>1</v>
      </c>
      <c r="K400" s="58">
        <v>27.7</v>
      </c>
      <c r="L400" s="58">
        <v>0</v>
      </c>
      <c r="M400" s="58">
        <v>0</v>
      </c>
      <c r="N400" s="58">
        <v>23</v>
      </c>
      <c r="O400" s="57">
        <v>117</v>
      </c>
      <c r="P400" s="57" t="s">
        <v>35</v>
      </c>
      <c r="Q400" s="67">
        <v>19343</v>
      </c>
      <c r="R400" s="57" t="s">
        <v>676</v>
      </c>
      <c r="S400" s="58">
        <v>2015</v>
      </c>
      <c r="T400" s="61">
        <v>0.25800000000000001</v>
      </c>
      <c r="U400" s="62">
        <f t="shared" si="20"/>
        <v>4990.4939999999997</v>
      </c>
      <c r="V400" s="14">
        <f t="shared" si="21"/>
        <v>180.16223826714801</v>
      </c>
      <c r="W400" s="15">
        <f t="shared" si="8"/>
        <v>0</v>
      </c>
      <c r="X400" s="15">
        <f t="shared" si="9"/>
        <v>0</v>
      </c>
      <c r="Y400" s="15">
        <f t="shared" si="10"/>
        <v>0</v>
      </c>
      <c r="Z400" s="13">
        <f t="shared" si="11"/>
        <v>0</v>
      </c>
      <c r="AA400" s="16">
        <f>VLOOKUP(S400,[1]CPI!$A$2:$D$67,4,0)</f>
        <v>1.143251327963817</v>
      </c>
      <c r="AB400" s="17">
        <f t="shared" si="22"/>
        <v>5705.3888926954605</v>
      </c>
      <c r="AC400" s="17">
        <f t="shared" si="23"/>
        <v>205.97071814785056</v>
      </c>
      <c r="AD400" s="57" t="s">
        <v>43</v>
      </c>
      <c r="AE400" s="63" t="s">
        <v>905</v>
      </c>
      <c r="AF400" s="27"/>
      <c r="AG400" s="27"/>
      <c r="AH400" s="27"/>
      <c r="AI400" s="27"/>
      <c r="AJ400" s="28"/>
      <c r="AK400" s="28"/>
      <c r="AL400" s="28"/>
      <c r="AM400" s="28"/>
      <c r="AN400" s="28"/>
      <c r="AO400" s="28"/>
      <c r="AP400" s="28"/>
      <c r="AQ400" s="28"/>
    </row>
    <row r="401" spans="1:43" ht="15.75" customHeight="1" x14ac:dyDescent="0.2">
      <c r="A401" s="7">
        <v>7931</v>
      </c>
      <c r="B401" s="57" t="s">
        <v>672</v>
      </c>
      <c r="C401" s="57" t="s">
        <v>906</v>
      </c>
      <c r="D401" s="9"/>
      <c r="E401" s="57" t="s">
        <v>907</v>
      </c>
      <c r="F401" s="58">
        <v>2018</v>
      </c>
      <c r="G401" s="58">
        <v>2023</v>
      </c>
      <c r="H401" s="58">
        <v>0</v>
      </c>
      <c r="I401" s="58">
        <v>43.134999999999998</v>
      </c>
      <c r="J401" s="59">
        <v>1</v>
      </c>
      <c r="K401" s="58">
        <v>43.134999999999998</v>
      </c>
      <c r="L401" s="58">
        <v>0</v>
      </c>
      <c r="M401" s="58">
        <v>0</v>
      </c>
      <c r="N401" s="58">
        <v>29</v>
      </c>
      <c r="O401" s="57"/>
      <c r="P401" s="57" t="s">
        <v>43</v>
      </c>
      <c r="Q401" s="67">
        <v>31545</v>
      </c>
      <c r="R401" s="57" t="s">
        <v>676</v>
      </c>
      <c r="S401" s="58">
        <v>2017</v>
      </c>
      <c r="T401" s="61">
        <v>0.23899999999999999</v>
      </c>
      <c r="U401" s="62">
        <f t="shared" si="20"/>
        <v>7539.2550000000001</v>
      </c>
      <c r="V401" s="14">
        <f t="shared" si="21"/>
        <v>174.78277500869365</v>
      </c>
      <c r="W401" s="15">
        <f t="shared" si="8"/>
        <v>0</v>
      </c>
      <c r="X401" s="15">
        <f t="shared" si="9"/>
        <v>0</v>
      </c>
      <c r="Y401" s="15">
        <f t="shared" si="10"/>
        <v>0</v>
      </c>
      <c r="Z401" s="13">
        <f t="shared" si="11"/>
        <v>0</v>
      </c>
      <c r="AA401" s="16">
        <f>VLOOKUP(S401,[1]CPI!$A$2:$D$67,4,0)</f>
        <v>1.1054585509138382</v>
      </c>
      <c r="AB401" s="17">
        <f t="shared" si="22"/>
        <v>8334.3339072699091</v>
      </c>
      <c r="AC401" s="17">
        <f t="shared" si="23"/>
        <v>193.21511318580988</v>
      </c>
      <c r="AD401" s="57" t="s">
        <v>43</v>
      </c>
      <c r="AE401" s="63" t="s">
        <v>908</v>
      </c>
      <c r="AF401" s="27"/>
      <c r="AG401" s="27"/>
      <c r="AH401" s="27"/>
      <c r="AI401" s="27"/>
      <c r="AJ401" s="28"/>
      <c r="AK401" s="28"/>
      <c r="AL401" s="28"/>
      <c r="AM401" s="28"/>
      <c r="AN401" s="28"/>
      <c r="AO401" s="28"/>
      <c r="AP401" s="28"/>
      <c r="AQ401" s="28"/>
    </row>
    <row r="402" spans="1:43" ht="15.75" customHeight="1" x14ac:dyDescent="0.2">
      <c r="A402" s="7">
        <v>7936</v>
      </c>
      <c r="B402" s="54" t="s">
        <v>672</v>
      </c>
      <c r="C402" s="54" t="s">
        <v>765</v>
      </c>
      <c r="D402" s="54"/>
      <c r="E402" s="54" t="s">
        <v>708</v>
      </c>
      <c r="F402" s="72">
        <v>2020</v>
      </c>
      <c r="G402" s="54"/>
      <c r="H402" s="72">
        <v>0</v>
      </c>
      <c r="I402" s="72">
        <v>40.22</v>
      </c>
      <c r="J402" s="73">
        <v>1</v>
      </c>
      <c r="K402" s="72">
        <v>40.22</v>
      </c>
      <c r="L402" s="54"/>
      <c r="M402" s="54"/>
      <c r="N402" s="72">
        <v>33</v>
      </c>
      <c r="O402" s="72">
        <v>117</v>
      </c>
      <c r="P402" s="54"/>
      <c r="Q402" s="65">
        <v>30638</v>
      </c>
      <c r="R402" s="54" t="s">
        <v>676</v>
      </c>
      <c r="S402" s="54">
        <v>2020</v>
      </c>
      <c r="T402" s="61">
        <v>0.23899999999999999</v>
      </c>
      <c r="U402" s="69">
        <f t="shared" si="20"/>
        <v>7322.482</v>
      </c>
      <c r="V402" s="70">
        <f t="shared" si="21"/>
        <v>182.06071606166088</v>
      </c>
      <c r="W402" s="15">
        <f t="shared" si="8"/>
        <v>0</v>
      </c>
      <c r="X402" s="15">
        <f t="shared" si="9"/>
        <v>0</v>
      </c>
      <c r="Y402" s="15">
        <f t="shared" si="10"/>
        <v>0</v>
      </c>
      <c r="Z402" s="13">
        <f t="shared" si="11"/>
        <v>0</v>
      </c>
      <c r="AA402" s="16">
        <f>VLOOKUP(S402,[1]CPI!$A$2:$D$67,4,0)</f>
        <v>1.0469802288156225</v>
      </c>
      <c r="AB402" s="17">
        <f t="shared" si="22"/>
        <v>7666.4938798582771</v>
      </c>
      <c r="AC402" s="17">
        <f t="shared" si="23"/>
        <v>190.61397016057379</v>
      </c>
      <c r="AD402" s="54" t="s">
        <v>73</v>
      </c>
      <c r="AE402" s="46" t="s">
        <v>909</v>
      </c>
      <c r="AF402" s="54"/>
      <c r="AG402" s="54"/>
      <c r="AH402" s="54"/>
      <c r="AI402" s="54"/>
      <c r="AJ402" s="82"/>
      <c r="AK402" s="82"/>
      <c r="AL402" s="82"/>
      <c r="AM402" s="82"/>
      <c r="AN402" s="82"/>
      <c r="AO402" s="82"/>
      <c r="AP402" s="82"/>
      <c r="AQ402" s="82"/>
    </row>
    <row r="403" spans="1:43" ht="15.75" customHeight="1" x14ac:dyDescent="0.2">
      <c r="A403" s="91">
        <v>7937</v>
      </c>
      <c r="B403" s="54" t="s">
        <v>672</v>
      </c>
      <c r="C403" s="54" t="s">
        <v>755</v>
      </c>
      <c r="D403" s="54" t="s">
        <v>103</v>
      </c>
      <c r="E403" s="54" t="s">
        <v>907</v>
      </c>
      <c r="F403" s="72">
        <v>2017</v>
      </c>
      <c r="G403" s="72">
        <v>2021</v>
      </c>
      <c r="H403" s="72">
        <v>0</v>
      </c>
      <c r="I403" s="72">
        <v>52.9</v>
      </c>
      <c r="J403" s="73">
        <v>1</v>
      </c>
      <c r="K403" s="72">
        <v>52.9</v>
      </c>
      <c r="L403" s="54"/>
      <c r="M403" s="54"/>
      <c r="N403" s="72">
        <v>35</v>
      </c>
      <c r="O403" s="72">
        <v>117</v>
      </c>
      <c r="P403" s="54"/>
      <c r="Q403" s="65">
        <v>42062</v>
      </c>
      <c r="R403" s="54" t="s">
        <v>676</v>
      </c>
      <c r="S403" s="54">
        <v>2020</v>
      </c>
      <c r="T403" s="61">
        <v>0.23899999999999999</v>
      </c>
      <c r="U403" s="69">
        <f t="shared" si="20"/>
        <v>10052.817999999999</v>
      </c>
      <c r="V403" s="70">
        <f t="shared" si="21"/>
        <v>190.03436672967862</v>
      </c>
      <c r="W403" s="15">
        <f t="shared" si="8"/>
        <v>0</v>
      </c>
      <c r="X403" s="15">
        <f t="shared" si="9"/>
        <v>0</v>
      </c>
      <c r="Y403" s="15">
        <f t="shared" si="10"/>
        <v>0</v>
      </c>
      <c r="Z403" s="13">
        <f t="shared" si="11"/>
        <v>0</v>
      </c>
      <c r="AA403" s="16">
        <f>VLOOKUP(S403,[1]CPI!$A$2:$D$67,4,0)</f>
        <v>1.0469802288156225</v>
      </c>
      <c r="AB403" s="17">
        <f t="shared" si="22"/>
        <v>10525.101689881807</v>
      </c>
      <c r="AC403" s="17">
        <f t="shared" si="23"/>
        <v>198.96222476147085</v>
      </c>
      <c r="AD403" s="54" t="s">
        <v>73</v>
      </c>
      <c r="AE403" s="46" t="s">
        <v>910</v>
      </c>
      <c r="AF403" s="54"/>
      <c r="AG403" s="54"/>
      <c r="AH403" s="54"/>
      <c r="AI403" s="54"/>
      <c r="AJ403" s="82"/>
      <c r="AK403" s="82"/>
      <c r="AL403" s="82"/>
      <c r="AM403" s="82"/>
      <c r="AN403" s="82"/>
      <c r="AO403" s="82"/>
      <c r="AP403" s="82"/>
      <c r="AQ403" s="82"/>
    </row>
    <row r="404" spans="1:43" ht="15.75" customHeight="1" x14ac:dyDescent="0.2">
      <c r="A404" s="7">
        <v>7938</v>
      </c>
      <c r="B404" s="57" t="s">
        <v>672</v>
      </c>
      <c r="C404" s="57" t="s">
        <v>900</v>
      </c>
      <c r="D404" s="9"/>
      <c r="E404" s="57" t="s">
        <v>825</v>
      </c>
      <c r="F404" s="57"/>
      <c r="G404" s="57"/>
      <c r="H404" s="58">
        <v>0</v>
      </c>
      <c r="I404" s="58">
        <v>14.3</v>
      </c>
      <c r="J404" s="79"/>
      <c r="K404" s="57"/>
      <c r="L404" s="58" t="e">
        <v>#N/A</v>
      </c>
      <c r="M404" s="58" t="e">
        <v>#N/A</v>
      </c>
      <c r="N404" s="58">
        <v>8</v>
      </c>
      <c r="O404" s="57"/>
      <c r="P404" s="57" t="s">
        <v>35</v>
      </c>
      <c r="Q404" s="67">
        <v>10170</v>
      </c>
      <c r="R404" s="57" t="s">
        <v>676</v>
      </c>
      <c r="S404" s="58">
        <v>2019</v>
      </c>
      <c r="T404" s="61">
        <v>0.23799999999999999</v>
      </c>
      <c r="U404" s="62">
        <f t="shared" si="20"/>
        <v>2420.46</v>
      </c>
      <c r="V404" s="14">
        <f t="shared" si="21"/>
        <v>169.26293706293706</v>
      </c>
      <c r="W404" s="15">
        <f t="shared" si="8"/>
        <v>0</v>
      </c>
      <c r="X404" s="15">
        <f t="shared" si="9"/>
        <v>0</v>
      </c>
      <c r="Y404" s="15">
        <f t="shared" si="10"/>
        <v>0</v>
      </c>
      <c r="Z404" s="13">
        <f t="shared" si="11"/>
        <v>0</v>
      </c>
      <c r="AA404" s="16">
        <f>VLOOKUP(S404,[1]CPI!$A$2:$D$67,4,0)</f>
        <v>1.0598966584134211</v>
      </c>
      <c r="AB404" s="17">
        <f t="shared" si="22"/>
        <v>2565.4374658233492</v>
      </c>
      <c r="AC404" s="17">
        <f t="shared" si="23"/>
        <v>179.40122138624818</v>
      </c>
      <c r="AD404" s="57" t="s">
        <v>43</v>
      </c>
      <c r="AE404" s="63" t="s">
        <v>901</v>
      </c>
      <c r="AF404" s="27"/>
      <c r="AG404" s="27"/>
      <c r="AH404" s="27"/>
      <c r="AI404" s="27"/>
      <c r="AJ404" s="28"/>
      <c r="AK404" s="28"/>
      <c r="AL404" s="28"/>
      <c r="AM404" s="28"/>
      <c r="AN404" s="28"/>
      <c r="AO404" s="28"/>
      <c r="AP404" s="28"/>
      <c r="AQ404" s="28"/>
    </row>
    <row r="405" spans="1:43" ht="15.75" customHeight="1" x14ac:dyDescent="0.2">
      <c r="A405" s="7">
        <v>7939</v>
      </c>
      <c r="B405" s="54" t="s">
        <v>672</v>
      </c>
      <c r="C405" s="54" t="s">
        <v>775</v>
      </c>
      <c r="D405" s="54" t="s">
        <v>92</v>
      </c>
      <c r="E405" s="54" t="s">
        <v>911</v>
      </c>
      <c r="F405" s="72">
        <v>2020</v>
      </c>
      <c r="G405" s="54"/>
      <c r="H405" s="72">
        <v>0</v>
      </c>
      <c r="I405" s="72">
        <v>7.5940000000000003</v>
      </c>
      <c r="J405" s="73">
        <v>1</v>
      </c>
      <c r="K405" s="72">
        <v>7.5940000000000003</v>
      </c>
      <c r="L405" s="54"/>
      <c r="M405" s="54"/>
      <c r="N405" s="72">
        <v>7</v>
      </c>
      <c r="O405" s="72">
        <v>117</v>
      </c>
      <c r="P405" s="54"/>
      <c r="Q405" s="65">
        <v>8940</v>
      </c>
      <c r="R405" s="54" t="s">
        <v>676</v>
      </c>
      <c r="S405" s="54">
        <v>2020</v>
      </c>
      <c r="T405" s="61">
        <v>0.23899999999999999</v>
      </c>
      <c r="U405" s="69">
        <f t="shared" si="20"/>
        <v>2136.66</v>
      </c>
      <c r="V405" s="70">
        <f t="shared" si="21"/>
        <v>281.36160126415587</v>
      </c>
      <c r="W405" s="15">
        <f t="shared" si="8"/>
        <v>0</v>
      </c>
      <c r="X405" s="15">
        <f t="shared" si="9"/>
        <v>0</v>
      </c>
      <c r="Y405" s="15">
        <f t="shared" si="10"/>
        <v>0</v>
      </c>
      <c r="Z405" s="13">
        <f t="shared" si="11"/>
        <v>0</v>
      </c>
      <c r="AA405" s="16">
        <f>VLOOKUP(S405,[1]CPI!$A$2:$D$67,4,0)</f>
        <v>1.0469802288156225</v>
      </c>
      <c r="AB405" s="17">
        <f t="shared" si="22"/>
        <v>2237.0407757011876</v>
      </c>
      <c r="AC405" s="17">
        <f t="shared" si="23"/>
        <v>294.58003367147586</v>
      </c>
      <c r="AD405" s="54" t="s">
        <v>73</v>
      </c>
      <c r="AE405" s="46" t="s">
        <v>912</v>
      </c>
      <c r="AF405" s="54"/>
      <c r="AG405" s="54"/>
      <c r="AH405" s="54"/>
      <c r="AI405" s="54"/>
      <c r="AJ405" s="82"/>
      <c r="AK405" s="82"/>
      <c r="AL405" s="82"/>
      <c r="AM405" s="82"/>
      <c r="AN405" s="82"/>
      <c r="AO405" s="82"/>
      <c r="AP405" s="82"/>
      <c r="AQ405" s="82"/>
    </row>
    <row r="406" spans="1:43" ht="15.75" customHeight="1" x14ac:dyDescent="0.2">
      <c r="A406" s="7">
        <v>7944</v>
      </c>
      <c r="B406" s="57" t="s">
        <v>672</v>
      </c>
      <c r="C406" s="57" t="s">
        <v>872</v>
      </c>
      <c r="D406" s="9"/>
      <c r="E406" s="57" t="s">
        <v>287</v>
      </c>
      <c r="F406" s="58">
        <v>2014</v>
      </c>
      <c r="G406" s="58">
        <v>2020</v>
      </c>
      <c r="H406" s="58">
        <v>0</v>
      </c>
      <c r="I406" s="58">
        <v>44.09</v>
      </c>
      <c r="J406" s="59">
        <v>0.81152188700000005</v>
      </c>
      <c r="K406" s="58">
        <v>35.78</v>
      </c>
      <c r="L406" s="58">
        <v>7.06</v>
      </c>
      <c r="M406" s="58">
        <v>1.3170999999999999</v>
      </c>
      <c r="N406" s="58">
        <v>27</v>
      </c>
      <c r="O406" s="57"/>
      <c r="P406" s="57" t="s">
        <v>35</v>
      </c>
      <c r="Q406" s="67">
        <v>31098</v>
      </c>
      <c r="R406" s="57" t="s">
        <v>676</v>
      </c>
      <c r="S406" s="58">
        <v>2018</v>
      </c>
      <c r="T406" s="61">
        <v>0.23699999999999999</v>
      </c>
      <c r="U406" s="62">
        <f t="shared" si="20"/>
        <v>7370.2259999999997</v>
      </c>
      <c r="V406" s="14">
        <f t="shared" si="21"/>
        <v>167.16321161261055</v>
      </c>
      <c r="W406" s="15">
        <f t="shared" si="8"/>
        <v>0</v>
      </c>
      <c r="X406" s="15">
        <f t="shared" si="9"/>
        <v>0</v>
      </c>
      <c r="Y406" s="15">
        <f t="shared" si="10"/>
        <v>0</v>
      </c>
      <c r="Z406" s="13">
        <f t="shared" si="11"/>
        <v>0</v>
      </c>
      <c r="AA406" s="16">
        <f>VLOOKUP(S406,[1]CPI!$A$2:$D$67,4,0)</f>
        <v>1.0791017375063221</v>
      </c>
      <c r="AB406" s="17">
        <f t="shared" si="22"/>
        <v>7953.2236824142701</v>
      </c>
      <c r="AC406" s="17">
        <f t="shared" si="23"/>
        <v>180.38611209830503</v>
      </c>
      <c r="AD406" s="57" t="s">
        <v>35</v>
      </c>
      <c r="AE406" s="63" t="s">
        <v>913</v>
      </c>
      <c r="AF406" s="27"/>
      <c r="AG406" s="27"/>
      <c r="AH406" s="27"/>
      <c r="AI406" s="27"/>
      <c r="AJ406" s="28"/>
      <c r="AK406" s="28"/>
      <c r="AL406" s="28"/>
      <c r="AM406" s="28"/>
      <c r="AN406" s="28"/>
      <c r="AO406" s="28"/>
      <c r="AP406" s="28"/>
      <c r="AQ406" s="28"/>
    </row>
    <row r="407" spans="1:43" ht="15.75" customHeight="1" x14ac:dyDescent="0.2">
      <c r="A407" s="7">
        <v>7945</v>
      </c>
      <c r="B407" s="54" t="s">
        <v>672</v>
      </c>
      <c r="C407" s="54" t="s">
        <v>757</v>
      </c>
      <c r="D407" s="54"/>
      <c r="E407" s="54" t="s">
        <v>281</v>
      </c>
      <c r="F407" s="72">
        <v>2019</v>
      </c>
      <c r="G407" s="72">
        <v>2023</v>
      </c>
      <c r="H407" s="72">
        <v>0</v>
      </c>
      <c r="I407" s="72">
        <v>32.365000000000002</v>
      </c>
      <c r="J407" s="73">
        <v>1</v>
      </c>
      <c r="K407" s="72">
        <v>32.365000000000002</v>
      </c>
      <c r="L407" s="54"/>
      <c r="M407" s="54"/>
      <c r="N407" s="72">
        <v>19</v>
      </c>
      <c r="O407" s="72">
        <v>117</v>
      </c>
      <c r="P407" s="54"/>
      <c r="Q407" s="65">
        <v>32870</v>
      </c>
      <c r="R407" s="54" t="s">
        <v>676</v>
      </c>
      <c r="S407" s="54">
        <v>2021</v>
      </c>
      <c r="T407" s="61">
        <v>0.23899999999999999</v>
      </c>
      <c r="U407" s="69">
        <f t="shared" si="20"/>
        <v>7855.9299999999994</v>
      </c>
      <c r="V407" s="70">
        <f t="shared" si="21"/>
        <v>242.72918275915336</v>
      </c>
      <c r="W407" s="15">
        <f t="shared" si="8"/>
        <v>0</v>
      </c>
      <c r="X407" s="15">
        <f t="shared" si="9"/>
        <v>0</v>
      </c>
      <c r="Y407" s="15">
        <f t="shared" si="10"/>
        <v>0</v>
      </c>
      <c r="Z407" s="13">
        <f t="shared" si="11"/>
        <v>0</v>
      </c>
      <c r="AA407" s="16">
        <f>VLOOKUP(S407,[1]CPI!$A$2:$D$67,4,0)</f>
        <v>1</v>
      </c>
      <c r="AB407" s="17">
        <f t="shared" si="22"/>
        <v>7855.9299999999994</v>
      </c>
      <c r="AC407" s="17">
        <f t="shared" si="23"/>
        <v>242.72918275915336</v>
      </c>
      <c r="AD407" s="54" t="s">
        <v>73</v>
      </c>
      <c r="AE407" s="46" t="s">
        <v>914</v>
      </c>
      <c r="AF407" s="54"/>
      <c r="AG407" s="54"/>
      <c r="AH407" s="54"/>
      <c r="AI407" s="54"/>
      <c r="AJ407" s="82"/>
      <c r="AK407" s="82"/>
      <c r="AL407" s="82"/>
      <c r="AM407" s="82"/>
      <c r="AN407" s="82"/>
      <c r="AO407" s="82"/>
      <c r="AP407" s="82"/>
      <c r="AQ407" s="82"/>
    </row>
    <row r="408" spans="1:43" ht="15.75" customHeight="1" x14ac:dyDescent="0.2">
      <c r="A408" s="7">
        <v>7946</v>
      </c>
      <c r="B408" s="54" t="s">
        <v>672</v>
      </c>
      <c r="C408" s="54" t="s">
        <v>765</v>
      </c>
      <c r="D408" s="54" t="s">
        <v>103</v>
      </c>
      <c r="E408" s="54" t="s">
        <v>907</v>
      </c>
      <c r="F408" s="72">
        <v>2014</v>
      </c>
      <c r="G408" s="72">
        <v>2019</v>
      </c>
      <c r="H408" s="72">
        <v>0</v>
      </c>
      <c r="I408" s="72">
        <v>37.200000000000003</v>
      </c>
      <c r="J408" s="73">
        <v>0.89</v>
      </c>
      <c r="K408" s="72">
        <v>32.97</v>
      </c>
      <c r="L408" s="54"/>
      <c r="M408" s="54"/>
      <c r="N408" s="72">
        <v>33</v>
      </c>
      <c r="O408" s="72">
        <v>117</v>
      </c>
      <c r="P408" s="54"/>
      <c r="Q408" s="65">
        <v>26102</v>
      </c>
      <c r="R408" s="54" t="s">
        <v>676</v>
      </c>
      <c r="S408" s="54">
        <v>2017</v>
      </c>
      <c r="T408" s="61">
        <v>0.23899999999999999</v>
      </c>
      <c r="U408" s="69">
        <f t="shared" si="20"/>
        <v>6238.3779999999997</v>
      </c>
      <c r="V408" s="70">
        <f t="shared" si="21"/>
        <v>167.69833333333332</v>
      </c>
      <c r="W408" s="15">
        <f t="shared" si="8"/>
        <v>0</v>
      </c>
      <c r="X408" s="15">
        <f t="shared" si="9"/>
        <v>0</v>
      </c>
      <c r="Y408" s="15">
        <f t="shared" si="10"/>
        <v>0</v>
      </c>
      <c r="Z408" s="13">
        <f t="shared" si="11"/>
        <v>0</v>
      </c>
      <c r="AA408" s="16">
        <f>VLOOKUP(S408,[1]CPI!$A$2:$D$67,4,0)</f>
        <v>1.1054585509138382</v>
      </c>
      <c r="AB408" s="17">
        <f t="shared" si="22"/>
        <v>6896.2683039327676</v>
      </c>
      <c r="AC408" s="17">
        <f t="shared" si="23"/>
        <v>185.38355655733247</v>
      </c>
      <c r="AD408" s="54" t="s">
        <v>73</v>
      </c>
      <c r="AE408" s="46" t="s">
        <v>915</v>
      </c>
      <c r="AF408" s="54"/>
      <c r="AG408" s="54"/>
      <c r="AH408" s="54"/>
      <c r="AI408" s="54"/>
      <c r="AJ408" s="82"/>
      <c r="AK408" s="82"/>
      <c r="AL408" s="82"/>
      <c r="AM408" s="82"/>
      <c r="AN408" s="82"/>
      <c r="AO408" s="82"/>
      <c r="AP408" s="82"/>
      <c r="AQ408" s="82"/>
    </row>
    <row r="409" spans="1:43" ht="15.75" customHeight="1" x14ac:dyDescent="0.2">
      <c r="A409" s="7">
        <v>7947</v>
      </c>
      <c r="B409" s="57" t="s">
        <v>672</v>
      </c>
      <c r="C409" s="57" t="s">
        <v>757</v>
      </c>
      <c r="D409" s="54" t="s">
        <v>916</v>
      </c>
      <c r="E409" s="57" t="s">
        <v>917</v>
      </c>
      <c r="F409" s="58">
        <v>2017</v>
      </c>
      <c r="G409" s="58">
        <v>2020</v>
      </c>
      <c r="H409" s="58">
        <v>0</v>
      </c>
      <c r="I409" s="58">
        <v>2.5</v>
      </c>
      <c r="J409" s="59">
        <v>1</v>
      </c>
      <c r="K409" s="58">
        <v>2.5</v>
      </c>
      <c r="L409" s="58">
        <v>0</v>
      </c>
      <c r="M409" s="58">
        <v>0</v>
      </c>
      <c r="N409" s="58">
        <v>2</v>
      </c>
      <c r="O409" s="57"/>
      <c r="P409" s="57" t="s">
        <v>35</v>
      </c>
      <c r="Q409" s="67">
        <v>1711</v>
      </c>
      <c r="R409" s="57" t="s">
        <v>676</v>
      </c>
      <c r="S409" s="58">
        <v>2016</v>
      </c>
      <c r="T409" s="61">
        <v>0.251</v>
      </c>
      <c r="U409" s="62">
        <f t="shared" si="20"/>
        <v>429.46100000000001</v>
      </c>
      <c r="V409" s="14">
        <f t="shared" si="21"/>
        <v>171.78440000000001</v>
      </c>
      <c r="W409" s="15">
        <f t="shared" si="8"/>
        <v>0</v>
      </c>
      <c r="X409" s="15">
        <f t="shared" si="9"/>
        <v>0</v>
      </c>
      <c r="Y409" s="15">
        <f t="shared" si="10"/>
        <v>0</v>
      </c>
      <c r="Z409" s="13">
        <f t="shared" si="11"/>
        <v>0</v>
      </c>
      <c r="AA409" s="16">
        <f>VLOOKUP(S409,[1]CPI!$A$2:$D$67,4,0)</f>
        <v>1.1290087372451638</v>
      </c>
      <c r="AB409" s="17">
        <f t="shared" si="22"/>
        <v>484.86522130604533</v>
      </c>
      <c r="AC409" s="17">
        <f t="shared" si="23"/>
        <v>193.94608852241814</v>
      </c>
      <c r="AD409" s="57" t="s">
        <v>35</v>
      </c>
      <c r="AE409" s="63" t="s">
        <v>918</v>
      </c>
      <c r="AF409" s="27"/>
      <c r="AG409" s="27"/>
      <c r="AH409" s="27"/>
      <c r="AI409" s="27"/>
      <c r="AJ409" s="28"/>
      <c r="AK409" s="28"/>
      <c r="AL409" s="28"/>
      <c r="AM409" s="28"/>
      <c r="AN409" s="28"/>
      <c r="AO409" s="28"/>
      <c r="AP409" s="28"/>
      <c r="AQ409" s="28"/>
    </row>
    <row r="410" spans="1:43" ht="15.75" customHeight="1" x14ac:dyDescent="0.2">
      <c r="A410" s="7">
        <v>7952</v>
      </c>
      <c r="B410" s="57" t="s">
        <v>672</v>
      </c>
      <c r="C410" s="57" t="s">
        <v>872</v>
      </c>
      <c r="D410" s="9" t="s">
        <v>119</v>
      </c>
      <c r="E410" s="57" t="s">
        <v>919</v>
      </c>
      <c r="F410" s="58">
        <v>2019</v>
      </c>
      <c r="G410" s="58">
        <v>2024</v>
      </c>
      <c r="H410" s="58">
        <v>0</v>
      </c>
      <c r="I410" s="58">
        <v>28.96</v>
      </c>
      <c r="J410" s="59">
        <v>0.62569060769999996</v>
      </c>
      <c r="K410" s="58">
        <v>18.12</v>
      </c>
      <c r="L410" s="58">
        <v>0</v>
      </c>
      <c r="M410" s="58">
        <v>0</v>
      </c>
      <c r="N410" s="58">
        <v>19</v>
      </c>
      <c r="O410" s="57"/>
      <c r="P410" s="57" t="s">
        <v>35</v>
      </c>
      <c r="Q410" s="67">
        <v>20334</v>
      </c>
      <c r="R410" s="57" t="s">
        <v>676</v>
      </c>
      <c r="S410" s="58">
        <v>2018</v>
      </c>
      <c r="T410" s="61">
        <v>0.23699999999999999</v>
      </c>
      <c r="U410" s="62">
        <f t="shared" si="20"/>
        <v>4819.1579999999994</v>
      </c>
      <c r="V410" s="14">
        <f t="shared" si="21"/>
        <v>166.40738950276241</v>
      </c>
      <c r="W410" s="15">
        <f t="shared" si="8"/>
        <v>0</v>
      </c>
      <c r="X410" s="15">
        <f t="shared" si="9"/>
        <v>0</v>
      </c>
      <c r="Y410" s="15">
        <f t="shared" si="10"/>
        <v>0</v>
      </c>
      <c r="Z410" s="13">
        <f t="shared" si="11"/>
        <v>0</v>
      </c>
      <c r="AA410" s="16">
        <f>VLOOKUP(S410,[1]CPI!$A$2:$D$67,4,0)</f>
        <v>1.0791017375063221</v>
      </c>
      <c r="AB410" s="17">
        <f t="shared" si="22"/>
        <v>5200.361771117492</v>
      </c>
      <c r="AC410" s="17">
        <f t="shared" si="23"/>
        <v>179.57050314632224</v>
      </c>
      <c r="AD410" s="57" t="s">
        <v>35</v>
      </c>
      <c r="AE410" s="63" t="s">
        <v>913</v>
      </c>
      <c r="AF410" s="27"/>
      <c r="AG410" s="27"/>
      <c r="AH410" s="27"/>
      <c r="AI410" s="27"/>
      <c r="AJ410" s="28"/>
      <c r="AK410" s="28"/>
      <c r="AL410" s="28"/>
      <c r="AM410" s="28"/>
      <c r="AN410" s="28"/>
      <c r="AO410" s="28"/>
      <c r="AP410" s="28"/>
      <c r="AQ410" s="28"/>
    </row>
    <row r="411" spans="1:43" ht="15.75" customHeight="1" x14ac:dyDescent="0.2">
      <c r="A411" s="7">
        <v>7953</v>
      </c>
      <c r="B411" s="57" t="s">
        <v>672</v>
      </c>
      <c r="C411" s="57" t="s">
        <v>866</v>
      </c>
      <c r="D411" s="9" t="s">
        <v>281</v>
      </c>
      <c r="E411" s="57" t="s">
        <v>281</v>
      </c>
      <c r="F411" s="58">
        <v>2015</v>
      </c>
      <c r="G411" s="58">
        <v>2019</v>
      </c>
      <c r="H411" s="58">
        <v>0</v>
      </c>
      <c r="I411" s="58">
        <v>40.5</v>
      </c>
      <c r="J411" s="59">
        <v>0.79012345679999996</v>
      </c>
      <c r="K411" s="58">
        <v>32</v>
      </c>
      <c r="L411" s="58">
        <v>0.45500000000000002</v>
      </c>
      <c r="M411" s="58">
        <v>8.0500000000000007</v>
      </c>
      <c r="N411" s="58">
        <v>20</v>
      </c>
      <c r="O411" s="57"/>
      <c r="P411" s="57" t="s">
        <v>35</v>
      </c>
      <c r="Q411" s="67">
        <v>27716</v>
      </c>
      <c r="R411" s="57" t="s">
        <v>676</v>
      </c>
      <c r="S411" s="58">
        <v>2015</v>
      </c>
      <c r="T411" s="61">
        <v>0.25800000000000001</v>
      </c>
      <c r="U411" s="62">
        <f t="shared" si="20"/>
        <v>7150.7280000000001</v>
      </c>
      <c r="V411" s="14">
        <f t="shared" si="21"/>
        <v>176.5611851851852</v>
      </c>
      <c r="W411" s="15">
        <f t="shared" si="8"/>
        <v>0</v>
      </c>
      <c r="X411" s="15">
        <f t="shared" si="9"/>
        <v>0</v>
      </c>
      <c r="Y411" s="15">
        <f t="shared" si="10"/>
        <v>0</v>
      </c>
      <c r="Z411" s="13">
        <f t="shared" si="11"/>
        <v>0</v>
      </c>
      <c r="AA411" s="16">
        <f>VLOOKUP(S411,[1]CPI!$A$2:$D$67,4,0)</f>
        <v>1.143251327963817</v>
      </c>
      <c r="AB411" s="17">
        <f t="shared" si="22"/>
        <v>8175.0792819080498</v>
      </c>
      <c r="AC411" s="17">
        <f t="shared" si="23"/>
        <v>201.8538094298284</v>
      </c>
      <c r="AD411" s="57" t="s">
        <v>35</v>
      </c>
      <c r="AE411" s="63" t="s">
        <v>885</v>
      </c>
      <c r="AF411" s="27"/>
      <c r="AG411" s="27"/>
      <c r="AH411" s="27"/>
      <c r="AI411" s="27"/>
      <c r="AJ411" s="28"/>
      <c r="AK411" s="28"/>
      <c r="AL411" s="28"/>
      <c r="AM411" s="28"/>
      <c r="AN411" s="28"/>
      <c r="AO411" s="28"/>
      <c r="AP411" s="28"/>
      <c r="AQ411" s="28"/>
    </row>
    <row r="412" spans="1:43" ht="15.75" customHeight="1" x14ac:dyDescent="0.2">
      <c r="A412" s="7">
        <v>7954</v>
      </c>
      <c r="B412" s="57" t="s">
        <v>672</v>
      </c>
      <c r="C412" s="57" t="s">
        <v>695</v>
      </c>
      <c r="D412" s="9"/>
      <c r="E412" s="57" t="s">
        <v>920</v>
      </c>
      <c r="F412" s="58">
        <v>2019</v>
      </c>
      <c r="G412" s="58">
        <v>2025</v>
      </c>
      <c r="H412" s="58">
        <v>0</v>
      </c>
      <c r="I412" s="58">
        <v>68.599999999999994</v>
      </c>
      <c r="J412" s="59">
        <v>0.83</v>
      </c>
      <c r="K412" s="58">
        <v>56.7</v>
      </c>
      <c r="L412" s="58">
        <v>0</v>
      </c>
      <c r="M412" s="58">
        <v>0</v>
      </c>
      <c r="N412" s="58">
        <v>9</v>
      </c>
      <c r="O412" s="57"/>
      <c r="P412" s="57" t="s">
        <v>35</v>
      </c>
      <c r="Q412" s="67">
        <v>48054</v>
      </c>
      <c r="R412" s="57" t="s">
        <v>676</v>
      </c>
      <c r="S412" s="58">
        <v>2018</v>
      </c>
      <c r="T412" s="61">
        <v>0.23699999999999999</v>
      </c>
      <c r="U412" s="62">
        <f t="shared" si="20"/>
        <v>11388.797999999999</v>
      </c>
      <c r="V412" s="14">
        <f t="shared" si="21"/>
        <v>166.01746355685131</v>
      </c>
      <c r="W412" s="15">
        <f t="shared" si="8"/>
        <v>0</v>
      </c>
      <c r="X412" s="15">
        <f t="shared" si="9"/>
        <v>0</v>
      </c>
      <c r="Y412" s="15">
        <f t="shared" si="10"/>
        <v>0</v>
      </c>
      <c r="Z412" s="13">
        <f t="shared" si="11"/>
        <v>0</v>
      </c>
      <c r="AA412" s="16">
        <f>VLOOKUP(S412,[1]CPI!$A$2:$D$67,4,0)</f>
        <v>1.0791017375063221</v>
      </c>
      <c r="AB412" s="17">
        <f t="shared" si="22"/>
        <v>12289.671709908525</v>
      </c>
      <c r="AC412" s="17">
        <f t="shared" si="23"/>
        <v>179.14973338059076</v>
      </c>
      <c r="AD412" s="57" t="s">
        <v>35</v>
      </c>
      <c r="AE412" s="63" t="s">
        <v>779</v>
      </c>
      <c r="AF412" s="27"/>
      <c r="AG412" s="27"/>
      <c r="AH412" s="27"/>
      <c r="AI412" s="27"/>
      <c r="AJ412" s="28"/>
      <c r="AK412" s="28"/>
      <c r="AL412" s="28"/>
      <c r="AM412" s="28"/>
      <c r="AN412" s="28"/>
      <c r="AO412" s="28"/>
      <c r="AP412" s="28"/>
      <c r="AQ412" s="28"/>
    </row>
    <row r="413" spans="1:43" ht="15.75" customHeight="1" x14ac:dyDescent="0.2">
      <c r="A413" s="7">
        <v>7955</v>
      </c>
      <c r="B413" s="54" t="s">
        <v>672</v>
      </c>
      <c r="C413" s="54" t="s">
        <v>863</v>
      </c>
      <c r="D413" s="54"/>
      <c r="E413" s="54" t="s">
        <v>921</v>
      </c>
      <c r="F413" s="72">
        <v>2019</v>
      </c>
      <c r="G413" s="72">
        <v>2024</v>
      </c>
      <c r="H413" s="72">
        <v>0</v>
      </c>
      <c r="I413" s="72">
        <v>17.033999999999999</v>
      </c>
      <c r="J413" s="73">
        <v>1</v>
      </c>
      <c r="K413" s="72">
        <v>17.033999999999999</v>
      </c>
      <c r="L413" s="54"/>
      <c r="M413" s="54"/>
      <c r="N413" s="72">
        <v>12</v>
      </c>
      <c r="O413" s="72">
        <v>117</v>
      </c>
      <c r="P413" s="54"/>
      <c r="Q413" s="65">
        <v>11985</v>
      </c>
      <c r="R413" s="54" t="s">
        <v>676</v>
      </c>
      <c r="S413" s="54">
        <v>2021</v>
      </c>
      <c r="T413" s="61">
        <v>0.23899999999999999</v>
      </c>
      <c r="U413" s="69">
        <f t="shared" si="20"/>
        <v>2864.415</v>
      </c>
      <c r="V413" s="70">
        <f t="shared" si="21"/>
        <v>168.15868263473055</v>
      </c>
      <c r="W413" s="15">
        <f t="shared" si="8"/>
        <v>0</v>
      </c>
      <c r="X413" s="15">
        <f t="shared" si="9"/>
        <v>0</v>
      </c>
      <c r="Y413" s="15">
        <f t="shared" si="10"/>
        <v>0</v>
      </c>
      <c r="Z413" s="13">
        <f t="shared" si="11"/>
        <v>0</v>
      </c>
      <c r="AA413" s="16">
        <f>VLOOKUP(S413,[1]CPI!$A$2:$D$67,4,0)</f>
        <v>1</v>
      </c>
      <c r="AB413" s="17">
        <f t="shared" si="22"/>
        <v>2864.415</v>
      </c>
      <c r="AC413" s="17">
        <f t="shared" si="23"/>
        <v>168.15868263473055</v>
      </c>
      <c r="AD413" s="54" t="s">
        <v>73</v>
      </c>
      <c r="AE413" s="46" t="s">
        <v>922</v>
      </c>
      <c r="AF413" s="54"/>
      <c r="AG413" s="54"/>
      <c r="AH413" s="54"/>
      <c r="AI413" s="54"/>
      <c r="AJ413" s="82"/>
      <c r="AK413" s="82"/>
      <c r="AL413" s="82"/>
      <c r="AM413" s="82"/>
      <c r="AN413" s="82"/>
      <c r="AO413" s="82"/>
      <c r="AP413" s="82"/>
      <c r="AQ413" s="82"/>
    </row>
    <row r="414" spans="1:43" ht="15.75" customHeight="1" x14ac:dyDescent="0.2">
      <c r="A414" s="7">
        <v>7960</v>
      </c>
      <c r="B414" s="57" t="s">
        <v>672</v>
      </c>
      <c r="C414" s="57" t="s">
        <v>673</v>
      </c>
      <c r="D414" s="9" t="s">
        <v>287</v>
      </c>
      <c r="E414" s="57" t="s">
        <v>923</v>
      </c>
      <c r="F414" s="58">
        <v>2003</v>
      </c>
      <c r="G414" s="58">
        <v>2008</v>
      </c>
      <c r="H414" s="58">
        <v>0</v>
      </c>
      <c r="I414" s="58">
        <v>24.64</v>
      </c>
      <c r="J414" s="59">
        <v>1</v>
      </c>
      <c r="K414" s="58">
        <v>24.64</v>
      </c>
      <c r="L414" s="58">
        <v>0</v>
      </c>
      <c r="M414" s="58">
        <v>0</v>
      </c>
      <c r="N414" s="58">
        <v>22</v>
      </c>
      <c r="O414" s="57"/>
      <c r="P414" s="57" t="s">
        <v>43</v>
      </c>
      <c r="Q414" s="67">
        <v>13700</v>
      </c>
      <c r="R414" s="57" t="s">
        <v>676</v>
      </c>
      <c r="S414" s="58">
        <v>2005</v>
      </c>
      <c r="T414" s="61">
        <v>0.35189999999999999</v>
      </c>
      <c r="U414" s="62">
        <f t="shared" si="20"/>
        <v>4821.03</v>
      </c>
      <c r="V414" s="14">
        <f t="shared" si="21"/>
        <v>195.65868506493504</v>
      </c>
      <c r="W414" s="15">
        <f t="shared" si="8"/>
        <v>0</v>
      </c>
      <c r="X414" s="15">
        <f t="shared" si="9"/>
        <v>0</v>
      </c>
      <c r="Y414" s="15">
        <f t="shared" si="10"/>
        <v>0</v>
      </c>
      <c r="Z414" s="13">
        <f t="shared" si="11"/>
        <v>0</v>
      </c>
      <c r="AA414" s="16">
        <f>VLOOKUP(S414,[1]CPI!$A$2:$D$67,4,0)</f>
        <v>1.3874551971326166</v>
      </c>
      <c r="AB414" s="17">
        <f t="shared" si="22"/>
        <v>6688.9631290322577</v>
      </c>
      <c r="AC414" s="17">
        <f t="shared" si="23"/>
        <v>271.46765945747796</v>
      </c>
      <c r="AD414" s="57" t="s">
        <v>43</v>
      </c>
      <c r="AE414" s="63" t="s">
        <v>924</v>
      </c>
      <c r="AF414" s="27"/>
      <c r="AG414" s="27"/>
      <c r="AH414" s="27"/>
      <c r="AI414" s="27"/>
      <c r="AJ414" s="28"/>
      <c r="AK414" s="28"/>
      <c r="AL414" s="28"/>
      <c r="AM414" s="28"/>
      <c r="AN414" s="28"/>
      <c r="AO414" s="28"/>
      <c r="AP414" s="28"/>
      <c r="AQ414" s="28"/>
    </row>
    <row r="415" spans="1:43" ht="15.75" customHeight="1" x14ac:dyDescent="0.2">
      <c r="A415" s="7">
        <v>7961</v>
      </c>
      <c r="B415" s="57" t="s">
        <v>672</v>
      </c>
      <c r="C415" s="57" t="s">
        <v>837</v>
      </c>
      <c r="D415" s="9" t="s">
        <v>119</v>
      </c>
      <c r="E415" s="57" t="s">
        <v>708</v>
      </c>
      <c r="F415" s="58">
        <v>2014</v>
      </c>
      <c r="G415" s="58">
        <v>2021</v>
      </c>
      <c r="H415" s="58">
        <v>0</v>
      </c>
      <c r="I415" s="58">
        <v>22.7</v>
      </c>
      <c r="J415" s="59">
        <f>K415/I415</f>
        <v>1</v>
      </c>
      <c r="K415" s="58">
        <f>I415</f>
        <v>22.7</v>
      </c>
      <c r="L415" s="58">
        <v>0</v>
      </c>
      <c r="M415" s="58">
        <v>0</v>
      </c>
      <c r="N415" s="58">
        <v>18</v>
      </c>
      <c r="O415" s="57">
        <v>117</v>
      </c>
      <c r="P415" s="57" t="s">
        <v>35</v>
      </c>
      <c r="Q415" s="67">
        <v>16393</v>
      </c>
      <c r="R415" s="57" t="s">
        <v>676</v>
      </c>
      <c r="S415" s="58">
        <v>2012</v>
      </c>
      <c r="T415" s="61">
        <v>0.28079999999999999</v>
      </c>
      <c r="U415" s="62">
        <f t="shared" si="20"/>
        <v>4603.1544000000004</v>
      </c>
      <c r="V415" s="14">
        <f t="shared" si="21"/>
        <v>202.78213215859034</v>
      </c>
      <c r="W415" s="15">
        <f t="shared" si="8"/>
        <v>0</v>
      </c>
      <c r="X415" s="15">
        <f t="shared" si="9"/>
        <v>0</v>
      </c>
      <c r="Y415" s="15">
        <f t="shared" si="10"/>
        <v>0</v>
      </c>
      <c r="Z415" s="13">
        <f t="shared" si="11"/>
        <v>0</v>
      </c>
      <c r="AA415" s="16">
        <f>VLOOKUP(S415,[1]CPI!$A$2:$D$67,4,0)</f>
        <v>1.1802137686524912</v>
      </c>
      <c r="AB415" s="17">
        <f t="shared" si="22"/>
        <v>5432.706202113297</v>
      </c>
      <c r="AC415" s="17">
        <f t="shared" si="23"/>
        <v>239.32626441027745</v>
      </c>
      <c r="AD415" s="57" t="s">
        <v>35</v>
      </c>
      <c r="AE415" s="63" t="s">
        <v>925</v>
      </c>
      <c r="AF415" s="27"/>
      <c r="AG415" s="27"/>
      <c r="AH415" s="27"/>
      <c r="AI415" s="27"/>
      <c r="AJ415" s="28"/>
      <c r="AK415" s="28"/>
      <c r="AL415" s="28"/>
      <c r="AM415" s="28"/>
      <c r="AN415" s="28"/>
      <c r="AO415" s="28"/>
      <c r="AP415" s="28"/>
      <c r="AQ415" s="28"/>
    </row>
    <row r="416" spans="1:43" ht="15.75" customHeight="1" x14ac:dyDescent="0.2">
      <c r="A416" s="7">
        <v>7962</v>
      </c>
      <c r="B416" s="57" t="s">
        <v>672</v>
      </c>
      <c r="C416" s="57" t="s">
        <v>759</v>
      </c>
      <c r="D416" s="9" t="s">
        <v>283</v>
      </c>
      <c r="E416" s="57" t="s">
        <v>926</v>
      </c>
      <c r="F416" s="58">
        <v>2016</v>
      </c>
      <c r="G416" s="58">
        <v>2020</v>
      </c>
      <c r="H416" s="58">
        <v>0</v>
      </c>
      <c r="I416" s="58">
        <v>14.2</v>
      </c>
      <c r="J416" s="59">
        <v>1</v>
      </c>
      <c r="K416" s="58">
        <v>14.2</v>
      </c>
      <c r="L416" s="58">
        <v>0</v>
      </c>
      <c r="M416" s="58">
        <v>0</v>
      </c>
      <c r="N416" s="58">
        <v>7</v>
      </c>
      <c r="O416" s="57"/>
      <c r="P416" s="57" t="s">
        <v>35</v>
      </c>
      <c r="Q416" s="67">
        <v>9600</v>
      </c>
      <c r="R416" s="57" t="s">
        <v>676</v>
      </c>
      <c r="S416" s="58">
        <v>2015</v>
      </c>
      <c r="T416" s="61">
        <v>0.25800000000000001</v>
      </c>
      <c r="U416" s="62">
        <f t="shared" si="20"/>
        <v>2476.8000000000002</v>
      </c>
      <c r="V416" s="14">
        <f t="shared" si="21"/>
        <v>174.42253521126761</v>
      </c>
      <c r="W416" s="15">
        <f t="shared" si="8"/>
        <v>0</v>
      </c>
      <c r="X416" s="15">
        <f t="shared" si="9"/>
        <v>0</v>
      </c>
      <c r="Y416" s="15">
        <f t="shared" si="10"/>
        <v>0</v>
      </c>
      <c r="Z416" s="13">
        <f t="shared" si="11"/>
        <v>0</v>
      </c>
      <c r="AA416" s="16">
        <f>VLOOKUP(S416,[1]CPI!$A$2:$D$67,4,0)</f>
        <v>1.143251327963817</v>
      </c>
      <c r="AB416" s="17">
        <f t="shared" si="22"/>
        <v>2831.6048891007822</v>
      </c>
      <c r="AC416" s="17">
        <f t="shared" si="23"/>
        <v>199.40879500709732</v>
      </c>
      <c r="AD416" s="57" t="s">
        <v>35</v>
      </c>
      <c r="AE416" s="63" t="s">
        <v>880</v>
      </c>
      <c r="AF416" s="19"/>
      <c r="AG416" s="19"/>
      <c r="AH416" s="19"/>
      <c r="AI416" s="19"/>
      <c r="AJ416" s="20"/>
      <c r="AK416" s="20"/>
      <c r="AL416" s="20"/>
      <c r="AM416" s="20"/>
      <c r="AN416" s="20"/>
      <c r="AO416" s="20"/>
      <c r="AP416" s="20"/>
      <c r="AQ416" s="20"/>
    </row>
    <row r="417" spans="1:43" ht="15.75" customHeight="1" x14ac:dyDescent="0.2">
      <c r="A417" s="7">
        <v>7963</v>
      </c>
      <c r="B417" s="57" t="s">
        <v>672</v>
      </c>
      <c r="C417" s="57" t="s">
        <v>877</v>
      </c>
      <c r="D417" s="9"/>
      <c r="E417" s="57" t="s">
        <v>711</v>
      </c>
      <c r="F417" s="58">
        <v>2020</v>
      </c>
      <c r="G417" s="58">
        <v>2025</v>
      </c>
      <c r="H417" s="58">
        <v>0</v>
      </c>
      <c r="I417" s="58">
        <v>22.5</v>
      </c>
      <c r="J417" s="59">
        <v>1</v>
      </c>
      <c r="K417" s="58">
        <v>22.5</v>
      </c>
      <c r="L417" s="58">
        <v>0</v>
      </c>
      <c r="M417" s="58">
        <v>0</v>
      </c>
      <c r="N417" s="58">
        <v>19</v>
      </c>
      <c r="O417" s="57"/>
      <c r="P417" s="57" t="s">
        <v>35</v>
      </c>
      <c r="Q417" s="67">
        <v>15583</v>
      </c>
      <c r="R417" s="57" t="s">
        <v>676</v>
      </c>
      <c r="S417" s="58">
        <v>2018</v>
      </c>
      <c r="T417" s="61">
        <v>0.23699999999999999</v>
      </c>
      <c r="U417" s="62">
        <f t="shared" si="20"/>
        <v>3693.1709999999998</v>
      </c>
      <c r="V417" s="14">
        <f t="shared" si="21"/>
        <v>164.14093333333332</v>
      </c>
      <c r="W417" s="15">
        <f t="shared" si="8"/>
        <v>0</v>
      </c>
      <c r="X417" s="15">
        <f t="shared" si="9"/>
        <v>0</v>
      </c>
      <c r="Y417" s="15">
        <f t="shared" si="10"/>
        <v>0</v>
      </c>
      <c r="Z417" s="13">
        <f t="shared" si="11"/>
        <v>0</v>
      </c>
      <c r="AA417" s="16">
        <f>VLOOKUP(S417,[1]CPI!$A$2:$D$67,4,0)</f>
        <v>1.0791017375063221</v>
      </c>
      <c r="AB417" s="17">
        <f t="shared" si="22"/>
        <v>3985.307243007961</v>
      </c>
      <c r="AC417" s="17">
        <f t="shared" si="23"/>
        <v>177.12476635590937</v>
      </c>
      <c r="AD417" s="57" t="s">
        <v>35</v>
      </c>
      <c r="AE417" s="57" t="s">
        <v>927</v>
      </c>
      <c r="AF417" s="27"/>
      <c r="AG417" s="27"/>
      <c r="AH417" s="27"/>
      <c r="AI417" s="27"/>
      <c r="AJ417" s="28"/>
      <c r="AK417" s="28"/>
      <c r="AL417" s="28"/>
      <c r="AM417" s="28"/>
      <c r="AN417" s="28"/>
      <c r="AO417" s="28"/>
      <c r="AP417" s="28"/>
      <c r="AQ417" s="28"/>
    </row>
    <row r="418" spans="1:43" ht="15.75" customHeight="1" x14ac:dyDescent="0.2">
      <c r="A418" s="7">
        <v>7968</v>
      </c>
      <c r="B418" s="57" t="s">
        <v>672</v>
      </c>
      <c r="C418" s="57" t="s">
        <v>900</v>
      </c>
      <c r="D418" s="9"/>
      <c r="E418" s="57" t="s">
        <v>928</v>
      </c>
      <c r="F418" s="58">
        <v>2020</v>
      </c>
      <c r="G418" s="58">
        <v>2025</v>
      </c>
      <c r="H418" s="58">
        <v>0</v>
      </c>
      <c r="I418" s="58">
        <v>15</v>
      </c>
      <c r="J418" s="59">
        <f>K418/I418</f>
        <v>1</v>
      </c>
      <c r="K418" s="58">
        <v>15</v>
      </c>
      <c r="L418" s="58">
        <v>0</v>
      </c>
      <c r="M418" s="58">
        <v>0</v>
      </c>
      <c r="N418" s="58">
        <v>9</v>
      </c>
      <c r="O418" s="57">
        <v>117</v>
      </c>
      <c r="P418" s="57" t="s">
        <v>35</v>
      </c>
      <c r="Q418" s="67">
        <v>10350</v>
      </c>
      <c r="R418" s="57" t="s">
        <v>676</v>
      </c>
      <c r="S418" s="58">
        <v>2019</v>
      </c>
      <c r="T418" s="61">
        <v>0.23799999999999999</v>
      </c>
      <c r="U418" s="62">
        <f t="shared" si="20"/>
        <v>2463.2999999999997</v>
      </c>
      <c r="V418" s="14">
        <f t="shared" si="21"/>
        <v>164.21999999999997</v>
      </c>
      <c r="W418" s="15">
        <f t="shared" si="8"/>
        <v>0</v>
      </c>
      <c r="X418" s="15">
        <f t="shared" si="9"/>
        <v>0</v>
      </c>
      <c r="Y418" s="15">
        <f t="shared" si="10"/>
        <v>0</v>
      </c>
      <c r="Z418" s="13">
        <f t="shared" si="11"/>
        <v>0</v>
      </c>
      <c r="AA418" s="16">
        <f>VLOOKUP(S418,[1]CPI!$A$2:$D$67,4,0)</f>
        <v>1.0598966584134211</v>
      </c>
      <c r="AB418" s="17">
        <f t="shared" si="22"/>
        <v>2610.84343866978</v>
      </c>
      <c r="AC418" s="17">
        <f t="shared" si="23"/>
        <v>174.05622924465197</v>
      </c>
      <c r="AD418" s="57" t="s">
        <v>43</v>
      </c>
      <c r="AE418" s="57" t="s">
        <v>929</v>
      </c>
      <c r="AF418" s="51"/>
      <c r="AG418" s="51"/>
      <c r="AH418" s="51"/>
      <c r="AI418" s="51"/>
      <c r="AJ418" s="52"/>
      <c r="AK418" s="52"/>
      <c r="AL418" s="52"/>
      <c r="AM418" s="52"/>
      <c r="AN418" s="52"/>
      <c r="AO418" s="52"/>
      <c r="AP418" s="52"/>
      <c r="AQ418" s="52"/>
    </row>
    <row r="419" spans="1:43" ht="15.75" customHeight="1" x14ac:dyDescent="0.2">
      <c r="A419" s="7">
        <v>7969</v>
      </c>
      <c r="B419" s="54" t="s">
        <v>672</v>
      </c>
      <c r="C419" s="54" t="s">
        <v>757</v>
      </c>
      <c r="D419" s="54"/>
      <c r="E419" s="54" t="s">
        <v>725</v>
      </c>
      <c r="F419" s="72">
        <v>2018</v>
      </c>
      <c r="G419" s="72">
        <v>2021</v>
      </c>
      <c r="H419" s="72">
        <v>0</v>
      </c>
      <c r="I419" s="72">
        <v>27</v>
      </c>
      <c r="J419" s="73">
        <v>0.95</v>
      </c>
      <c r="K419" s="72">
        <v>25.6</v>
      </c>
      <c r="L419" s="54"/>
      <c r="M419" s="54"/>
      <c r="N419" s="72">
        <v>20</v>
      </c>
      <c r="O419" s="72">
        <v>117</v>
      </c>
      <c r="P419" s="54"/>
      <c r="Q419" s="65">
        <v>21039.19</v>
      </c>
      <c r="R419" s="54" t="s">
        <v>676</v>
      </c>
      <c r="S419" s="54">
        <v>2020</v>
      </c>
      <c r="T419" s="61">
        <v>0.23899999999999999</v>
      </c>
      <c r="U419" s="69">
        <f t="shared" si="20"/>
        <v>5028.3664099999996</v>
      </c>
      <c r="V419" s="70">
        <f t="shared" si="21"/>
        <v>186.23579296296296</v>
      </c>
      <c r="W419" s="15">
        <f t="shared" si="8"/>
        <v>0</v>
      </c>
      <c r="X419" s="15">
        <f t="shared" si="9"/>
        <v>0</v>
      </c>
      <c r="Y419" s="15">
        <f t="shared" si="10"/>
        <v>0</v>
      </c>
      <c r="Z419" s="13">
        <f t="shared" si="11"/>
        <v>0</v>
      </c>
      <c r="AA419" s="16">
        <f>VLOOKUP(S419,[1]CPI!$A$2:$D$67,4,0)</f>
        <v>1.0469802288156225</v>
      </c>
      <c r="AB419" s="17">
        <f t="shared" si="22"/>
        <v>5264.6002145105895</v>
      </c>
      <c r="AC419" s="17">
        <f t="shared" si="23"/>
        <v>194.98519313002186</v>
      </c>
      <c r="AD419" s="54" t="s">
        <v>73</v>
      </c>
      <c r="AE419" s="46" t="s">
        <v>930</v>
      </c>
      <c r="AF419" s="54"/>
      <c r="AG419" s="54"/>
      <c r="AH419" s="54"/>
      <c r="AI419" s="54"/>
      <c r="AJ419" s="82"/>
      <c r="AK419" s="82"/>
      <c r="AL419" s="82"/>
      <c r="AM419" s="82"/>
      <c r="AN419" s="82"/>
      <c r="AO419" s="82"/>
      <c r="AP419" s="82"/>
      <c r="AQ419" s="82"/>
    </row>
    <row r="420" spans="1:43" ht="15.75" customHeight="1" x14ac:dyDescent="0.2">
      <c r="A420" s="7">
        <v>7970</v>
      </c>
      <c r="B420" s="57" t="s">
        <v>672</v>
      </c>
      <c r="C420" s="57" t="s">
        <v>845</v>
      </c>
      <c r="D420" s="9" t="s">
        <v>103</v>
      </c>
      <c r="E420" s="57" t="s">
        <v>730</v>
      </c>
      <c r="F420" s="58">
        <v>2016</v>
      </c>
      <c r="G420" s="58">
        <v>2020</v>
      </c>
      <c r="H420" s="58">
        <v>0</v>
      </c>
      <c r="I420" s="58">
        <v>22.6</v>
      </c>
      <c r="J420" s="59">
        <v>0.74336283189999997</v>
      </c>
      <c r="K420" s="58">
        <v>16.8</v>
      </c>
      <c r="L420" s="58">
        <v>0</v>
      </c>
      <c r="M420" s="58">
        <v>0</v>
      </c>
      <c r="N420" s="58">
        <v>13</v>
      </c>
      <c r="O420" s="57"/>
      <c r="P420" s="57" t="s">
        <v>35</v>
      </c>
      <c r="Q420" s="67">
        <v>15154</v>
      </c>
      <c r="R420" s="57" t="s">
        <v>676</v>
      </c>
      <c r="S420" s="58">
        <v>2016</v>
      </c>
      <c r="T420" s="61">
        <v>0.251</v>
      </c>
      <c r="U420" s="62">
        <f t="shared" si="20"/>
        <v>3803.654</v>
      </c>
      <c r="V420" s="14">
        <f t="shared" si="21"/>
        <v>168.30327433628318</v>
      </c>
      <c r="W420" s="15">
        <f t="shared" si="8"/>
        <v>0</v>
      </c>
      <c r="X420" s="15">
        <f t="shared" si="9"/>
        <v>0</v>
      </c>
      <c r="Y420" s="15">
        <f t="shared" si="10"/>
        <v>0</v>
      </c>
      <c r="Z420" s="13">
        <f t="shared" si="11"/>
        <v>0</v>
      </c>
      <c r="AA420" s="16">
        <f>VLOOKUP(S420,[1]CPI!$A$2:$D$67,4,0)</f>
        <v>1.1290087372451638</v>
      </c>
      <c r="AB420" s="17">
        <f t="shared" si="22"/>
        <v>4294.358599457516</v>
      </c>
      <c r="AC420" s="17">
        <f t="shared" si="23"/>
        <v>190.01586723263347</v>
      </c>
      <c r="AD420" s="57" t="s">
        <v>35</v>
      </c>
      <c r="AE420" s="63" t="s">
        <v>846</v>
      </c>
      <c r="AF420" s="19"/>
      <c r="AG420" s="19"/>
      <c r="AH420" s="19"/>
      <c r="AI420" s="19"/>
      <c r="AJ420" s="20"/>
      <c r="AK420" s="20"/>
      <c r="AL420" s="20"/>
      <c r="AM420" s="20"/>
      <c r="AN420" s="20"/>
      <c r="AO420" s="20"/>
      <c r="AP420" s="20"/>
      <c r="AQ420" s="20"/>
    </row>
    <row r="421" spans="1:43" ht="15.75" customHeight="1" x14ac:dyDescent="0.2">
      <c r="A421" s="7">
        <v>7971</v>
      </c>
      <c r="B421" s="57" t="s">
        <v>672</v>
      </c>
      <c r="C421" s="57" t="s">
        <v>765</v>
      </c>
      <c r="D421" s="9" t="s">
        <v>142</v>
      </c>
      <c r="E421" s="57" t="s">
        <v>706</v>
      </c>
      <c r="F421" s="58">
        <v>2015</v>
      </c>
      <c r="G421" s="58">
        <v>2020</v>
      </c>
      <c r="H421" s="58">
        <v>0</v>
      </c>
      <c r="I421" s="58">
        <v>36</v>
      </c>
      <c r="J421" s="59">
        <v>1</v>
      </c>
      <c r="K421" s="58">
        <v>36</v>
      </c>
      <c r="L421" s="58">
        <v>0</v>
      </c>
      <c r="M421" s="58">
        <v>0</v>
      </c>
      <c r="N421" s="58">
        <v>28</v>
      </c>
      <c r="O421" s="57">
        <v>117</v>
      </c>
      <c r="P421" s="57" t="s">
        <v>35</v>
      </c>
      <c r="Q421" s="67">
        <v>24289</v>
      </c>
      <c r="R421" s="57" t="s">
        <v>676</v>
      </c>
      <c r="S421" s="58">
        <v>2014</v>
      </c>
      <c r="T421" s="61">
        <v>0.26600000000000001</v>
      </c>
      <c r="U421" s="62">
        <f t="shared" si="20"/>
        <v>6460.8740000000007</v>
      </c>
      <c r="V421" s="14">
        <f t="shared" si="21"/>
        <v>179.46872222222225</v>
      </c>
      <c r="W421" s="15">
        <f t="shared" si="8"/>
        <v>0</v>
      </c>
      <c r="X421" s="15">
        <f t="shared" si="9"/>
        <v>0</v>
      </c>
      <c r="Y421" s="15">
        <f t="shared" si="10"/>
        <v>0</v>
      </c>
      <c r="Z421" s="13">
        <f t="shared" si="11"/>
        <v>0</v>
      </c>
      <c r="AA421" s="16">
        <f>VLOOKUP(S421,[1]CPI!$A$2:$D$67,4,0)</f>
        <v>1.1446083400919169</v>
      </c>
      <c r="AB421" s="17">
        <f t="shared" si="22"/>
        <v>7395.1702646830245</v>
      </c>
      <c r="AC421" s="17">
        <f t="shared" si="23"/>
        <v>205.42139624119514</v>
      </c>
      <c r="AD421" s="57" t="s">
        <v>35</v>
      </c>
      <c r="AE421" s="63" t="s">
        <v>931</v>
      </c>
      <c r="AF421" s="27"/>
      <c r="AG421" s="27"/>
      <c r="AH421" s="27"/>
      <c r="AI421" s="27"/>
      <c r="AJ421" s="28"/>
      <c r="AK421" s="28"/>
      <c r="AL421" s="28"/>
      <c r="AM421" s="28"/>
      <c r="AN421" s="28"/>
      <c r="AO421" s="28"/>
      <c r="AP421" s="28"/>
      <c r="AQ421" s="28"/>
    </row>
    <row r="422" spans="1:43" ht="15.75" customHeight="1" x14ac:dyDescent="0.2">
      <c r="A422" s="7">
        <v>7976</v>
      </c>
      <c r="B422" s="57" t="s">
        <v>672</v>
      </c>
      <c r="C422" s="57" t="s">
        <v>906</v>
      </c>
      <c r="D422" s="9" t="s">
        <v>99</v>
      </c>
      <c r="E422" s="57" t="s">
        <v>862</v>
      </c>
      <c r="F422" s="58">
        <v>2017</v>
      </c>
      <c r="G422" s="58">
        <v>2022</v>
      </c>
      <c r="H422" s="58">
        <v>0</v>
      </c>
      <c r="I422" s="58">
        <v>12.8</v>
      </c>
      <c r="J422" s="59">
        <v>0.8125</v>
      </c>
      <c r="K422" s="58">
        <v>10.4</v>
      </c>
      <c r="L422" s="58">
        <v>2.27</v>
      </c>
      <c r="M422" s="58">
        <v>0.16200000000000001</v>
      </c>
      <c r="N422" s="58">
        <v>8</v>
      </c>
      <c r="O422" s="57"/>
      <c r="P422" s="57" t="s">
        <v>35</v>
      </c>
      <c r="Q422" s="67">
        <v>8475</v>
      </c>
      <c r="R422" s="57" t="s">
        <v>676</v>
      </c>
      <c r="S422" s="58">
        <v>2016</v>
      </c>
      <c r="T422" s="61">
        <v>0.251</v>
      </c>
      <c r="U422" s="62">
        <f t="shared" si="20"/>
        <v>2127.2249999999999</v>
      </c>
      <c r="V422" s="14">
        <f t="shared" si="21"/>
        <v>166.18945312499997</v>
      </c>
      <c r="W422" s="15">
        <f t="shared" si="8"/>
        <v>0</v>
      </c>
      <c r="X422" s="15">
        <f t="shared" si="9"/>
        <v>0</v>
      </c>
      <c r="Y422" s="15">
        <f t="shared" si="10"/>
        <v>0</v>
      </c>
      <c r="Z422" s="13">
        <f t="shared" si="11"/>
        <v>0</v>
      </c>
      <c r="AA422" s="16">
        <f>VLOOKUP(S422,[1]CPI!$A$2:$D$67,4,0)</f>
        <v>1.1290087372451638</v>
      </c>
      <c r="AB422" s="17">
        <f t="shared" si="22"/>
        <v>2401.6556110863435</v>
      </c>
      <c r="AC422" s="17">
        <f t="shared" si="23"/>
        <v>187.62934461612056</v>
      </c>
      <c r="AD422" s="57" t="s">
        <v>35</v>
      </c>
      <c r="AE422" s="63" t="s">
        <v>932</v>
      </c>
      <c r="AF422" s="27"/>
      <c r="AG422" s="27"/>
      <c r="AH422" s="27"/>
      <c r="AI422" s="27"/>
      <c r="AJ422" s="28"/>
      <c r="AK422" s="28"/>
      <c r="AL422" s="28"/>
      <c r="AM422" s="28"/>
      <c r="AN422" s="28"/>
      <c r="AO422" s="28"/>
      <c r="AP422" s="28"/>
      <c r="AQ422" s="28"/>
    </row>
    <row r="423" spans="1:43" ht="15.75" customHeight="1" x14ac:dyDescent="0.2">
      <c r="A423" s="7">
        <v>7977</v>
      </c>
      <c r="B423" s="57" t="s">
        <v>672</v>
      </c>
      <c r="C423" s="57" t="s">
        <v>802</v>
      </c>
      <c r="D423" s="9" t="s">
        <v>287</v>
      </c>
      <c r="E423" s="57" t="s">
        <v>933</v>
      </c>
      <c r="F423" s="58">
        <v>2019</v>
      </c>
      <c r="G423" s="58">
        <v>2025</v>
      </c>
      <c r="H423" s="58">
        <v>0</v>
      </c>
      <c r="I423" s="58">
        <v>5.5</v>
      </c>
      <c r="J423" s="59">
        <f>K423/I423</f>
        <v>1</v>
      </c>
      <c r="K423" s="58">
        <v>5.5</v>
      </c>
      <c r="L423" s="58">
        <v>0</v>
      </c>
      <c r="M423" s="58">
        <v>0</v>
      </c>
      <c r="N423" s="58">
        <v>4</v>
      </c>
      <c r="O423" s="57">
        <v>138</v>
      </c>
      <c r="P423" s="57" t="s">
        <v>35</v>
      </c>
      <c r="Q423" s="67">
        <v>3716</v>
      </c>
      <c r="R423" s="57" t="s">
        <v>676</v>
      </c>
      <c r="S423" s="58">
        <v>2019</v>
      </c>
      <c r="T423" s="61">
        <v>0.23799999999999999</v>
      </c>
      <c r="U423" s="62">
        <f t="shared" si="20"/>
        <v>884.40800000000002</v>
      </c>
      <c r="V423" s="14">
        <f t="shared" si="21"/>
        <v>160.80145454545456</v>
      </c>
      <c r="W423" s="15">
        <f t="shared" si="8"/>
        <v>0</v>
      </c>
      <c r="X423" s="15">
        <f t="shared" si="9"/>
        <v>0</v>
      </c>
      <c r="Y423" s="15">
        <f t="shared" si="10"/>
        <v>0</v>
      </c>
      <c r="Z423" s="13">
        <f t="shared" si="11"/>
        <v>0</v>
      </c>
      <c r="AA423" s="16">
        <f>VLOOKUP(S423,[1]CPI!$A$2:$D$67,4,0)</f>
        <v>1.0598966584134211</v>
      </c>
      <c r="AB423" s="17">
        <f t="shared" si="22"/>
        <v>937.38108387409693</v>
      </c>
      <c r="AC423" s="17">
        <f t="shared" si="23"/>
        <v>170.4329243407449</v>
      </c>
      <c r="AD423" s="57" t="s">
        <v>35</v>
      </c>
      <c r="AE423" s="63" t="s">
        <v>805</v>
      </c>
      <c r="AF423" s="27"/>
      <c r="AG423" s="27"/>
      <c r="AH423" s="27"/>
      <c r="AI423" s="27"/>
      <c r="AJ423" s="28"/>
      <c r="AK423" s="28"/>
      <c r="AL423" s="28"/>
      <c r="AM423" s="28"/>
      <c r="AN423" s="28"/>
      <c r="AO423" s="28"/>
      <c r="AP423" s="28"/>
      <c r="AQ423" s="28"/>
    </row>
    <row r="424" spans="1:43" ht="15.75" customHeight="1" x14ac:dyDescent="0.2">
      <c r="A424" s="7">
        <v>7978</v>
      </c>
      <c r="B424" s="57" t="s">
        <v>672</v>
      </c>
      <c r="C424" s="57" t="s">
        <v>765</v>
      </c>
      <c r="D424" s="9" t="s">
        <v>92</v>
      </c>
      <c r="E424" s="57" t="s">
        <v>934</v>
      </c>
      <c r="F424" s="58">
        <v>2012</v>
      </c>
      <c r="G424" s="57">
        <v>2016</v>
      </c>
      <c r="H424" s="58">
        <v>0</v>
      </c>
      <c r="I424" s="58">
        <v>24.58</v>
      </c>
      <c r="J424" s="59">
        <v>1</v>
      </c>
      <c r="K424" s="58">
        <v>24.58</v>
      </c>
      <c r="L424" s="58">
        <v>0</v>
      </c>
      <c r="M424" s="58">
        <v>0</v>
      </c>
      <c r="N424" s="58">
        <v>26</v>
      </c>
      <c r="O424" s="57">
        <v>117</v>
      </c>
      <c r="P424" s="57" t="s">
        <v>94</v>
      </c>
      <c r="Q424" s="67">
        <v>16496</v>
      </c>
      <c r="R424" s="57" t="s">
        <v>676</v>
      </c>
      <c r="S424" s="58">
        <v>2012</v>
      </c>
      <c r="T424" s="61">
        <v>0.28079999999999999</v>
      </c>
      <c r="U424" s="62">
        <f t="shared" si="20"/>
        <v>4632.0767999999998</v>
      </c>
      <c r="V424" s="14">
        <f t="shared" si="21"/>
        <v>188.44901545972337</v>
      </c>
      <c r="W424" s="15">
        <f t="shared" si="8"/>
        <v>0</v>
      </c>
      <c r="X424" s="15">
        <f t="shared" si="9"/>
        <v>0</v>
      </c>
      <c r="Y424" s="15">
        <f t="shared" si="10"/>
        <v>0</v>
      </c>
      <c r="Z424" s="13">
        <f t="shared" si="11"/>
        <v>0</v>
      </c>
      <c r="AA424" s="16">
        <f>VLOOKUP(S424,[1]CPI!$A$2:$D$67,4,0)</f>
        <v>1.1802137686524912</v>
      </c>
      <c r="AB424" s="17">
        <f t="shared" si="22"/>
        <v>5466.8408168157712</v>
      </c>
      <c r="AC424" s="17">
        <f t="shared" si="23"/>
        <v>222.4101227345717</v>
      </c>
      <c r="AD424" s="57" t="s">
        <v>43</v>
      </c>
      <c r="AE424" s="63" t="s">
        <v>935</v>
      </c>
      <c r="AF424" s="27"/>
      <c r="AG424" s="27"/>
      <c r="AH424" s="27"/>
      <c r="AI424" s="27"/>
      <c r="AJ424" s="28"/>
      <c r="AK424" s="28"/>
      <c r="AL424" s="28"/>
      <c r="AM424" s="28"/>
      <c r="AN424" s="28"/>
      <c r="AO424" s="28"/>
      <c r="AP424" s="28"/>
      <c r="AQ424" s="28"/>
    </row>
    <row r="425" spans="1:43" ht="15.75" customHeight="1" x14ac:dyDescent="0.2">
      <c r="A425" s="7">
        <v>7979</v>
      </c>
      <c r="B425" s="8" t="s">
        <v>672</v>
      </c>
      <c r="C425" s="8" t="s">
        <v>759</v>
      </c>
      <c r="D425" s="9" t="s">
        <v>142</v>
      </c>
      <c r="E425" s="8" t="s">
        <v>936</v>
      </c>
      <c r="F425" s="10">
        <v>2016</v>
      </c>
      <c r="G425" s="10">
        <v>2018</v>
      </c>
      <c r="H425" s="10">
        <v>0</v>
      </c>
      <c r="I425" s="10">
        <v>4</v>
      </c>
      <c r="J425" s="11">
        <v>0.85</v>
      </c>
      <c r="K425" s="10">
        <v>3.4</v>
      </c>
      <c r="L425" s="10">
        <v>0</v>
      </c>
      <c r="M425" s="10">
        <v>0</v>
      </c>
      <c r="N425" s="10">
        <v>2</v>
      </c>
      <c r="O425" s="8"/>
      <c r="P425" s="8" t="s">
        <v>35</v>
      </c>
      <c r="Q425" s="92">
        <v>2634</v>
      </c>
      <c r="R425" s="8" t="s">
        <v>676</v>
      </c>
      <c r="S425" s="10">
        <v>2015</v>
      </c>
      <c r="T425" s="61">
        <v>0.25800000000000001</v>
      </c>
      <c r="U425" s="62">
        <f t="shared" si="20"/>
        <v>679.572</v>
      </c>
      <c r="V425" s="14">
        <f t="shared" si="21"/>
        <v>169.893</v>
      </c>
      <c r="W425" s="15">
        <f t="shared" si="8"/>
        <v>0</v>
      </c>
      <c r="X425" s="15">
        <f t="shared" si="9"/>
        <v>0</v>
      </c>
      <c r="Y425" s="15">
        <f t="shared" si="10"/>
        <v>0</v>
      </c>
      <c r="Z425" s="13">
        <f t="shared" si="11"/>
        <v>0</v>
      </c>
      <c r="AA425" s="16">
        <f>VLOOKUP(S425,[1]CPI!$A$2:$D$67,4,0)</f>
        <v>1.143251327963817</v>
      </c>
      <c r="AB425" s="17">
        <f t="shared" si="22"/>
        <v>776.92159144702703</v>
      </c>
      <c r="AC425" s="17">
        <f t="shared" si="23"/>
        <v>194.23039786175676</v>
      </c>
      <c r="AD425" s="57" t="s">
        <v>35</v>
      </c>
      <c r="AE425" s="66" t="s">
        <v>880</v>
      </c>
      <c r="AF425" s="19"/>
      <c r="AG425" s="19"/>
      <c r="AH425" s="19"/>
      <c r="AI425" s="19"/>
      <c r="AJ425" s="20"/>
      <c r="AK425" s="20"/>
      <c r="AL425" s="20"/>
      <c r="AM425" s="20"/>
      <c r="AN425" s="20"/>
      <c r="AO425" s="20"/>
      <c r="AP425" s="20"/>
      <c r="AQ425" s="20"/>
    </row>
    <row r="426" spans="1:43" ht="15.75" customHeight="1" x14ac:dyDescent="0.2">
      <c r="A426" s="21">
        <v>7984</v>
      </c>
      <c r="B426" s="19" t="s">
        <v>672</v>
      </c>
      <c r="C426" s="19" t="s">
        <v>806</v>
      </c>
      <c r="D426" s="9"/>
      <c r="E426" s="19" t="s">
        <v>937</v>
      </c>
      <c r="F426" s="19">
        <v>2015</v>
      </c>
      <c r="G426" s="19">
        <v>2020</v>
      </c>
      <c r="H426" s="19">
        <v>0</v>
      </c>
      <c r="I426" s="19">
        <v>43.7</v>
      </c>
      <c r="J426" s="64">
        <v>0.34553775739999998</v>
      </c>
      <c r="K426" s="19">
        <v>15.1</v>
      </c>
      <c r="L426" s="19">
        <v>0</v>
      </c>
      <c r="M426" s="19">
        <v>0</v>
      </c>
      <c r="N426" s="19">
        <v>20</v>
      </c>
      <c r="O426" s="19"/>
      <c r="P426" s="19" t="s">
        <v>35</v>
      </c>
      <c r="Q426" s="78">
        <v>28699</v>
      </c>
      <c r="R426" s="19" t="s">
        <v>676</v>
      </c>
      <c r="S426" s="19">
        <v>2015</v>
      </c>
      <c r="T426" s="61">
        <v>0.25800000000000001</v>
      </c>
      <c r="U426" s="62">
        <f t="shared" ref="U426:U429" si="24">T426*Q426</f>
        <v>7404.3420000000006</v>
      </c>
      <c r="V426" s="14">
        <f t="shared" si="21"/>
        <v>169.43574370709382</v>
      </c>
      <c r="W426" s="15">
        <f t="shared" si="8"/>
        <v>0</v>
      </c>
      <c r="X426" s="15">
        <f t="shared" si="9"/>
        <v>0</v>
      </c>
      <c r="Y426" s="15">
        <f t="shared" si="10"/>
        <v>0</v>
      </c>
      <c r="Z426" s="13">
        <f t="shared" si="11"/>
        <v>0</v>
      </c>
      <c r="AA426" s="16">
        <f>VLOOKUP(S426,[1]CPI!$A$2:$D$67,4,0)</f>
        <v>1.143251327963817</v>
      </c>
      <c r="AB426" s="17">
        <f t="shared" si="22"/>
        <v>8465.0238241982661</v>
      </c>
      <c r="AC426" s="17">
        <f t="shared" si="23"/>
        <v>193.70763899767195</v>
      </c>
      <c r="AD426" s="19" t="s">
        <v>43</v>
      </c>
      <c r="AE426" s="66" t="s">
        <v>938</v>
      </c>
      <c r="AF426" s="54"/>
      <c r="AG426" s="54"/>
      <c r="AH426" s="54"/>
      <c r="AI426" s="54"/>
      <c r="AJ426" s="87"/>
      <c r="AK426" s="87"/>
      <c r="AL426" s="87"/>
      <c r="AM426" s="87"/>
      <c r="AN426" s="87"/>
      <c r="AO426" s="87"/>
      <c r="AP426" s="87"/>
    </row>
    <row r="427" spans="1:43" ht="15.75" customHeight="1" x14ac:dyDescent="0.2">
      <c r="A427" s="21">
        <v>7985</v>
      </c>
      <c r="B427" s="19" t="s">
        <v>672</v>
      </c>
      <c r="C427" s="19" t="s">
        <v>673</v>
      </c>
      <c r="D427" s="9" t="s">
        <v>939</v>
      </c>
      <c r="E427" s="19" t="s">
        <v>940</v>
      </c>
      <c r="F427" s="19">
        <v>2016</v>
      </c>
      <c r="G427" s="19">
        <v>2019</v>
      </c>
      <c r="H427" s="19">
        <v>0</v>
      </c>
      <c r="I427" s="19">
        <v>44</v>
      </c>
      <c r="J427" s="64"/>
      <c r="K427" s="19"/>
      <c r="L427" s="19" t="e">
        <v>#N/A</v>
      </c>
      <c r="M427" s="19" t="e">
        <v>#N/A</v>
      </c>
      <c r="N427" s="19">
        <v>3</v>
      </c>
      <c r="O427" s="19"/>
      <c r="P427" s="19" t="s">
        <v>35</v>
      </c>
      <c r="Q427" s="78">
        <v>27820</v>
      </c>
      <c r="R427" s="19" t="s">
        <v>676</v>
      </c>
      <c r="S427" s="19">
        <v>2019</v>
      </c>
      <c r="T427" s="61">
        <v>0.23799999999999999</v>
      </c>
      <c r="U427" s="62">
        <f t="shared" si="24"/>
        <v>6621.16</v>
      </c>
      <c r="V427" s="14">
        <f t="shared" si="21"/>
        <v>150.48090909090908</v>
      </c>
      <c r="W427" s="15">
        <f t="shared" si="8"/>
        <v>0</v>
      </c>
      <c r="X427" s="15">
        <f t="shared" si="9"/>
        <v>0</v>
      </c>
      <c r="Y427" s="15">
        <f t="shared" si="10"/>
        <v>0</v>
      </c>
      <c r="Z427" s="13">
        <f t="shared" si="11"/>
        <v>0</v>
      </c>
      <c r="AA427" s="16">
        <f>VLOOKUP(S427,[1]CPI!$A$2:$D$67,4,0)</f>
        <v>1.0598966584134211</v>
      </c>
      <c r="AB427" s="17">
        <f t="shared" si="22"/>
        <v>7017.7453588206072</v>
      </c>
      <c r="AC427" s="17">
        <f t="shared" si="23"/>
        <v>159.49421270046832</v>
      </c>
      <c r="AD427" s="19" t="s">
        <v>35</v>
      </c>
      <c r="AE427" s="66" t="s">
        <v>858</v>
      </c>
      <c r="AF427" s="27"/>
      <c r="AG427" s="27"/>
      <c r="AH427" s="27"/>
      <c r="AI427" s="27"/>
      <c r="AJ427" s="28"/>
      <c r="AK427" s="28"/>
      <c r="AL427" s="28"/>
      <c r="AM427" s="28"/>
      <c r="AN427" s="28"/>
      <c r="AO427" s="28"/>
      <c r="AP427" s="28"/>
      <c r="AQ427" s="28"/>
    </row>
    <row r="428" spans="1:43" ht="15.75" customHeight="1" x14ac:dyDescent="0.2">
      <c r="A428" s="21">
        <v>7986</v>
      </c>
      <c r="B428" s="19" t="s">
        <v>672</v>
      </c>
      <c r="C428" s="19" t="s">
        <v>673</v>
      </c>
      <c r="D428" s="9" t="s">
        <v>939</v>
      </c>
      <c r="E428" s="19" t="s">
        <v>941</v>
      </c>
      <c r="F428" s="19">
        <v>2019</v>
      </c>
      <c r="G428" s="19"/>
      <c r="H428" s="19">
        <v>0</v>
      </c>
      <c r="I428" s="19">
        <v>3.5</v>
      </c>
      <c r="J428" s="64"/>
      <c r="K428" s="19"/>
      <c r="L428" s="19" t="e">
        <v>#N/A</v>
      </c>
      <c r="M428" s="19" t="e">
        <v>#N/A</v>
      </c>
      <c r="N428" s="19">
        <v>2</v>
      </c>
      <c r="O428" s="19"/>
      <c r="P428" s="19" t="s">
        <v>35</v>
      </c>
      <c r="Q428" s="78">
        <v>4040</v>
      </c>
      <c r="R428" s="19" t="s">
        <v>676</v>
      </c>
      <c r="S428" s="19">
        <v>2019</v>
      </c>
      <c r="T428" s="61">
        <v>0.23799999999999999</v>
      </c>
      <c r="U428" s="62">
        <f t="shared" si="24"/>
        <v>961.52</v>
      </c>
      <c r="V428" s="14">
        <f t="shared" si="21"/>
        <v>274.71999999999997</v>
      </c>
      <c r="W428" s="15">
        <f t="shared" si="8"/>
        <v>0</v>
      </c>
      <c r="X428" s="15">
        <f t="shared" si="9"/>
        <v>0</v>
      </c>
      <c r="Y428" s="15">
        <f t="shared" si="10"/>
        <v>0</v>
      </c>
      <c r="Z428" s="13">
        <f t="shared" si="11"/>
        <v>0</v>
      </c>
      <c r="AA428" s="16">
        <f>VLOOKUP(S428,[1]CPI!$A$2:$D$67,4,0)</f>
        <v>1.0598966584134211</v>
      </c>
      <c r="AB428" s="17">
        <f t="shared" si="22"/>
        <v>1019.1118349976726</v>
      </c>
      <c r="AC428" s="17">
        <f t="shared" si="23"/>
        <v>291.17480999933503</v>
      </c>
      <c r="AD428" s="19" t="s">
        <v>35</v>
      </c>
      <c r="AE428" s="66" t="s">
        <v>858</v>
      </c>
      <c r="AF428" s="27"/>
      <c r="AG428" s="27"/>
      <c r="AH428" s="27"/>
      <c r="AI428" s="27"/>
      <c r="AJ428" s="28"/>
      <c r="AK428" s="28"/>
      <c r="AL428" s="28"/>
      <c r="AM428" s="28"/>
      <c r="AN428" s="28"/>
      <c r="AO428" s="28"/>
      <c r="AP428" s="28"/>
      <c r="AQ428" s="28"/>
    </row>
    <row r="429" spans="1:43" ht="15.75" customHeight="1" x14ac:dyDescent="0.2">
      <c r="A429" s="21">
        <v>7987</v>
      </c>
      <c r="B429" s="19" t="s">
        <v>672</v>
      </c>
      <c r="C429" s="19" t="s">
        <v>673</v>
      </c>
      <c r="D429" s="9" t="s">
        <v>674</v>
      </c>
      <c r="E429" s="19" t="s">
        <v>942</v>
      </c>
      <c r="F429" s="19">
        <v>2005</v>
      </c>
      <c r="G429" s="19">
        <v>2008</v>
      </c>
      <c r="H429" s="19">
        <v>0</v>
      </c>
      <c r="I429" s="19">
        <v>4.5279999999999996</v>
      </c>
      <c r="J429" s="64">
        <v>1</v>
      </c>
      <c r="K429" s="19">
        <v>4.5279999999999996</v>
      </c>
      <c r="L429" s="19">
        <v>0</v>
      </c>
      <c r="M429" s="19">
        <v>0</v>
      </c>
      <c r="N429" s="19">
        <v>4</v>
      </c>
      <c r="O429" s="19"/>
      <c r="P429" s="19" t="s">
        <v>43</v>
      </c>
      <c r="Q429" s="78">
        <v>2420</v>
      </c>
      <c r="R429" s="19" t="s">
        <v>676</v>
      </c>
      <c r="S429" s="19">
        <v>2005</v>
      </c>
      <c r="T429" s="61">
        <v>0.35189999999999999</v>
      </c>
      <c r="U429" s="62">
        <f t="shared" si="24"/>
        <v>851.59799999999996</v>
      </c>
      <c r="V429" s="14">
        <f t="shared" si="21"/>
        <v>188.07376325088339</v>
      </c>
      <c r="W429" s="15">
        <f t="shared" si="8"/>
        <v>0</v>
      </c>
      <c r="X429" s="15">
        <f t="shared" si="9"/>
        <v>0</v>
      </c>
      <c r="Y429" s="15">
        <f t="shared" si="10"/>
        <v>0</v>
      </c>
      <c r="Z429" s="13">
        <f t="shared" si="11"/>
        <v>0</v>
      </c>
      <c r="AA429" s="16">
        <f>VLOOKUP(S429,[1]CPI!$A$2:$D$67,4,0)</f>
        <v>1.3874551971326166</v>
      </c>
      <c r="AB429" s="17">
        <f t="shared" si="22"/>
        <v>1181.5540709677418</v>
      </c>
      <c r="AC429" s="17">
        <f t="shared" si="23"/>
        <v>260.94392026672745</v>
      </c>
      <c r="AD429" s="19" t="s">
        <v>43</v>
      </c>
      <c r="AE429" s="19" t="s">
        <v>943</v>
      </c>
      <c r="AF429" s="27"/>
      <c r="AG429" s="27"/>
      <c r="AH429" s="27"/>
      <c r="AI429" s="27"/>
      <c r="AJ429" s="28"/>
      <c r="AK429" s="28"/>
      <c r="AL429" s="28"/>
      <c r="AM429" s="28"/>
      <c r="AN429" s="28"/>
      <c r="AO429" s="28"/>
      <c r="AP429" s="28"/>
      <c r="AQ429" s="28"/>
    </row>
    <row r="430" spans="1:43" ht="15.75" customHeight="1" x14ac:dyDescent="0.2">
      <c r="A430" s="21">
        <v>7992</v>
      </c>
      <c r="B430" s="54" t="s">
        <v>672</v>
      </c>
      <c r="C430" s="54" t="s">
        <v>889</v>
      </c>
      <c r="D430" s="54" t="s">
        <v>92</v>
      </c>
      <c r="E430" s="54" t="s">
        <v>944</v>
      </c>
      <c r="F430" s="72">
        <v>2019</v>
      </c>
      <c r="G430" s="72">
        <v>2023</v>
      </c>
      <c r="H430" s="72">
        <v>0</v>
      </c>
      <c r="I430" s="72">
        <v>10.6</v>
      </c>
      <c r="J430" s="73">
        <v>1</v>
      </c>
      <c r="K430" s="72">
        <v>10.6</v>
      </c>
      <c r="L430" s="54"/>
      <c r="M430" s="54"/>
      <c r="N430" s="72">
        <v>7</v>
      </c>
      <c r="O430" s="72">
        <v>117</v>
      </c>
      <c r="P430" s="54"/>
      <c r="Q430" s="65">
        <v>8903</v>
      </c>
      <c r="R430" s="54" t="s">
        <v>676</v>
      </c>
      <c r="S430" s="54">
        <v>2021</v>
      </c>
      <c r="T430" s="61">
        <v>0.23899999999999999</v>
      </c>
      <c r="U430" s="69">
        <f>Q430*T430</f>
        <v>2127.817</v>
      </c>
      <c r="V430" s="70">
        <f t="shared" si="21"/>
        <v>200.73745283018869</v>
      </c>
      <c r="W430" s="15">
        <f t="shared" si="8"/>
        <v>0</v>
      </c>
      <c r="X430" s="15">
        <f t="shared" si="9"/>
        <v>0</v>
      </c>
      <c r="Y430" s="15">
        <f t="shared" si="10"/>
        <v>0</v>
      </c>
      <c r="Z430" s="13">
        <f t="shared" si="11"/>
        <v>0</v>
      </c>
      <c r="AA430" s="16">
        <f>VLOOKUP(S430,[1]CPI!$A$2:$D$67,4,0)</f>
        <v>1</v>
      </c>
      <c r="AB430" s="17">
        <f t="shared" si="22"/>
        <v>2127.817</v>
      </c>
      <c r="AC430" s="17">
        <f t="shared" si="23"/>
        <v>200.73745283018869</v>
      </c>
      <c r="AD430" s="54" t="s">
        <v>73</v>
      </c>
      <c r="AE430" s="46" t="s">
        <v>945</v>
      </c>
      <c r="AF430" s="54"/>
      <c r="AG430" s="54"/>
      <c r="AH430" s="54"/>
      <c r="AI430" s="54"/>
      <c r="AJ430" s="82"/>
      <c r="AK430" s="82"/>
      <c r="AL430" s="82"/>
      <c r="AM430" s="82"/>
      <c r="AN430" s="82"/>
      <c r="AO430" s="82"/>
      <c r="AP430" s="82"/>
      <c r="AQ430" s="82"/>
    </row>
    <row r="431" spans="1:43" ht="15.75" customHeight="1" x14ac:dyDescent="0.2">
      <c r="A431" s="21">
        <v>7993</v>
      </c>
      <c r="B431" s="19" t="s">
        <v>672</v>
      </c>
      <c r="C431" s="19" t="s">
        <v>837</v>
      </c>
      <c r="D431" s="9"/>
      <c r="E431" s="19" t="s">
        <v>907</v>
      </c>
      <c r="F431" s="19">
        <v>2012</v>
      </c>
      <c r="G431" s="19">
        <v>2016</v>
      </c>
      <c r="H431" s="19">
        <v>0</v>
      </c>
      <c r="I431" s="19">
        <v>35.6</v>
      </c>
      <c r="J431" s="64"/>
      <c r="K431" s="19"/>
      <c r="L431" s="19" t="e">
        <v>#N/A</v>
      </c>
      <c r="M431" s="19" t="e">
        <v>#N/A</v>
      </c>
      <c r="N431" s="19">
        <v>25</v>
      </c>
      <c r="O431" s="19"/>
      <c r="P431" s="19" t="s">
        <v>35</v>
      </c>
      <c r="Q431" s="78">
        <v>23628</v>
      </c>
      <c r="R431" s="19" t="s">
        <v>676</v>
      </c>
      <c r="S431" s="58">
        <v>2017</v>
      </c>
      <c r="T431" s="61">
        <v>0.23899999999999999</v>
      </c>
      <c r="U431" s="62">
        <f t="shared" ref="U431:U435" si="25">T431*Q431</f>
        <v>5647.0919999999996</v>
      </c>
      <c r="V431" s="14">
        <f t="shared" si="21"/>
        <v>158.62617977528089</v>
      </c>
      <c r="W431" s="15">
        <f t="shared" si="8"/>
        <v>0</v>
      </c>
      <c r="X431" s="15">
        <f t="shared" si="9"/>
        <v>0</v>
      </c>
      <c r="Y431" s="15">
        <f t="shared" si="10"/>
        <v>0</v>
      </c>
      <c r="Z431" s="13">
        <f t="shared" si="11"/>
        <v>0</v>
      </c>
      <c r="AA431" s="16">
        <f>VLOOKUP(S431,[1]CPI!$A$2:$D$67,4,0)</f>
        <v>1.1054585509138382</v>
      </c>
      <c r="AB431" s="17">
        <f t="shared" si="22"/>
        <v>6242.6261391971275</v>
      </c>
      <c r="AC431" s="17">
        <f t="shared" si="23"/>
        <v>175.35466683138</v>
      </c>
      <c r="AD431" s="19" t="s">
        <v>35</v>
      </c>
      <c r="AE431" s="66" t="s">
        <v>925</v>
      </c>
      <c r="AF431" s="27"/>
      <c r="AG431" s="27"/>
      <c r="AH431" s="27"/>
      <c r="AI431" s="27"/>
      <c r="AJ431" s="28"/>
      <c r="AK431" s="28"/>
      <c r="AL431" s="28"/>
      <c r="AM431" s="28"/>
      <c r="AN431" s="28"/>
      <c r="AO431" s="28"/>
      <c r="AP431" s="28"/>
      <c r="AQ431" s="28"/>
    </row>
    <row r="432" spans="1:43" ht="15.75" customHeight="1" x14ac:dyDescent="0.2">
      <c r="A432" s="71">
        <v>7994</v>
      </c>
      <c r="B432" s="9" t="s">
        <v>672</v>
      </c>
      <c r="C432" s="9" t="s">
        <v>802</v>
      </c>
      <c r="D432" s="9"/>
      <c r="E432" s="9" t="s">
        <v>946</v>
      </c>
      <c r="F432" s="9">
        <v>2019</v>
      </c>
      <c r="G432" s="9">
        <v>2024</v>
      </c>
      <c r="H432" s="9">
        <v>0</v>
      </c>
      <c r="I432" s="72">
        <v>24.86</v>
      </c>
      <c r="J432" s="73">
        <v>0.7</v>
      </c>
      <c r="K432" s="72">
        <v>17.350000000000001</v>
      </c>
      <c r="L432" s="54"/>
      <c r="M432" s="54"/>
      <c r="N432" s="72">
        <v>17</v>
      </c>
      <c r="O432" s="72">
        <v>117</v>
      </c>
      <c r="P432" s="54"/>
      <c r="Q432" s="65">
        <v>16587</v>
      </c>
      <c r="R432" s="54" t="s">
        <v>676</v>
      </c>
      <c r="S432" s="9">
        <v>2019</v>
      </c>
      <c r="T432" s="61">
        <v>0.23799999999999999</v>
      </c>
      <c r="U432" s="74">
        <f t="shared" si="25"/>
        <v>3947.7059999999997</v>
      </c>
      <c r="V432" s="75">
        <f t="shared" si="21"/>
        <v>158.7975060337892</v>
      </c>
      <c r="W432" s="15">
        <f t="shared" si="8"/>
        <v>0</v>
      </c>
      <c r="X432" s="15">
        <f t="shared" si="9"/>
        <v>0</v>
      </c>
      <c r="Y432" s="15">
        <f t="shared" si="10"/>
        <v>0</v>
      </c>
      <c r="Z432" s="13">
        <f t="shared" si="11"/>
        <v>0</v>
      </c>
      <c r="AA432" s="16">
        <f>VLOOKUP(S432,[1]CPI!$A$2:$D$67,4,0)</f>
        <v>1.0598966584134211</v>
      </c>
      <c r="AB432" s="17">
        <f t="shared" si="22"/>
        <v>4184.1603977986124</v>
      </c>
      <c r="AC432" s="17">
        <f t="shared" si="23"/>
        <v>168.30894600959826</v>
      </c>
      <c r="AD432" s="9" t="s">
        <v>35</v>
      </c>
      <c r="AE432" s="46" t="s">
        <v>805</v>
      </c>
      <c r="AF432" s="9"/>
      <c r="AG432" s="9"/>
      <c r="AH432" s="9"/>
      <c r="AI432" s="9"/>
      <c r="AJ432" s="77"/>
      <c r="AK432" s="77"/>
      <c r="AL432" s="77"/>
      <c r="AM432" s="77"/>
      <c r="AN432" s="77"/>
      <c r="AO432" s="77"/>
      <c r="AP432" s="77"/>
      <c r="AQ432" s="77"/>
    </row>
    <row r="433" spans="1:43" ht="15.75" customHeight="1" x14ac:dyDescent="0.2">
      <c r="A433" s="21">
        <v>7995</v>
      </c>
      <c r="B433" s="19" t="s">
        <v>672</v>
      </c>
      <c r="C433" s="19" t="s">
        <v>896</v>
      </c>
      <c r="D433" s="9"/>
      <c r="E433" s="19" t="s">
        <v>674</v>
      </c>
      <c r="F433" s="19"/>
      <c r="G433" s="19"/>
      <c r="H433" s="19">
        <v>0</v>
      </c>
      <c r="I433" s="19">
        <v>35.200000000000003</v>
      </c>
      <c r="J433" s="64">
        <v>1</v>
      </c>
      <c r="K433" s="19">
        <v>35.200000000000003</v>
      </c>
      <c r="L433" s="19">
        <v>0</v>
      </c>
      <c r="M433" s="19">
        <v>0</v>
      </c>
      <c r="N433" s="19">
        <v>26</v>
      </c>
      <c r="O433" s="19"/>
      <c r="P433" s="19" t="s">
        <v>35</v>
      </c>
      <c r="Q433" s="78">
        <v>23660</v>
      </c>
      <c r="R433" s="19" t="s">
        <v>676</v>
      </c>
      <c r="S433" s="19">
        <v>2018</v>
      </c>
      <c r="T433" s="61">
        <v>0.23699999999999999</v>
      </c>
      <c r="U433" s="62">
        <f t="shared" si="25"/>
        <v>5607.42</v>
      </c>
      <c r="V433" s="14">
        <f t="shared" si="21"/>
        <v>159.30170454545453</v>
      </c>
      <c r="W433" s="15">
        <f t="shared" si="8"/>
        <v>0</v>
      </c>
      <c r="X433" s="15">
        <f t="shared" si="9"/>
        <v>0</v>
      </c>
      <c r="Y433" s="15">
        <f t="shared" si="10"/>
        <v>0</v>
      </c>
      <c r="Z433" s="13">
        <f t="shared" si="11"/>
        <v>0</v>
      </c>
      <c r="AA433" s="16">
        <f>VLOOKUP(S433,[1]CPI!$A$2:$D$67,4,0)</f>
        <v>1.0791017375063221</v>
      </c>
      <c r="AB433" s="17">
        <f t="shared" si="22"/>
        <v>6050.9766649277008</v>
      </c>
      <c r="AC433" s="17">
        <f t="shared" si="23"/>
        <v>171.90274616271876</v>
      </c>
      <c r="AD433" s="19" t="s">
        <v>35</v>
      </c>
      <c r="AE433" s="66" t="s">
        <v>947</v>
      </c>
      <c r="AF433" s="27"/>
      <c r="AG433" s="27"/>
      <c r="AH433" s="27"/>
      <c r="AI433" s="27"/>
      <c r="AJ433" s="28"/>
      <c r="AK433" s="28"/>
      <c r="AL433" s="28"/>
      <c r="AM433" s="28"/>
      <c r="AN433" s="28"/>
      <c r="AO433" s="28"/>
      <c r="AP433" s="28"/>
      <c r="AQ433" s="28"/>
    </row>
    <row r="434" spans="1:43" ht="15.75" customHeight="1" x14ac:dyDescent="0.2">
      <c r="A434" s="21">
        <v>8000</v>
      </c>
      <c r="B434" s="19" t="s">
        <v>672</v>
      </c>
      <c r="C434" s="19" t="s">
        <v>896</v>
      </c>
      <c r="D434" s="9"/>
      <c r="E434" s="19" t="s">
        <v>948</v>
      </c>
      <c r="F434" s="19"/>
      <c r="G434" s="19"/>
      <c r="H434" s="19">
        <v>0</v>
      </c>
      <c r="I434" s="19">
        <v>41</v>
      </c>
      <c r="J434" s="64"/>
      <c r="K434" s="19"/>
      <c r="L434" s="19" t="e">
        <v>#N/A</v>
      </c>
      <c r="M434" s="19" t="e">
        <v>#N/A</v>
      </c>
      <c r="N434" s="19">
        <v>27</v>
      </c>
      <c r="O434" s="19"/>
      <c r="P434" s="19" t="s">
        <v>35</v>
      </c>
      <c r="Q434" s="78">
        <v>27370</v>
      </c>
      <c r="R434" s="19" t="s">
        <v>676</v>
      </c>
      <c r="S434" s="19">
        <v>2018</v>
      </c>
      <c r="T434" s="61">
        <v>0.23699999999999999</v>
      </c>
      <c r="U434" s="62">
        <f t="shared" si="25"/>
        <v>6486.69</v>
      </c>
      <c r="V434" s="14">
        <f t="shared" si="21"/>
        <v>158.21195121951217</v>
      </c>
      <c r="W434" s="15">
        <f t="shared" si="8"/>
        <v>0</v>
      </c>
      <c r="X434" s="15">
        <f t="shared" si="9"/>
        <v>0</v>
      </c>
      <c r="Y434" s="15">
        <f t="shared" si="10"/>
        <v>0</v>
      </c>
      <c r="Z434" s="13">
        <f t="shared" si="11"/>
        <v>0</v>
      </c>
      <c r="AA434" s="16">
        <f>VLOOKUP(S434,[1]CPI!$A$2:$D$67,4,0)</f>
        <v>1.0791017375063221</v>
      </c>
      <c r="AB434" s="17">
        <f t="shared" si="22"/>
        <v>6999.7984496648842</v>
      </c>
      <c r="AC434" s="17">
        <f t="shared" si="23"/>
        <v>170.72679145524106</v>
      </c>
      <c r="AD434" s="19" t="s">
        <v>35</v>
      </c>
      <c r="AE434" s="66" t="s">
        <v>947</v>
      </c>
      <c r="AF434" s="27"/>
      <c r="AG434" s="27"/>
      <c r="AH434" s="27"/>
      <c r="AI434" s="27"/>
      <c r="AJ434" s="28"/>
      <c r="AK434" s="28"/>
      <c r="AL434" s="28"/>
      <c r="AM434" s="28"/>
      <c r="AN434" s="28"/>
      <c r="AO434" s="28"/>
      <c r="AP434" s="28"/>
      <c r="AQ434" s="28"/>
    </row>
    <row r="435" spans="1:43" ht="15.75" customHeight="1" x14ac:dyDescent="0.2">
      <c r="A435" s="21">
        <v>8001</v>
      </c>
      <c r="B435" s="19" t="s">
        <v>672</v>
      </c>
      <c r="C435" s="19" t="s">
        <v>755</v>
      </c>
      <c r="D435" s="9"/>
      <c r="E435" s="19" t="s">
        <v>283</v>
      </c>
      <c r="F435" s="19">
        <v>2017</v>
      </c>
      <c r="G435" s="19">
        <v>2021</v>
      </c>
      <c r="H435" s="19">
        <v>0</v>
      </c>
      <c r="I435" s="19">
        <v>45</v>
      </c>
      <c r="J435" s="64"/>
      <c r="K435" s="19"/>
      <c r="L435" s="19" t="e">
        <v>#N/A</v>
      </c>
      <c r="M435" s="19" t="e">
        <v>#N/A</v>
      </c>
      <c r="N435" s="19">
        <v>22</v>
      </c>
      <c r="O435" s="19"/>
      <c r="P435" s="19" t="s">
        <v>35</v>
      </c>
      <c r="Q435" s="78">
        <v>28997</v>
      </c>
      <c r="R435" s="19" t="s">
        <v>676</v>
      </c>
      <c r="S435" s="19">
        <v>2016</v>
      </c>
      <c r="T435" s="61">
        <v>0.251</v>
      </c>
      <c r="U435" s="62">
        <f t="shared" si="25"/>
        <v>7278.2470000000003</v>
      </c>
      <c r="V435" s="14">
        <f t="shared" si="21"/>
        <v>161.73882222222224</v>
      </c>
      <c r="W435" s="15">
        <f t="shared" si="8"/>
        <v>0</v>
      </c>
      <c r="X435" s="15">
        <f t="shared" si="9"/>
        <v>0</v>
      </c>
      <c r="Y435" s="15">
        <f t="shared" si="10"/>
        <v>0</v>
      </c>
      <c r="Z435" s="13">
        <f t="shared" si="11"/>
        <v>0</v>
      </c>
      <c r="AA435" s="16">
        <f>VLOOKUP(S435,[1]CPI!$A$2:$D$67,4,0)</f>
        <v>1.1290087372451638</v>
      </c>
      <c r="AB435" s="17">
        <f t="shared" si="22"/>
        <v>8217.204454828403</v>
      </c>
      <c r="AC435" s="17">
        <f t="shared" si="23"/>
        <v>182.60454344063118</v>
      </c>
      <c r="AD435" s="19" t="s">
        <v>35</v>
      </c>
      <c r="AE435" s="66" t="s">
        <v>827</v>
      </c>
      <c r="AF435" s="27"/>
      <c r="AG435" s="27"/>
      <c r="AH435" s="27"/>
      <c r="AI435" s="27"/>
      <c r="AJ435" s="28"/>
      <c r="AK435" s="28"/>
      <c r="AL435" s="28"/>
      <c r="AM435" s="28"/>
      <c r="AN435" s="28"/>
      <c r="AO435" s="28"/>
      <c r="AP435" s="28"/>
      <c r="AQ435" s="28"/>
    </row>
    <row r="436" spans="1:43" ht="15.75" customHeight="1" x14ac:dyDescent="0.2">
      <c r="A436" s="21">
        <v>8002</v>
      </c>
      <c r="B436" s="54" t="s">
        <v>672</v>
      </c>
      <c r="C436" s="54" t="s">
        <v>949</v>
      </c>
      <c r="D436" s="54"/>
      <c r="E436" s="54" t="s">
        <v>679</v>
      </c>
      <c r="F436" s="72">
        <v>2021</v>
      </c>
      <c r="G436" s="54"/>
      <c r="H436" s="72">
        <v>0</v>
      </c>
      <c r="I436" s="72">
        <v>28.736999999999998</v>
      </c>
      <c r="J436" s="73">
        <v>1</v>
      </c>
      <c r="K436" s="72">
        <v>28.736999999999998</v>
      </c>
      <c r="L436" s="54"/>
      <c r="M436" s="54"/>
      <c r="N436" s="72">
        <v>24</v>
      </c>
      <c r="O436" s="72">
        <v>138</v>
      </c>
      <c r="P436" s="54"/>
      <c r="Q436" s="65">
        <v>22458.7</v>
      </c>
      <c r="R436" s="54" t="s">
        <v>676</v>
      </c>
      <c r="S436" s="54">
        <v>2021</v>
      </c>
      <c r="T436" s="61">
        <v>0.23899999999999999</v>
      </c>
      <c r="U436" s="69">
        <f>Q436*T436</f>
        <v>5367.6292999999996</v>
      </c>
      <c r="V436" s="70">
        <f t="shared" si="21"/>
        <v>186.78460869262622</v>
      </c>
      <c r="W436" s="15">
        <f t="shared" si="8"/>
        <v>0</v>
      </c>
      <c r="X436" s="15">
        <f t="shared" si="9"/>
        <v>0</v>
      </c>
      <c r="Y436" s="15">
        <f t="shared" si="10"/>
        <v>0</v>
      </c>
      <c r="Z436" s="13">
        <f t="shared" si="11"/>
        <v>0</v>
      </c>
      <c r="AA436" s="16">
        <f>VLOOKUP(S436,[1]CPI!$A$2:$D$67,4,0)</f>
        <v>1</v>
      </c>
      <c r="AB436" s="17">
        <f t="shared" si="22"/>
        <v>5367.6292999999996</v>
      </c>
      <c r="AC436" s="17">
        <f t="shared" si="23"/>
        <v>186.78460869262622</v>
      </c>
      <c r="AD436" s="54" t="s">
        <v>73</v>
      </c>
      <c r="AE436" s="46" t="s">
        <v>950</v>
      </c>
      <c r="AF436" s="54"/>
      <c r="AG436" s="54"/>
      <c r="AH436" s="54"/>
      <c r="AI436" s="54"/>
      <c r="AJ436" s="82"/>
      <c r="AK436" s="82"/>
      <c r="AL436" s="82"/>
      <c r="AM436" s="82"/>
      <c r="AN436" s="82"/>
      <c r="AO436" s="82"/>
      <c r="AP436" s="82"/>
      <c r="AQ436" s="82"/>
    </row>
    <row r="437" spans="1:43" ht="15.75" customHeight="1" x14ac:dyDescent="0.2">
      <c r="A437" s="21">
        <v>8003</v>
      </c>
      <c r="B437" s="19" t="s">
        <v>672</v>
      </c>
      <c r="C437" s="19" t="s">
        <v>837</v>
      </c>
      <c r="D437" s="9" t="s">
        <v>142</v>
      </c>
      <c r="E437" s="19" t="s">
        <v>706</v>
      </c>
      <c r="F437" s="19">
        <v>2013</v>
      </c>
      <c r="G437" s="19">
        <v>2017</v>
      </c>
      <c r="H437" s="19">
        <v>0</v>
      </c>
      <c r="I437" s="19">
        <v>33.5</v>
      </c>
      <c r="J437" s="64"/>
      <c r="K437" s="19"/>
      <c r="L437" s="19" t="e">
        <v>#N/A</v>
      </c>
      <c r="M437" s="19" t="e">
        <v>#N/A</v>
      </c>
      <c r="N437" s="19">
        <v>24</v>
      </c>
      <c r="O437" s="19"/>
      <c r="P437" s="19" t="s">
        <v>35</v>
      </c>
      <c r="Q437" s="78">
        <v>21938</v>
      </c>
      <c r="R437" s="19" t="s">
        <v>676</v>
      </c>
      <c r="S437" s="19">
        <v>2012</v>
      </c>
      <c r="T437" s="61">
        <v>0.28079999999999999</v>
      </c>
      <c r="U437" s="62">
        <f t="shared" ref="U437:U438" si="26">T437*Q437</f>
        <v>6160.1903999999995</v>
      </c>
      <c r="V437" s="14">
        <f t="shared" si="21"/>
        <v>183.88628059701492</v>
      </c>
      <c r="W437" s="15">
        <f t="shared" si="8"/>
        <v>0</v>
      </c>
      <c r="X437" s="15">
        <f t="shared" si="9"/>
        <v>0</v>
      </c>
      <c r="Y437" s="15">
        <f t="shared" si="10"/>
        <v>0</v>
      </c>
      <c r="Z437" s="13">
        <f t="shared" si="11"/>
        <v>0</v>
      </c>
      <c r="AA437" s="16">
        <f>VLOOKUP(S437,[1]CPI!$A$2:$D$67,4,0)</f>
        <v>1.1802137686524912</v>
      </c>
      <c r="AB437" s="17">
        <f t="shared" si="22"/>
        <v>7270.3415276008964</v>
      </c>
      <c r="AC437" s="17">
        <f t="shared" si="23"/>
        <v>217.02512022689243</v>
      </c>
      <c r="AD437" s="19" t="s">
        <v>35</v>
      </c>
      <c r="AE437" s="66" t="s">
        <v>925</v>
      </c>
      <c r="AF437" s="27"/>
      <c r="AG437" s="27"/>
      <c r="AH437" s="27"/>
      <c r="AI437" s="27"/>
      <c r="AJ437" s="28"/>
      <c r="AK437" s="28"/>
      <c r="AL437" s="28"/>
      <c r="AM437" s="28"/>
      <c r="AN437" s="28"/>
      <c r="AO437" s="28"/>
      <c r="AP437" s="28"/>
      <c r="AQ437" s="28"/>
    </row>
    <row r="438" spans="1:43" ht="15.75" customHeight="1" x14ac:dyDescent="0.2">
      <c r="A438" s="21">
        <v>8008</v>
      </c>
      <c r="B438" s="19" t="s">
        <v>672</v>
      </c>
      <c r="C438" s="19" t="s">
        <v>877</v>
      </c>
      <c r="D438" s="9"/>
      <c r="E438" s="19" t="s">
        <v>281</v>
      </c>
      <c r="F438" s="19"/>
      <c r="G438" s="19"/>
      <c r="H438" s="19">
        <v>0</v>
      </c>
      <c r="I438" s="19">
        <v>29.7</v>
      </c>
      <c r="J438" s="64">
        <v>1</v>
      </c>
      <c r="K438" s="19">
        <v>29.7</v>
      </c>
      <c r="L438" s="19">
        <v>0</v>
      </c>
      <c r="M438" s="19">
        <v>0</v>
      </c>
      <c r="N438" s="19">
        <v>22</v>
      </c>
      <c r="O438" s="19"/>
      <c r="P438" s="19" t="s">
        <v>35</v>
      </c>
      <c r="Q438" s="78">
        <v>19549</v>
      </c>
      <c r="R438" s="19" t="s">
        <v>676</v>
      </c>
      <c r="S438" s="19">
        <v>2018</v>
      </c>
      <c r="T438" s="61">
        <v>0.23699999999999999</v>
      </c>
      <c r="U438" s="62">
        <f t="shared" si="26"/>
        <v>4633.1129999999994</v>
      </c>
      <c r="V438" s="14">
        <f t="shared" si="21"/>
        <v>155.99707070707069</v>
      </c>
      <c r="W438" s="15">
        <f t="shared" si="8"/>
        <v>0</v>
      </c>
      <c r="X438" s="15">
        <f t="shared" si="9"/>
        <v>0</v>
      </c>
      <c r="Y438" s="15">
        <f t="shared" si="10"/>
        <v>0</v>
      </c>
      <c r="Z438" s="13">
        <f t="shared" si="11"/>
        <v>0</v>
      </c>
      <c r="AA438" s="16">
        <f>VLOOKUP(S438,[1]CPI!$A$2:$D$67,4,0)</f>
        <v>1.0791017375063221</v>
      </c>
      <c r="AB438" s="17">
        <f t="shared" si="22"/>
        <v>4999.6002883631281</v>
      </c>
      <c r="AC438" s="17">
        <f t="shared" si="23"/>
        <v>168.33671004589655</v>
      </c>
      <c r="AD438" s="19" t="s">
        <v>35</v>
      </c>
      <c r="AE438" s="66" t="s">
        <v>951</v>
      </c>
      <c r="AF438" s="27"/>
      <c r="AG438" s="27"/>
      <c r="AH438" s="27"/>
      <c r="AI438" s="27"/>
      <c r="AJ438" s="28"/>
      <c r="AK438" s="28"/>
      <c r="AL438" s="28"/>
      <c r="AM438" s="28"/>
      <c r="AN438" s="28"/>
      <c r="AO438" s="28"/>
      <c r="AP438" s="28"/>
      <c r="AQ438" s="28"/>
    </row>
    <row r="439" spans="1:43" ht="15.75" customHeight="1" x14ac:dyDescent="0.2">
      <c r="A439" s="21">
        <v>8009</v>
      </c>
      <c r="B439" s="54" t="s">
        <v>672</v>
      </c>
      <c r="C439" s="54" t="s">
        <v>896</v>
      </c>
      <c r="D439" s="54"/>
      <c r="E439" s="54" t="s">
        <v>281</v>
      </c>
      <c r="F439" s="72">
        <v>2020</v>
      </c>
      <c r="G439" s="54"/>
      <c r="H439" s="72">
        <v>0</v>
      </c>
      <c r="I439" s="72">
        <v>36.200000000000003</v>
      </c>
      <c r="J439" s="73">
        <v>1</v>
      </c>
      <c r="K439" s="72">
        <v>36.200000000000003</v>
      </c>
      <c r="L439" s="54"/>
      <c r="M439" s="54"/>
      <c r="N439" s="72">
        <v>31</v>
      </c>
      <c r="O439" s="72">
        <v>117</v>
      </c>
      <c r="P439" s="54"/>
      <c r="Q439" s="65">
        <v>23960</v>
      </c>
      <c r="R439" s="54" t="s">
        <v>676</v>
      </c>
      <c r="S439" s="54">
        <v>2020</v>
      </c>
      <c r="T439" s="61">
        <v>0.23899999999999999</v>
      </c>
      <c r="U439" s="69">
        <f>Q439*T439</f>
        <v>5726.44</v>
      </c>
      <c r="V439" s="70">
        <f t="shared" si="21"/>
        <v>158.18895027624308</v>
      </c>
      <c r="W439" s="15">
        <f t="shared" si="8"/>
        <v>0</v>
      </c>
      <c r="X439" s="15">
        <f t="shared" si="9"/>
        <v>0</v>
      </c>
      <c r="Y439" s="15">
        <f t="shared" si="10"/>
        <v>0</v>
      </c>
      <c r="Z439" s="13">
        <f t="shared" si="11"/>
        <v>0</v>
      </c>
      <c r="AA439" s="16">
        <f>VLOOKUP(S439,[1]CPI!$A$2:$D$67,4,0)</f>
        <v>1.0469802288156225</v>
      </c>
      <c r="AB439" s="17">
        <f t="shared" si="22"/>
        <v>5995.469461498933</v>
      </c>
      <c r="AC439" s="17">
        <f t="shared" si="23"/>
        <v>165.6207033563241</v>
      </c>
      <c r="AD439" s="54" t="s">
        <v>73</v>
      </c>
      <c r="AE439" s="46" t="s">
        <v>952</v>
      </c>
      <c r="AF439" s="54"/>
      <c r="AG439" s="54"/>
      <c r="AH439" s="54"/>
      <c r="AI439" s="54"/>
      <c r="AJ439" s="82"/>
      <c r="AK439" s="82"/>
      <c r="AL439" s="82"/>
      <c r="AM439" s="82"/>
      <c r="AN439" s="82"/>
      <c r="AO439" s="82"/>
      <c r="AP439" s="82"/>
      <c r="AQ439" s="82"/>
    </row>
    <row r="440" spans="1:43" ht="15.75" customHeight="1" x14ac:dyDescent="0.2">
      <c r="A440" s="21">
        <v>8010</v>
      </c>
      <c r="B440" s="19" t="s">
        <v>672</v>
      </c>
      <c r="C440" s="19" t="s">
        <v>889</v>
      </c>
      <c r="D440" s="9"/>
      <c r="E440" s="19" t="s">
        <v>953</v>
      </c>
      <c r="F440" s="19">
        <v>2020</v>
      </c>
      <c r="G440" s="19">
        <v>2025</v>
      </c>
      <c r="H440" s="19">
        <v>0</v>
      </c>
      <c r="I440" s="19">
        <v>19</v>
      </c>
      <c r="J440" s="64">
        <v>1</v>
      </c>
      <c r="K440" s="19">
        <v>19</v>
      </c>
      <c r="L440" s="19">
        <v>0</v>
      </c>
      <c r="M440" s="19">
        <v>0</v>
      </c>
      <c r="N440" s="19">
        <v>11</v>
      </c>
      <c r="O440" s="19"/>
      <c r="P440" s="19" t="s">
        <v>35</v>
      </c>
      <c r="Q440" s="78">
        <v>12436</v>
      </c>
      <c r="R440" s="19" t="s">
        <v>676</v>
      </c>
      <c r="S440" s="19">
        <v>2019</v>
      </c>
      <c r="T440" s="61">
        <v>0.23799999999999999</v>
      </c>
      <c r="U440" s="62">
        <f>T440*Q440</f>
        <v>2959.768</v>
      </c>
      <c r="V440" s="14">
        <f t="shared" si="21"/>
        <v>155.77726315789474</v>
      </c>
      <c r="W440" s="15">
        <f t="shared" si="8"/>
        <v>0</v>
      </c>
      <c r="X440" s="15">
        <f t="shared" si="9"/>
        <v>0</v>
      </c>
      <c r="Y440" s="15">
        <f t="shared" si="10"/>
        <v>0</v>
      </c>
      <c r="Z440" s="13">
        <f t="shared" si="11"/>
        <v>0</v>
      </c>
      <c r="AA440" s="16">
        <f>VLOOKUP(S440,[1]CPI!$A$2:$D$67,4,0)</f>
        <v>1.0598966584134211</v>
      </c>
      <c r="AB440" s="17">
        <f t="shared" si="22"/>
        <v>3137.0482128789745</v>
      </c>
      <c r="AC440" s="17">
        <f t="shared" si="23"/>
        <v>165.10780067784077</v>
      </c>
      <c r="AD440" s="19" t="s">
        <v>35</v>
      </c>
      <c r="AE440" s="66" t="s">
        <v>890</v>
      </c>
      <c r="AF440" s="19"/>
      <c r="AG440" s="19"/>
      <c r="AH440" s="19"/>
      <c r="AI440" s="19"/>
      <c r="AJ440" s="20"/>
      <c r="AK440" s="20"/>
      <c r="AL440" s="20"/>
      <c r="AM440" s="20"/>
      <c r="AN440" s="20"/>
      <c r="AO440" s="20"/>
      <c r="AP440" s="20"/>
      <c r="AQ440" s="20"/>
    </row>
    <row r="441" spans="1:43" ht="15.75" customHeight="1" x14ac:dyDescent="0.2">
      <c r="A441" s="21">
        <v>8011</v>
      </c>
      <c r="B441" s="54" t="s">
        <v>672</v>
      </c>
      <c r="C441" s="54" t="s">
        <v>906</v>
      </c>
      <c r="D441" s="54" t="s">
        <v>954</v>
      </c>
      <c r="E441" s="54" t="s">
        <v>955</v>
      </c>
      <c r="F441" s="72">
        <v>2021</v>
      </c>
      <c r="G441" s="54"/>
      <c r="H441" s="72">
        <v>0</v>
      </c>
      <c r="I441" s="72">
        <v>30.32</v>
      </c>
      <c r="J441" s="73">
        <v>0.75</v>
      </c>
      <c r="K441" s="72">
        <v>22.64</v>
      </c>
      <c r="L441" s="54"/>
      <c r="M441" s="54"/>
      <c r="N441" s="72">
        <v>13</v>
      </c>
      <c r="O441" s="72">
        <v>117</v>
      </c>
      <c r="P441" s="54"/>
      <c r="Q441" s="65">
        <v>17252.45</v>
      </c>
      <c r="R441" s="54" t="s">
        <v>676</v>
      </c>
      <c r="S441" s="54">
        <v>2021</v>
      </c>
      <c r="T441" s="61">
        <v>0.23899999999999999</v>
      </c>
      <c r="U441" s="69">
        <f>Q441*T441</f>
        <v>4123.3355499999998</v>
      </c>
      <c r="V441" s="70">
        <f t="shared" si="21"/>
        <v>135.99391655672824</v>
      </c>
      <c r="W441" s="15">
        <f t="shared" si="8"/>
        <v>0</v>
      </c>
      <c r="X441" s="15">
        <f t="shared" si="9"/>
        <v>0</v>
      </c>
      <c r="Y441" s="15">
        <f t="shared" si="10"/>
        <v>0</v>
      </c>
      <c r="Z441" s="13">
        <f t="shared" si="11"/>
        <v>0</v>
      </c>
      <c r="AA441" s="16">
        <f>VLOOKUP(S441,[1]CPI!$A$2:$D$67,4,0)</f>
        <v>1</v>
      </c>
      <c r="AB441" s="17">
        <f t="shared" si="22"/>
        <v>4123.3355499999998</v>
      </c>
      <c r="AC441" s="17">
        <f t="shared" si="23"/>
        <v>135.99391655672824</v>
      </c>
      <c r="AD441" s="54" t="s">
        <v>73</v>
      </c>
      <c r="AE441" s="46" t="s">
        <v>956</v>
      </c>
      <c r="AF441" s="54"/>
      <c r="AG441" s="54"/>
      <c r="AH441" s="54"/>
      <c r="AI441" s="54"/>
      <c r="AJ441" s="82"/>
      <c r="AK441" s="82"/>
      <c r="AL441" s="82"/>
      <c r="AM441" s="82"/>
      <c r="AN441" s="82"/>
      <c r="AO441" s="82"/>
      <c r="AP441" s="82"/>
      <c r="AQ441" s="82"/>
    </row>
    <row r="442" spans="1:43" ht="15.75" customHeight="1" x14ac:dyDescent="0.2">
      <c r="A442" s="21">
        <v>8016</v>
      </c>
      <c r="B442" s="19" t="s">
        <v>672</v>
      </c>
      <c r="C442" s="19" t="s">
        <v>759</v>
      </c>
      <c r="D442" s="9"/>
      <c r="E442" s="19" t="s">
        <v>860</v>
      </c>
      <c r="F442" s="19"/>
      <c r="G442" s="19"/>
      <c r="H442" s="19">
        <v>0</v>
      </c>
      <c r="I442" s="19">
        <v>7</v>
      </c>
      <c r="J442" s="64">
        <v>1</v>
      </c>
      <c r="K442" s="19">
        <v>7</v>
      </c>
      <c r="L442" s="19">
        <v>0</v>
      </c>
      <c r="M442" s="19">
        <v>0</v>
      </c>
      <c r="N442" s="19">
        <v>5</v>
      </c>
      <c r="O442" s="19"/>
      <c r="P442" s="19" t="s">
        <v>35</v>
      </c>
      <c r="Q442" s="78">
        <v>4558</v>
      </c>
      <c r="R442" s="19" t="s">
        <v>676</v>
      </c>
      <c r="S442" s="19">
        <v>2018</v>
      </c>
      <c r="T442" s="61">
        <v>0.23699999999999999</v>
      </c>
      <c r="U442" s="62">
        <f>T442*Q442</f>
        <v>1080.2459999999999</v>
      </c>
      <c r="V442" s="14">
        <f t="shared" si="21"/>
        <v>154.32085714285714</v>
      </c>
      <c r="W442" s="15">
        <f t="shared" si="8"/>
        <v>0</v>
      </c>
      <c r="X442" s="15">
        <f t="shared" si="9"/>
        <v>0</v>
      </c>
      <c r="Y442" s="15">
        <f t="shared" si="10"/>
        <v>0</v>
      </c>
      <c r="Z442" s="13">
        <f t="shared" si="11"/>
        <v>0</v>
      </c>
      <c r="AA442" s="16">
        <f>VLOOKUP(S442,[1]CPI!$A$2:$D$67,4,0)</f>
        <v>1.0791017375063221</v>
      </c>
      <c r="AB442" s="17">
        <f t="shared" si="22"/>
        <v>1165.6953355342544</v>
      </c>
      <c r="AC442" s="17">
        <f t="shared" si="23"/>
        <v>166.52790507632204</v>
      </c>
      <c r="AD442" s="19" t="s">
        <v>35</v>
      </c>
      <c r="AE442" s="66" t="s">
        <v>783</v>
      </c>
      <c r="AF442" s="19"/>
      <c r="AG442" s="19"/>
      <c r="AH442" s="19"/>
      <c r="AI442" s="19"/>
      <c r="AJ442" s="20"/>
      <c r="AK442" s="20"/>
      <c r="AL442" s="20"/>
      <c r="AM442" s="20"/>
      <c r="AN442" s="20"/>
      <c r="AO442" s="20"/>
      <c r="AP442" s="20"/>
      <c r="AQ442" s="20"/>
    </row>
    <row r="443" spans="1:43" ht="15.75" customHeight="1" x14ac:dyDescent="0.2">
      <c r="A443" s="21">
        <v>8017</v>
      </c>
      <c r="B443" s="54" t="s">
        <v>672</v>
      </c>
      <c r="C443" s="54" t="s">
        <v>863</v>
      </c>
      <c r="D443" s="54"/>
      <c r="E443" s="54" t="s">
        <v>723</v>
      </c>
      <c r="F443" s="72">
        <v>2019</v>
      </c>
      <c r="G443" s="72">
        <v>2024</v>
      </c>
      <c r="H443" s="72">
        <v>0</v>
      </c>
      <c r="I443" s="72">
        <v>21.3</v>
      </c>
      <c r="J443" s="73">
        <v>1</v>
      </c>
      <c r="K443" s="72">
        <v>21.3</v>
      </c>
      <c r="L443" s="54"/>
      <c r="M443" s="54"/>
      <c r="N443" s="72">
        <v>12</v>
      </c>
      <c r="O443" s="72">
        <v>138</v>
      </c>
      <c r="P443" s="54"/>
      <c r="Q443" s="65">
        <v>13823</v>
      </c>
      <c r="R443" s="54" t="s">
        <v>676</v>
      </c>
      <c r="S443" s="54">
        <v>2021</v>
      </c>
      <c r="T443" s="61">
        <v>0.23899999999999999</v>
      </c>
      <c r="U443" s="69">
        <f>Q443*T443</f>
        <v>3303.6969999999997</v>
      </c>
      <c r="V443" s="70">
        <f t="shared" si="21"/>
        <v>155.10314553990608</v>
      </c>
      <c r="W443" s="15">
        <f t="shared" si="8"/>
        <v>0</v>
      </c>
      <c r="X443" s="15">
        <f t="shared" si="9"/>
        <v>0</v>
      </c>
      <c r="Y443" s="15">
        <f t="shared" si="10"/>
        <v>0</v>
      </c>
      <c r="Z443" s="13">
        <f t="shared" si="11"/>
        <v>0</v>
      </c>
      <c r="AA443" s="16">
        <f>VLOOKUP(S443,[1]CPI!$A$2:$D$67,4,0)</f>
        <v>1</v>
      </c>
      <c r="AB443" s="17">
        <f t="shared" si="22"/>
        <v>3303.6969999999997</v>
      </c>
      <c r="AC443" s="17">
        <f t="shared" si="23"/>
        <v>155.10314553990608</v>
      </c>
      <c r="AD443" s="54" t="s">
        <v>73</v>
      </c>
      <c r="AE443" s="46" t="s">
        <v>957</v>
      </c>
      <c r="AF443" s="54"/>
      <c r="AG443" s="54"/>
      <c r="AH443" s="57"/>
      <c r="AI443" s="54"/>
      <c r="AJ443" s="82"/>
      <c r="AK443" s="82"/>
      <c r="AL443" s="82"/>
      <c r="AM443" s="82"/>
      <c r="AN443" s="82"/>
      <c r="AO443" s="82"/>
      <c r="AP443" s="82"/>
      <c r="AQ443" s="82"/>
    </row>
    <row r="444" spans="1:43" ht="15.75" customHeight="1" x14ac:dyDescent="0.2">
      <c r="A444" s="21">
        <v>8018</v>
      </c>
      <c r="B444" s="19" t="s">
        <v>672</v>
      </c>
      <c r="C444" s="19" t="s">
        <v>837</v>
      </c>
      <c r="D444" s="9" t="s">
        <v>99</v>
      </c>
      <c r="E444" s="19" t="s">
        <v>958</v>
      </c>
      <c r="F444" s="19">
        <v>2017</v>
      </c>
      <c r="G444" s="19">
        <v>2021</v>
      </c>
      <c r="H444" s="19">
        <v>0</v>
      </c>
      <c r="I444" s="19">
        <v>14.72</v>
      </c>
      <c r="J444" s="64">
        <v>0.78260869570000002</v>
      </c>
      <c r="K444" s="19">
        <v>11.52</v>
      </c>
      <c r="L444" s="19">
        <v>0</v>
      </c>
      <c r="M444" s="19">
        <v>0</v>
      </c>
      <c r="N444" s="19">
        <v>11</v>
      </c>
      <c r="O444" s="19"/>
      <c r="P444" s="19" t="s">
        <v>35</v>
      </c>
      <c r="Q444" s="78">
        <v>9513</v>
      </c>
      <c r="R444" s="19" t="s">
        <v>676</v>
      </c>
      <c r="S444" s="19">
        <v>2017</v>
      </c>
      <c r="T444" s="61">
        <v>0.23899999999999999</v>
      </c>
      <c r="U444" s="62">
        <f t="shared" ref="U444:U446" si="27">T444*Q444</f>
        <v>2273.607</v>
      </c>
      <c r="V444" s="14">
        <f t="shared" si="21"/>
        <v>154.45699728260868</v>
      </c>
      <c r="W444" s="15">
        <f t="shared" si="8"/>
        <v>0</v>
      </c>
      <c r="X444" s="15">
        <f t="shared" si="9"/>
        <v>0</v>
      </c>
      <c r="Y444" s="15">
        <f t="shared" si="10"/>
        <v>0</v>
      </c>
      <c r="Z444" s="13">
        <f t="shared" si="11"/>
        <v>0</v>
      </c>
      <c r="AA444" s="16">
        <f>VLOOKUP(S444,[1]CPI!$A$2:$D$67,4,0)</f>
        <v>1.1054585509138382</v>
      </c>
      <c r="AB444" s="17">
        <f t="shared" si="22"/>
        <v>2513.3782995675588</v>
      </c>
      <c r="AC444" s="17">
        <f t="shared" si="23"/>
        <v>170.74580839453523</v>
      </c>
      <c r="AD444" s="19" t="s">
        <v>35</v>
      </c>
      <c r="AE444" s="66" t="s">
        <v>839</v>
      </c>
      <c r="AF444" s="27"/>
      <c r="AG444" s="27"/>
      <c r="AH444" s="27"/>
      <c r="AI444" s="27"/>
      <c r="AJ444" s="28"/>
      <c r="AK444" s="28"/>
      <c r="AL444" s="28"/>
      <c r="AM444" s="28"/>
      <c r="AN444" s="28"/>
      <c r="AO444" s="28"/>
      <c r="AP444" s="28"/>
      <c r="AQ444" s="28"/>
    </row>
    <row r="445" spans="1:43" ht="15.75" customHeight="1" x14ac:dyDescent="0.2">
      <c r="A445" s="21">
        <v>8019</v>
      </c>
      <c r="B445" s="19" t="s">
        <v>672</v>
      </c>
      <c r="C445" s="19" t="s">
        <v>775</v>
      </c>
      <c r="D445" s="9" t="s">
        <v>92</v>
      </c>
      <c r="E445" s="19" t="s">
        <v>959</v>
      </c>
      <c r="F445" s="19">
        <v>2013</v>
      </c>
      <c r="G445" s="19">
        <v>2015</v>
      </c>
      <c r="H445" s="19">
        <v>0</v>
      </c>
      <c r="I445" s="19">
        <v>5.2</v>
      </c>
      <c r="J445" s="64"/>
      <c r="K445" s="19"/>
      <c r="L445" s="19" t="e">
        <v>#N/A</v>
      </c>
      <c r="M445" s="19" t="e">
        <v>#N/A</v>
      </c>
      <c r="N445" s="19">
        <v>4</v>
      </c>
      <c r="O445" s="19"/>
      <c r="P445" s="19" t="s">
        <v>35</v>
      </c>
      <c r="Q445" s="78">
        <v>3306</v>
      </c>
      <c r="R445" s="19" t="s">
        <v>676</v>
      </c>
      <c r="S445" s="19">
        <v>2013</v>
      </c>
      <c r="T445" s="61">
        <v>0.27300000000000002</v>
      </c>
      <c r="U445" s="62">
        <f t="shared" si="27"/>
        <v>902.53800000000001</v>
      </c>
      <c r="V445" s="14">
        <f t="shared" si="21"/>
        <v>173.565</v>
      </c>
      <c r="W445" s="15">
        <f t="shared" si="8"/>
        <v>0</v>
      </c>
      <c r="X445" s="15">
        <f t="shared" si="9"/>
        <v>0</v>
      </c>
      <c r="Y445" s="15">
        <f t="shared" si="10"/>
        <v>0</v>
      </c>
      <c r="Z445" s="13">
        <f t="shared" si="11"/>
        <v>0</v>
      </c>
      <c r="AA445" s="16">
        <f>VLOOKUP(S445,[1]CPI!$A$2:$D$67,4,0)</f>
        <v>1.16317603677932</v>
      </c>
      <c r="AB445" s="17">
        <f t="shared" si="22"/>
        <v>1049.8105738827339</v>
      </c>
      <c r="AC445" s="17">
        <f t="shared" si="23"/>
        <v>201.88664882360268</v>
      </c>
      <c r="AD445" s="19" t="s">
        <v>35</v>
      </c>
      <c r="AE445" s="66" t="s">
        <v>960</v>
      </c>
      <c r="AF445" s="27"/>
      <c r="AG445" s="27"/>
      <c r="AH445" s="27"/>
      <c r="AI445" s="27"/>
      <c r="AJ445" s="28"/>
      <c r="AK445" s="28"/>
      <c r="AL445" s="28"/>
      <c r="AM445" s="28"/>
      <c r="AN445" s="28"/>
      <c r="AO445" s="28"/>
      <c r="AP445" s="28"/>
      <c r="AQ445" s="28"/>
    </row>
    <row r="446" spans="1:43" ht="15.75" customHeight="1" x14ac:dyDescent="0.2">
      <c r="A446" s="21">
        <v>8024</v>
      </c>
      <c r="B446" s="19" t="s">
        <v>672</v>
      </c>
      <c r="C446" s="19" t="s">
        <v>755</v>
      </c>
      <c r="D446" s="9" t="s">
        <v>99</v>
      </c>
      <c r="E446" s="19" t="s">
        <v>961</v>
      </c>
      <c r="F446" s="19">
        <v>2017</v>
      </c>
      <c r="G446" s="19">
        <v>2020</v>
      </c>
      <c r="H446" s="19">
        <v>0</v>
      </c>
      <c r="I446" s="19">
        <v>1.6</v>
      </c>
      <c r="J446" s="64"/>
      <c r="K446" s="19"/>
      <c r="L446" s="19" t="e">
        <v>#N/A</v>
      </c>
      <c r="M446" s="19" t="e">
        <v>#N/A</v>
      </c>
      <c r="N446" s="19">
        <v>1</v>
      </c>
      <c r="O446" s="19"/>
      <c r="P446" s="19" t="s">
        <v>35</v>
      </c>
      <c r="Q446" s="78">
        <v>988</v>
      </c>
      <c r="R446" s="19" t="s">
        <v>676</v>
      </c>
      <c r="S446" s="19">
        <v>2016</v>
      </c>
      <c r="T446" s="61">
        <v>0.251</v>
      </c>
      <c r="U446" s="62">
        <f t="shared" si="27"/>
        <v>247.988</v>
      </c>
      <c r="V446" s="14">
        <f t="shared" si="21"/>
        <v>154.99249999999998</v>
      </c>
      <c r="W446" s="15">
        <f t="shared" si="8"/>
        <v>0</v>
      </c>
      <c r="X446" s="15">
        <f t="shared" si="9"/>
        <v>0</v>
      </c>
      <c r="Y446" s="15">
        <f t="shared" si="10"/>
        <v>0</v>
      </c>
      <c r="Z446" s="13">
        <f t="shared" si="11"/>
        <v>0</v>
      </c>
      <c r="AA446" s="16">
        <f>VLOOKUP(S446,[1]CPI!$A$2:$D$67,4,0)</f>
        <v>1.1290087372451638</v>
      </c>
      <c r="AB446" s="17">
        <f t="shared" si="22"/>
        <v>279.98061873195371</v>
      </c>
      <c r="AC446" s="17">
        <f t="shared" si="23"/>
        <v>174.98788670747103</v>
      </c>
      <c r="AD446" s="19" t="s">
        <v>35</v>
      </c>
      <c r="AE446" s="66" t="s">
        <v>827</v>
      </c>
      <c r="AF446" s="27"/>
      <c r="AG446" s="27"/>
      <c r="AH446" s="27"/>
      <c r="AI446" s="27"/>
      <c r="AJ446" s="28"/>
      <c r="AK446" s="28"/>
      <c r="AL446" s="28"/>
      <c r="AM446" s="28"/>
      <c r="AN446" s="28"/>
      <c r="AO446" s="28"/>
      <c r="AP446" s="28"/>
      <c r="AQ446" s="28"/>
    </row>
    <row r="447" spans="1:43" ht="15.75" customHeight="1" x14ac:dyDescent="0.2">
      <c r="A447" s="21">
        <v>8025</v>
      </c>
      <c r="B447" s="54" t="s">
        <v>672</v>
      </c>
      <c r="C447" s="54" t="s">
        <v>863</v>
      </c>
      <c r="D447" s="54"/>
      <c r="E447" s="54" t="s">
        <v>774</v>
      </c>
      <c r="F447" s="72">
        <v>2019</v>
      </c>
      <c r="G447" s="72">
        <v>2024</v>
      </c>
      <c r="H447" s="72">
        <v>0</v>
      </c>
      <c r="I447" s="72">
        <v>50.63</v>
      </c>
      <c r="J447" s="73">
        <v>1</v>
      </c>
      <c r="K447" s="72">
        <v>50.63</v>
      </c>
      <c r="L447" s="54"/>
      <c r="M447" s="54"/>
      <c r="N447" s="72">
        <v>27</v>
      </c>
      <c r="O447" s="72">
        <v>138</v>
      </c>
      <c r="P447" s="54"/>
      <c r="Q447" s="65">
        <v>31019.49</v>
      </c>
      <c r="R447" s="54" t="s">
        <v>676</v>
      </c>
      <c r="S447" s="54">
        <v>2021</v>
      </c>
      <c r="T447" s="61">
        <v>0.23899999999999999</v>
      </c>
      <c r="U447" s="69">
        <f>Q447*T447</f>
        <v>7413.6581100000003</v>
      </c>
      <c r="V447" s="70">
        <f t="shared" si="21"/>
        <v>146.4281672921193</v>
      </c>
      <c r="W447" s="15">
        <f t="shared" si="8"/>
        <v>0</v>
      </c>
      <c r="X447" s="15">
        <f t="shared" si="9"/>
        <v>0</v>
      </c>
      <c r="Y447" s="15">
        <f t="shared" si="10"/>
        <v>0</v>
      </c>
      <c r="Z447" s="13">
        <f t="shared" si="11"/>
        <v>0</v>
      </c>
      <c r="AA447" s="16">
        <f>VLOOKUP(S447,[1]CPI!$A$2:$D$67,4,0)</f>
        <v>1</v>
      </c>
      <c r="AB447" s="17">
        <f t="shared" si="22"/>
        <v>7413.6581100000003</v>
      </c>
      <c r="AC447" s="17">
        <f t="shared" si="23"/>
        <v>146.4281672921193</v>
      </c>
      <c r="AD447" s="54" t="s">
        <v>43</v>
      </c>
      <c r="AE447" s="46" t="s">
        <v>962</v>
      </c>
      <c r="AF447" s="54"/>
      <c r="AG447" s="54"/>
      <c r="AH447" s="8"/>
      <c r="AI447" s="54"/>
      <c r="AJ447" s="82"/>
      <c r="AK447" s="82"/>
      <c r="AL447" s="82"/>
      <c r="AM447" s="82"/>
      <c r="AN447" s="82"/>
      <c r="AO447" s="82"/>
      <c r="AP447" s="82"/>
      <c r="AQ447" s="82"/>
    </row>
    <row r="448" spans="1:43" ht="15.75" customHeight="1" x14ac:dyDescent="0.2">
      <c r="A448" s="71">
        <v>8026</v>
      </c>
      <c r="B448" s="9" t="s">
        <v>672</v>
      </c>
      <c r="C448" s="9" t="s">
        <v>802</v>
      </c>
      <c r="D448" s="9"/>
      <c r="E448" s="9" t="s">
        <v>963</v>
      </c>
      <c r="F448" s="9">
        <v>2019</v>
      </c>
      <c r="G448" s="9">
        <v>2024</v>
      </c>
      <c r="H448" s="72">
        <v>0</v>
      </c>
      <c r="I448" s="72">
        <v>42.87</v>
      </c>
      <c r="J448" s="73">
        <v>1</v>
      </c>
      <c r="K448" s="72">
        <v>42.87</v>
      </c>
      <c r="L448" s="54"/>
      <c r="M448" s="54"/>
      <c r="N448" s="72">
        <v>12</v>
      </c>
      <c r="O448" s="72">
        <v>184</v>
      </c>
      <c r="P448" s="54"/>
      <c r="Q448" s="65">
        <v>35518</v>
      </c>
      <c r="R448" s="54" t="s">
        <v>676</v>
      </c>
      <c r="S448" s="9">
        <v>2019</v>
      </c>
      <c r="T448" s="61">
        <v>0.23799999999999999</v>
      </c>
      <c r="U448" s="74">
        <f>T448*Q448</f>
        <v>8453.2839999999997</v>
      </c>
      <c r="V448" s="75">
        <f t="shared" si="21"/>
        <v>197.18413809190577</v>
      </c>
      <c r="W448" s="15">
        <f t="shared" si="8"/>
        <v>0</v>
      </c>
      <c r="X448" s="15">
        <f t="shared" si="9"/>
        <v>0</v>
      </c>
      <c r="Y448" s="15">
        <f t="shared" si="10"/>
        <v>0</v>
      </c>
      <c r="Z448" s="13">
        <f t="shared" si="11"/>
        <v>0</v>
      </c>
      <c r="AA448" s="16">
        <f>VLOOKUP(S448,[1]CPI!$A$2:$D$67,4,0)</f>
        <v>1.0598966584134211</v>
      </c>
      <c r="AB448" s="17">
        <f t="shared" si="22"/>
        <v>8959.6074642196381</v>
      </c>
      <c r="AC448" s="17">
        <f t="shared" si="23"/>
        <v>208.99480905574148</v>
      </c>
      <c r="AD448" s="9" t="s">
        <v>35</v>
      </c>
      <c r="AE448" s="76" t="s">
        <v>964</v>
      </c>
      <c r="AF448" s="9"/>
      <c r="AG448" s="9"/>
      <c r="AH448" s="9"/>
      <c r="AI448" s="9"/>
      <c r="AJ448" s="77"/>
      <c r="AK448" s="77"/>
      <c r="AL448" s="77"/>
      <c r="AM448" s="77"/>
      <c r="AN448" s="77"/>
      <c r="AO448" s="77"/>
      <c r="AP448" s="77"/>
      <c r="AQ448" s="77"/>
    </row>
    <row r="449" spans="1:43" ht="15.75" customHeight="1" x14ac:dyDescent="0.2">
      <c r="A449" s="21">
        <v>8027</v>
      </c>
      <c r="B449" s="54" t="s">
        <v>672</v>
      </c>
      <c r="C449" s="54" t="s">
        <v>863</v>
      </c>
      <c r="D449" s="54" t="s">
        <v>103</v>
      </c>
      <c r="E449" s="54" t="s">
        <v>730</v>
      </c>
      <c r="F449" s="72">
        <v>2021</v>
      </c>
      <c r="G449" s="54"/>
      <c r="H449" s="72">
        <v>0</v>
      </c>
      <c r="I449" s="72">
        <v>6.3049999999999997</v>
      </c>
      <c r="J449" s="73">
        <v>1</v>
      </c>
      <c r="K449" s="72">
        <v>6.3049999999999997</v>
      </c>
      <c r="L449" s="54"/>
      <c r="M449" s="54"/>
      <c r="N449" s="72">
        <v>4</v>
      </c>
      <c r="O449" s="72">
        <v>138</v>
      </c>
      <c r="P449" s="54" t="s">
        <v>73</v>
      </c>
      <c r="Q449" s="65">
        <v>3573</v>
      </c>
      <c r="R449" s="54" t="s">
        <v>676</v>
      </c>
      <c r="S449" s="54">
        <v>2021</v>
      </c>
      <c r="T449" s="61">
        <v>0.23899999999999999</v>
      </c>
      <c r="U449" s="69">
        <f>Q449*T449</f>
        <v>853.947</v>
      </c>
      <c r="V449" s="70">
        <f t="shared" si="21"/>
        <v>135.43965107057892</v>
      </c>
      <c r="W449" s="15">
        <f t="shared" si="8"/>
        <v>0</v>
      </c>
      <c r="X449" s="15">
        <f t="shared" si="9"/>
        <v>0</v>
      </c>
      <c r="Y449" s="15">
        <f t="shared" si="10"/>
        <v>0</v>
      </c>
      <c r="Z449" s="13">
        <f t="shared" si="11"/>
        <v>0</v>
      </c>
      <c r="AA449" s="16">
        <f>VLOOKUP(S449,[1]CPI!$A$2:$D$67,4,0)</f>
        <v>1</v>
      </c>
      <c r="AB449" s="17">
        <f t="shared" si="22"/>
        <v>853.947</v>
      </c>
      <c r="AC449" s="17">
        <f t="shared" si="23"/>
        <v>135.43965107057892</v>
      </c>
      <c r="AD449" s="54" t="s">
        <v>73</v>
      </c>
      <c r="AE449" s="46" t="s">
        <v>965</v>
      </c>
      <c r="AF449" s="54"/>
      <c r="AG449" s="54"/>
      <c r="AH449" s="54"/>
      <c r="AI449" s="54"/>
      <c r="AJ449" s="82"/>
      <c r="AK449" s="82"/>
      <c r="AL449" s="82"/>
      <c r="AM449" s="82"/>
      <c r="AN449" s="82"/>
      <c r="AO449" s="82"/>
      <c r="AP449" s="82"/>
      <c r="AQ449" s="82"/>
    </row>
    <row r="450" spans="1:43" ht="15.75" customHeight="1" x14ac:dyDescent="0.2">
      <c r="A450" s="21">
        <v>8032</v>
      </c>
      <c r="B450" s="19" t="s">
        <v>672</v>
      </c>
      <c r="C450" s="19" t="s">
        <v>889</v>
      </c>
      <c r="D450" s="9" t="s">
        <v>99</v>
      </c>
      <c r="E450" s="19" t="s">
        <v>862</v>
      </c>
      <c r="F450" s="19"/>
      <c r="G450" s="19"/>
      <c r="H450" s="19">
        <v>0</v>
      </c>
      <c r="I450" s="19">
        <v>7</v>
      </c>
      <c r="J450" s="64">
        <v>1</v>
      </c>
      <c r="K450" s="19">
        <v>7</v>
      </c>
      <c r="L450" s="19">
        <v>0</v>
      </c>
      <c r="M450" s="19">
        <v>0</v>
      </c>
      <c r="N450" s="19">
        <v>4</v>
      </c>
      <c r="O450" s="19"/>
      <c r="P450" s="19" t="s">
        <v>35</v>
      </c>
      <c r="Q450" s="78">
        <v>4289</v>
      </c>
      <c r="R450" s="19" t="s">
        <v>676</v>
      </c>
      <c r="S450" s="19">
        <v>2019</v>
      </c>
      <c r="T450" s="61">
        <v>0.23799999999999999</v>
      </c>
      <c r="U450" s="62">
        <f t="shared" ref="U450:U455" si="28">T450*Q450</f>
        <v>1020.7819999999999</v>
      </c>
      <c r="V450" s="14">
        <f t="shared" si="21"/>
        <v>145.82599999999999</v>
      </c>
      <c r="W450" s="15">
        <f t="shared" si="8"/>
        <v>0</v>
      </c>
      <c r="X450" s="15">
        <f t="shared" si="9"/>
        <v>0</v>
      </c>
      <c r="Y450" s="15">
        <f t="shared" si="10"/>
        <v>0</v>
      </c>
      <c r="Z450" s="13">
        <f t="shared" si="11"/>
        <v>0</v>
      </c>
      <c r="AA450" s="16">
        <f>VLOOKUP(S450,[1]CPI!$A$2:$D$67,4,0)</f>
        <v>1.0598966584134211</v>
      </c>
      <c r="AB450" s="17">
        <f t="shared" si="22"/>
        <v>1081.9234307685688</v>
      </c>
      <c r="AC450" s="17">
        <f t="shared" si="23"/>
        <v>154.56049010979552</v>
      </c>
      <c r="AD450" s="19" t="s">
        <v>35</v>
      </c>
      <c r="AE450" s="66" t="s">
        <v>890</v>
      </c>
      <c r="AF450" s="19"/>
      <c r="AG450" s="19"/>
      <c r="AH450" s="19"/>
      <c r="AI450" s="19"/>
      <c r="AJ450" s="20"/>
      <c r="AK450" s="20"/>
      <c r="AL450" s="20"/>
      <c r="AM450" s="20"/>
      <c r="AN450" s="20"/>
      <c r="AO450" s="20"/>
      <c r="AP450" s="20"/>
      <c r="AQ450" s="20"/>
    </row>
    <row r="451" spans="1:43" ht="15.75" customHeight="1" x14ac:dyDescent="0.2">
      <c r="A451" s="21">
        <v>8033</v>
      </c>
      <c r="B451" s="19" t="s">
        <v>672</v>
      </c>
      <c r="C451" s="19" t="s">
        <v>949</v>
      </c>
      <c r="D451" s="9"/>
      <c r="E451" s="19" t="s">
        <v>698</v>
      </c>
      <c r="F451" s="19">
        <v>2012</v>
      </c>
      <c r="G451" s="19">
        <v>2016</v>
      </c>
      <c r="H451" s="19">
        <v>0</v>
      </c>
      <c r="I451" s="19">
        <v>25.1</v>
      </c>
      <c r="J451" s="64"/>
      <c r="K451" s="19"/>
      <c r="L451" s="19" t="e">
        <v>#N/A</v>
      </c>
      <c r="M451" s="19" t="e">
        <v>#N/A</v>
      </c>
      <c r="N451" s="19">
        <v>22</v>
      </c>
      <c r="O451" s="19"/>
      <c r="P451" s="19" t="s">
        <v>35</v>
      </c>
      <c r="Q451" s="78">
        <v>15139</v>
      </c>
      <c r="R451" s="19" t="s">
        <v>676</v>
      </c>
      <c r="S451" s="19">
        <v>2012</v>
      </c>
      <c r="T451" s="61">
        <v>0.28079999999999999</v>
      </c>
      <c r="U451" s="62">
        <f t="shared" si="28"/>
        <v>4251.0312000000004</v>
      </c>
      <c r="V451" s="14">
        <f t="shared" si="21"/>
        <v>169.36379282868526</v>
      </c>
      <c r="W451" s="15">
        <f t="shared" si="8"/>
        <v>0</v>
      </c>
      <c r="X451" s="15">
        <f t="shared" si="9"/>
        <v>0</v>
      </c>
      <c r="Y451" s="15">
        <f t="shared" si="10"/>
        <v>0</v>
      </c>
      <c r="Z451" s="13">
        <f t="shared" si="11"/>
        <v>0</v>
      </c>
      <c r="AA451" s="16">
        <f>VLOOKUP(S451,[1]CPI!$A$2:$D$67,4,0)</f>
        <v>1.1802137686524912</v>
      </c>
      <c r="AB451" s="17">
        <f t="shared" si="22"/>
        <v>5017.1255532113228</v>
      </c>
      <c r="AC451" s="17">
        <f t="shared" si="23"/>
        <v>199.88548020762238</v>
      </c>
      <c r="AD451" s="19" t="s">
        <v>43</v>
      </c>
      <c r="AE451" s="66" t="s">
        <v>966</v>
      </c>
      <c r="AF451" s="27"/>
      <c r="AG451" s="27"/>
      <c r="AH451" s="27"/>
      <c r="AI451" s="27"/>
      <c r="AJ451" s="28"/>
      <c r="AK451" s="28"/>
      <c r="AL451" s="28"/>
      <c r="AM451" s="28"/>
      <c r="AN451" s="28"/>
      <c r="AO451" s="28"/>
      <c r="AP451" s="28"/>
      <c r="AQ451" s="28"/>
    </row>
    <row r="452" spans="1:43" ht="15.75" customHeight="1" x14ac:dyDescent="0.2">
      <c r="A452" s="21">
        <v>8034</v>
      </c>
      <c r="B452" s="19" t="s">
        <v>672</v>
      </c>
      <c r="C452" s="19" t="s">
        <v>889</v>
      </c>
      <c r="D452" s="9"/>
      <c r="E452" s="19" t="s">
        <v>386</v>
      </c>
      <c r="F452" s="19"/>
      <c r="G452" s="19"/>
      <c r="H452" s="19">
        <v>0</v>
      </c>
      <c r="I452" s="19">
        <v>13.8</v>
      </c>
      <c r="J452" s="64">
        <v>1</v>
      </c>
      <c r="K452" s="19">
        <v>13.8</v>
      </c>
      <c r="L452" s="19">
        <v>0</v>
      </c>
      <c r="M452" s="19">
        <v>0</v>
      </c>
      <c r="N452" s="19">
        <v>8</v>
      </c>
      <c r="O452" s="19"/>
      <c r="P452" s="19" t="s">
        <v>35</v>
      </c>
      <c r="Q452" s="78">
        <v>8315</v>
      </c>
      <c r="R452" s="19" t="s">
        <v>676</v>
      </c>
      <c r="S452" s="19">
        <v>2019</v>
      </c>
      <c r="T452" s="61">
        <v>0.23799999999999999</v>
      </c>
      <c r="U452" s="62">
        <f t="shared" si="28"/>
        <v>1978.9699999999998</v>
      </c>
      <c r="V452" s="14">
        <f t="shared" si="21"/>
        <v>143.40362318840579</v>
      </c>
      <c r="W452" s="15">
        <f t="shared" si="8"/>
        <v>0</v>
      </c>
      <c r="X452" s="15">
        <f t="shared" si="9"/>
        <v>0</v>
      </c>
      <c r="Y452" s="15">
        <f t="shared" si="10"/>
        <v>0</v>
      </c>
      <c r="Z452" s="13">
        <f t="shared" si="11"/>
        <v>0</v>
      </c>
      <c r="AA452" s="16">
        <f>VLOOKUP(S452,[1]CPI!$A$2:$D$67,4,0)</f>
        <v>1.0598966584134211</v>
      </c>
      <c r="AB452" s="17">
        <f t="shared" si="22"/>
        <v>2097.5036901004078</v>
      </c>
      <c r="AC452" s="17">
        <f t="shared" si="23"/>
        <v>151.99302102176867</v>
      </c>
      <c r="AD452" s="19" t="s">
        <v>35</v>
      </c>
      <c r="AE452" s="66" t="s">
        <v>890</v>
      </c>
      <c r="AF452" s="19"/>
      <c r="AG452" s="19"/>
      <c r="AH452" s="19"/>
      <c r="AI452" s="19"/>
      <c r="AJ452" s="20"/>
      <c r="AK452" s="20"/>
      <c r="AL452" s="20"/>
      <c r="AM452" s="20"/>
      <c r="AN452" s="20"/>
      <c r="AO452" s="20"/>
      <c r="AP452" s="20"/>
      <c r="AQ452" s="20"/>
    </row>
    <row r="453" spans="1:43" ht="15.75" customHeight="1" x14ac:dyDescent="0.2">
      <c r="A453" s="21">
        <v>8035</v>
      </c>
      <c r="B453" s="19" t="s">
        <v>672</v>
      </c>
      <c r="C453" s="19" t="s">
        <v>900</v>
      </c>
      <c r="D453" s="9"/>
      <c r="E453" s="19" t="s">
        <v>907</v>
      </c>
      <c r="F453" s="19">
        <v>2019</v>
      </c>
      <c r="G453" s="19">
        <v>2025</v>
      </c>
      <c r="H453" s="19">
        <v>0</v>
      </c>
      <c r="I453" s="19">
        <v>38.4</v>
      </c>
      <c r="J453" s="64"/>
      <c r="K453" s="19"/>
      <c r="L453" s="19" t="e">
        <v>#N/A</v>
      </c>
      <c r="M453" s="19" t="e">
        <v>#N/A</v>
      </c>
      <c r="N453" s="19">
        <v>28</v>
      </c>
      <c r="O453" s="19"/>
      <c r="P453" s="19" t="s">
        <v>35</v>
      </c>
      <c r="Q453" s="78">
        <v>23130</v>
      </c>
      <c r="R453" s="19" t="s">
        <v>676</v>
      </c>
      <c r="S453" s="19">
        <v>2019</v>
      </c>
      <c r="T453" s="61">
        <v>0.23799999999999999</v>
      </c>
      <c r="U453" s="62">
        <f t="shared" si="28"/>
        <v>5504.94</v>
      </c>
      <c r="V453" s="14">
        <f t="shared" si="21"/>
        <v>143.35781249999999</v>
      </c>
      <c r="W453" s="15">
        <f t="shared" si="8"/>
        <v>0</v>
      </c>
      <c r="X453" s="15">
        <f t="shared" si="9"/>
        <v>0</v>
      </c>
      <c r="Y453" s="15">
        <f t="shared" si="10"/>
        <v>0</v>
      </c>
      <c r="Z453" s="13">
        <f t="shared" si="11"/>
        <v>0</v>
      </c>
      <c r="AA453" s="16">
        <f>VLOOKUP(S453,[1]CPI!$A$2:$D$67,4,0)</f>
        <v>1.0598966584134211</v>
      </c>
      <c r="AB453" s="17">
        <f t="shared" si="22"/>
        <v>5834.6675107663777</v>
      </c>
      <c r="AC453" s="17">
        <f t="shared" si="23"/>
        <v>151.94446642620775</v>
      </c>
      <c r="AD453" s="19" t="s">
        <v>43</v>
      </c>
      <c r="AE453" s="66" t="s">
        <v>967</v>
      </c>
      <c r="AF453" s="9"/>
      <c r="AG453" s="54"/>
      <c r="AH453" s="54"/>
      <c r="AI453" s="54"/>
      <c r="AJ453" s="87"/>
      <c r="AK453" s="87"/>
      <c r="AL453" s="87"/>
      <c r="AM453" s="87"/>
      <c r="AN453" s="87"/>
      <c r="AO453" s="87"/>
      <c r="AP453" s="87"/>
    </row>
    <row r="454" spans="1:43" ht="15.75" customHeight="1" x14ac:dyDescent="0.2">
      <c r="A454" s="21">
        <v>8040</v>
      </c>
      <c r="B454" s="19" t="s">
        <v>672</v>
      </c>
      <c r="C454" s="19" t="s">
        <v>796</v>
      </c>
      <c r="D454" s="9" t="s">
        <v>103</v>
      </c>
      <c r="E454" s="19" t="s">
        <v>968</v>
      </c>
      <c r="F454" s="19">
        <v>2019</v>
      </c>
      <c r="G454" s="19">
        <v>2022</v>
      </c>
      <c r="H454" s="19">
        <v>0</v>
      </c>
      <c r="I454" s="19">
        <v>9.6</v>
      </c>
      <c r="J454" s="64">
        <v>1</v>
      </c>
      <c r="K454" s="19">
        <v>9.6</v>
      </c>
      <c r="L454" s="19">
        <v>0</v>
      </c>
      <c r="M454" s="19">
        <v>0</v>
      </c>
      <c r="N454" s="19">
        <v>4</v>
      </c>
      <c r="O454" s="19"/>
      <c r="P454" s="19" t="s">
        <v>35</v>
      </c>
      <c r="Q454" s="78">
        <v>5698</v>
      </c>
      <c r="R454" s="19" t="s">
        <v>676</v>
      </c>
      <c r="S454" s="19">
        <v>2017</v>
      </c>
      <c r="T454" s="61">
        <v>0.23899999999999999</v>
      </c>
      <c r="U454" s="62">
        <f t="shared" si="28"/>
        <v>1361.8219999999999</v>
      </c>
      <c r="V454" s="14">
        <f t="shared" si="21"/>
        <v>141.85645833333334</v>
      </c>
      <c r="W454" s="15">
        <f t="shared" si="8"/>
        <v>0</v>
      </c>
      <c r="X454" s="15">
        <f t="shared" si="9"/>
        <v>0</v>
      </c>
      <c r="Y454" s="15">
        <f t="shared" si="10"/>
        <v>0</v>
      </c>
      <c r="Z454" s="13">
        <f t="shared" si="11"/>
        <v>0</v>
      </c>
      <c r="AA454" s="16">
        <f>VLOOKUP(S454,[1]CPI!$A$2:$D$67,4,0)</f>
        <v>1.1054585509138382</v>
      </c>
      <c r="AB454" s="17">
        <f t="shared" si="22"/>
        <v>1505.4377747225849</v>
      </c>
      <c r="AC454" s="17">
        <f t="shared" si="23"/>
        <v>156.81643486693594</v>
      </c>
      <c r="AD454" s="19" t="s">
        <v>35</v>
      </c>
      <c r="AE454" s="66" t="s">
        <v>852</v>
      </c>
      <c r="AF454" s="27"/>
      <c r="AG454" s="27"/>
      <c r="AH454" s="27"/>
      <c r="AI454" s="27"/>
      <c r="AJ454" s="28"/>
      <c r="AK454" s="28"/>
      <c r="AL454" s="28"/>
      <c r="AM454" s="28"/>
      <c r="AN454" s="28"/>
      <c r="AO454" s="28"/>
      <c r="AP454" s="28"/>
      <c r="AQ454" s="28"/>
    </row>
    <row r="455" spans="1:43" ht="15.75" customHeight="1" x14ac:dyDescent="0.2">
      <c r="A455" s="21">
        <v>8041</v>
      </c>
      <c r="B455" s="19" t="s">
        <v>672</v>
      </c>
      <c r="C455" s="19" t="s">
        <v>673</v>
      </c>
      <c r="D455" s="9"/>
      <c r="E455" s="19" t="s">
        <v>969</v>
      </c>
      <c r="F455" s="19">
        <v>2007</v>
      </c>
      <c r="G455" s="19">
        <v>2010</v>
      </c>
      <c r="H455" s="19">
        <v>0</v>
      </c>
      <c r="I455" s="19">
        <v>21.8</v>
      </c>
      <c r="J455" s="64">
        <v>0.8027522936</v>
      </c>
      <c r="K455" s="19">
        <v>17.5</v>
      </c>
      <c r="L455" s="19">
        <v>4.3600000000000003</v>
      </c>
      <c r="M455" s="19">
        <v>0</v>
      </c>
      <c r="N455" s="19">
        <v>11</v>
      </c>
      <c r="O455" s="19"/>
      <c r="P455" s="19" t="s">
        <v>43</v>
      </c>
      <c r="Q455" s="78">
        <v>10930</v>
      </c>
      <c r="R455" s="19" t="s">
        <v>676</v>
      </c>
      <c r="S455" s="19">
        <v>2007</v>
      </c>
      <c r="T455" s="61">
        <v>0.33300000000000002</v>
      </c>
      <c r="U455" s="62">
        <f t="shared" si="28"/>
        <v>3639.69</v>
      </c>
      <c r="V455" s="14">
        <f t="shared" si="21"/>
        <v>166.95825688073396</v>
      </c>
      <c r="W455" s="15">
        <f t="shared" si="8"/>
        <v>0</v>
      </c>
      <c r="X455" s="15">
        <f t="shared" si="9"/>
        <v>0</v>
      </c>
      <c r="Y455" s="15">
        <f t="shared" si="10"/>
        <v>0</v>
      </c>
      <c r="Z455" s="13">
        <f t="shared" si="11"/>
        <v>0</v>
      </c>
      <c r="AA455" s="16">
        <f>VLOOKUP(S455,[1]CPI!$A$2:$D$67,4,0)</f>
        <v>1.3068746322500988</v>
      </c>
      <c r="AB455" s="17">
        <f t="shared" si="22"/>
        <v>4756.6185302543627</v>
      </c>
      <c r="AC455" s="17">
        <f t="shared" si="23"/>
        <v>218.1935105621267</v>
      </c>
      <c r="AD455" s="19" t="s">
        <v>43</v>
      </c>
      <c r="AE455" s="66" t="s">
        <v>970</v>
      </c>
      <c r="AF455" s="27"/>
      <c r="AG455" s="27"/>
      <c r="AH455" s="27"/>
      <c r="AI455" s="27"/>
      <c r="AJ455" s="28"/>
      <c r="AK455" s="28"/>
      <c r="AL455" s="28"/>
      <c r="AM455" s="28"/>
      <c r="AN455" s="28"/>
      <c r="AO455" s="28"/>
      <c r="AP455" s="28"/>
      <c r="AQ455" s="28"/>
    </row>
    <row r="456" spans="1:43" ht="15.75" customHeight="1" x14ac:dyDescent="0.2">
      <c r="A456" s="7">
        <v>8042</v>
      </c>
      <c r="B456" s="57" t="s">
        <v>672</v>
      </c>
      <c r="C456" s="57" t="s">
        <v>695</v>
      </c>
      <c r="D456" s="9" t="s">
        <v>287</v>
      </c>
      <c r="E456" s="57" t="s">
        <v>849</v>
      </c>
      <c r="F456" s="58">
        <v>2015</v>
      </c>
      <c r="G456" s="58">
        <v>2020</v>
      </c>
      <c r="H456" s="58">
        <v>0</v>
      </c>
      <c r="I456" s="58">
        <f>6.32+0.6+3.17</f>
        <v>10.09</v>
      </c>
      <c r="J456" s="59">
        <f>K456/I456</f>
        <v>0.31417244796828542</v>
      </c>
      <c r="K456" s="58">
        <v>3.17</v>
      </c>
      <c r="L456" s="58">
        <v>6.53</v>
      </c>
      <c r="M456" s="58">
        <v>0.43209999999999998</v>
      </c>
      <c r="N456" s="58">
        <v>6</v>
      </c>
      <c r="O456" s="57"/>
      <c r="P456" s="57" t="s">
        <v>43</v>
      </c>
      <c r="Q456" s="60"/>
      <c r="R456" s="57" t="s">
        <v>676</v>
      </c>
      <c r="S456" s="58">
        <v>2012</v>
      </c>
      <c r="T456" s="61">
        <v>0.28079999999999999</v>
      </c>
      <c r="U456" s="69"/>
      <c r="V456" s="70"/>
      <c r="W456" s="15">
        <f t="shared" si="8"/>
        <v>0</v>
      </c>
      <c r="X456" s="15">
        <f t="shared" si="9"/>
        <v>0</v>
      </c>
      <c r="Y456" s="15">
        <f t="shared" si="10"/>
        <v>0</v>
      </c>
      <c r="Z456" s="13">
        <f t="shared" si="11"/>
        <v>0</v>
      </c>
      <c r="AA456" s="16">
        <f>VLOOKUP(S456,[1]CPI!$A$2:$D$67,4,0)</f>
        <v>1.1802137686524912</v>
      </c>
      <c r="AB456" s="17"/>
      <c r="AC456" s="17"/>
      <c r="AD456" s="57" t="s">
        <v>43</v>
      </c>
      <c r="AE456" s="63" t="s">
        <v>971</v>
      </c>
      <c r="AF456" s="27"/>
      <c r="AG456" s="27"/>
      <c r="AH456" s="27"/>
      <c r="AI456" s="27"/>
      <c r="AJ456" s="28"/>
      <c r="AK456" s="28"/>
      <c r="AL456" s="28"/>
      <c r="AM456" s="28"/>
      <c r="AN456" s="28"/>
      <c r="AO456" s="28"/>
      <c r="AP456" s="28"/>
      <c r="AQ456" s="28"/>
    </row>
    <row r="457" spans="1:43" ht="15.75" customHeight="1" x14ac:dyDescent="0.2">
      <c r="A457" s="21">
        <v>8043</v>
      </c>
      <c r="B457" s="19" t="s">
        <v>672</v>
      </c>
      <c r="C457" s="19" t="s">
        <v>695</v>
      </c>
      <c r="D457" s="9"/>
      <c r="E457" s="19" t="s">
        <v>972</v>
      </c>
      <c r="F457" s="19"/>
      <c r="G457" s="19"/>
      <c r="H457" s="19">
        <v>0</v>
      </c>
      <c r="I457" s="19">
        <v>44.6</v>
      </c>
      <c r="J457" s="64">
        <v>0.59</v>
      </c>
      <c r="K457" s="19">
        <v>26.1</v>
      </c>
      <c r="L457" s="19">
        <v>0</v>
      </c>
      <c r="M457" s="19">
        <v>0</v>
      </c>
      <c r="N457" s="19">
        <v>8</v>
      </c>
      <c r="O457" s="19"/>
      <c r="P457" s="19" t="s">
        <v>35</v>
      </c>
      <c r="Q457" s="78">
        <v>26426</v>
      </c>
      <c r="R457" s="19" t="s">
        <v>676</v>
      </c>
      <c r="S457" s="19">
        <v>2018</v>
      </c>
      <c r="T457" s="61">
        <v>0.23699999999999999</v>
      </c>
      <c r="U457" s="62">
        <f>T457*Q457</f>
        <v>6262.9619999999995</v>
      </c>
      <c r="V457" s="14">
        <f t="shared" ref="V457:V505" si="29">U457/I457</f>
        <v>140.42515695067263</v>
      </c>
      <c r="W457" s="15">
        <f t="shared" si="8"/>
        <v>0</v>
      </c>
      <c r="X457" s="15">
        <f t="shared" si="9"/>
        <v>0</v>
      </c>
      <c r="Y457" s="15">
        <f t="shared" si="10"/>
        <v>0</v>
      </c>
      <c r="Z457" s="13">
        <f t="shared" si="11"/>
        <v>0</v>
      </c>
      <c r="AA457" s="16">
        <f>VLOOKUP(S457,[1]CPI!$A$2:$D$67,4,0)</f>
        <v>1.0791017375063221</v>
      </c>
      <c r="AB457" s="17">
        <f t="shared" ref="AB457:AB505" si="30">U457*AA457</f>
        <v>6758.3731761360696</v>
      </c>
      <c r="AC457" s="17">
        <f t="shared" ref="AC457:AC505" si="31">V457*AA457</f>
        <v>151.53303085506883</v>
      </c>
      <c r="AD457" s="19" t="s">
        <v>35</v>
      </c>
      <c r="AE457" s="66" t="s">
        <v>779</v>
      </c>
      <c r="AF457" s="27"/>
      <c r="AG457" s="27"/>
      <c r="AH457" s="27"/>
      <c r="AI457" s="27"/>
      <c r="AJ457" s="28"/>
      <c r="AK457" s="28"/>
      <c r="AL457" s="28"/>
      <c r="AM457" s="28"/>
      <c r="AN457" s="28"/>
      <c r="AO457" s="28"/>
      <c r="AP457" s="28"/>
      <c r="AQ457" s="28"/>
    </row>
    <row r="458" spans="1:43" ht="15.75" customHeight="1" x14ac:dyDescent="0.2">
      <c r="A458" s="21">
        <v>8048</v>
      </c>
      <c r="B458" s="54" t="s">
        <v>672</v>
      </c>
      <c r="C458" s="54" t="s">
        <v>889</v>
      </c>
      <c r="D458" s="54"/>
      <c r="E458" s="54" t="s">
        <v>973</v>
      </c>
      <c r="F458" s="72">
        <v>2019</v>
      </c>
      <c r="G458" s="72">
        <v>2024</v>
      </c>
      <c r="H458" s="72">
        <v>0</v>
      </c>
      <c r="I458" s="72">
        <v>15.03</v>
      </c>
      <c r="J458" s="73">
        <v>1</v>
      </c>
      <c r="K458" s="72">
        <v>15.03</v>
      </c>
      <c r="L458" s="54"/>
      <c r="M458" s="54"/>
      <c r="N458" s="72">
        <v>9</v>
      </c>
      <c r="O458" s="72">
        <v>117</v>
      </c>
      <c r="P458" s="54"/>
      <c r="Q458" s="65">
        <v>10631</v>
      </c>
      <c r="R458" s="54" t="s">
        <v>676</v>
      </c>
      <c r="S458" s="54">
        <v>2021</v>
      </c>
      <c r="T458" s="61">
        <v>0.23899999999999999</v>
      </c>
      <c r="U458" s="69">
        <f>Q458*T458</f>
        <v>2540.8089999999997</v>
      </c>
      <c r="V458" s="70">
        <f t="shared" si="29"/>
        <v>169.04916833000664</v>
      </c>
      <c r="W458" s="15">
        <f t="shared" si="8"/>
        <v>0</v>
      </c>
      <c r="X458" s="15">
        <f t="shared" si="9"/>
        <v>0</v>
      </c>
      <c r="Y458" s="15">
        <f t="shared" si="10"/>
        <v>0</v>
      </c>
      <c r="Z458" s="13">
        <f t="shared" si="11"/>
        <v>0</v>
      </c>
      <c r="AA458" s="16">
        <f>VLOOKUP(S458,[1]CPI!$A$2:$D$67,4,0)</f>
        <v>1</v>
      </c>
      <c r="AB458" s="17">
        <f t="shared" si="30"/>
        <v>2540.8089999999997</v>
      </c>
      <c r="AC458" s="17">
        <f t="shared" si="31"/>
        <v>169.04916833000664</v>
      </c>
      <c r="AD458" s="54" t="s">
        <v>73</v>
      </c>
      <c r="AE458" s="46" t="s">
        <v>974</v>
      </c>
      <c r="AF458" s="54"/>
      <c r="AG458" s="54"/>
      <c r="AH458" s="54"/>
      <c r="AI458" s="54"/>
      <c r="AJ458" s="82"/>
      <c r="AK458" s="82"/>
      <c r="AL458" s="82"/>
      <c r="AM458" s="82"/>
      <c r="AN458" s="82"/>
      <c r="AO458" s="82"/>
      <c r="AP458" s="82"/>
      <c r="AQ458" s="82"/>
    </row>
    <row r="459" spans="1:43" ht="15.75" customHeight="1" x14ac:dyDescent="0.2">
      <c r="A459" s="21">
        <v>8049</v>
      </c>
      <c r="B459" s="19" t="s">
        <v>672</v>
      </c>
      <c r="C459" s="19" t="s">
        <v>759</v>
      </c>
      <c r="D459" s="9"/>
      <c r="E459" s="19" t="s">
        <v>975</v>
      </c>
      <c r="F459" s="19"/>
      <c r="G459" s="19"/>
      <c r="H459" s="19">
        <v>0</v>
      </c>
      <c r="I459" s="19">
        <v>30.2</v>
      </c>
      <c r="J459" s="64">
        <v>0.84105960260000001</v>
      </c>
      <c r="K459" s="19">
        <v>25.4</v>
      </c>
      <c r="L459" s="19">
        <v>0</v>
      </c>
      <c r="M459" s="19">
        <v>0</v>
      </c>
      <c r="N459" s="19">
        <v>11</v>
      </c>
      <c r="O459" s="19"/>
      <c r="P459" s="19" t="s">
        <v>35</v>
      </c>
      <c r="Q459" s="78">
        <v>17681</v>
      </c>
      <c r="R459" s="19" t="s">
        <v>676</v>
      </c>
      <c r="S459" s="19">
        <v>2018</v>
      </c>
      <c r="T459" s="61">
        <v>0.23699999999999999</v>
      </c>
      <c r="U459" s="62">
        <f t="shared" ref="U459:U460" si="32">T459*Q459</f>
        <v>4190.3969999999999</v>
      </c>
      <c r="V459" s="14">
        <f t="shared" si="29"/>
        <v>138.75486754966889</v>
      </c>
      <c r="W459" s="15">
        <f t="shared" si="8"/>
        <v>0</v>
      </c>
      <c r="X459" s="15">
        <f t="shared" si="9"/>
        <v>0</v>
      </c>
      <c r="Y459" s="15">
        <f t="shared" si="10"/>
        <v>0</v>
      </c>
      <c r="Z459" s="13">
        <f t="shared" si="11"/>
        <v>0</v>
      </c>
      <c r="AA459" s="16">
        <f>VLOOKUP(S459,[1]CPI!$A$2:$D$67,4,0)</f>
        <v>1.0791017375063221</v>
      </c>
      <c r="AB459" s="17">
        <f t="shared" si="30"/>
        <v>4521.8646835412792</v>
      </c>
      <c r="AC459" s="17">
        <f t="shared" si="31"/>
        <v>149.7306186603073</v>
      </c>
      <c r="AD459" s="19" t="s">
        <v>35</v>
      </c>
      <c r="AE459" s="66" t="s">
        <v>783</v>
      </c>
      <c r="AF459" s="19"/>
      <c r="AG459" s="19"/>
      <c r="AH459" s="19"/>
      <c r="AI459" s="19"/>
      <c r="AJ459" s="20"/>
      <c r="AK459" s="20"/>
      <c r="AL459" s="20"/>
      <c r="AM459" s="20"/>
      <c r="AN459" s="20"/>
      <c r="AO459" s="20"/>
      <c r="AP459" s="20"/>
      <c r="AQ459" s="20"/>
    </row>
    <row r="460" spans="1:43" ht="15.75" customHeight="1" x14ac:dyDescent="0.2">
      <c r="A460" s="21">
        <v>8050</v>
      </c>
      <c r="B460" s="19" t="s">
        <v>672</v>
      </c>
      <c r="C460" s="19" t="s">
        <v>806</v>
      </c>
      <c r="D460" s="9"/>
      <c r="E460" s="19" t="s">
        <v>976</v>
      </c>
      <c r="F460" s="19">
        <v>2017</v>
      </c>
      <c r="G460" s="19">
        <v>2020</v>
      </c>
      <c r="H460" s="19">
        <v>0</v>
      </c>
      <c r="I460" s="19">
        <v>52.8</v>
      </c>
      <c r="J460" s="64">
        <v>0.3390151515</v>
      </c>
      <c r="K460" s="19">
        <v>17.899999999999999</v>
      </c>
      <c r="L460" s="19">
        <v>0</v>
      </c>
      <c r="M460" s="19">
        <v>0</v>
      </c>
      <c r="N460" s="19">
        <v>5</v>
      </c>
      <c r="O460" s="19"/>
      <c r="P460" s="19" t="s">
        <v>35</v>
      </c>
      <c r="Q460" s="78">
        <v>29975</v>
      </c>
      <c r="R460" s="19" t="s">
        <v>676</v>
      </c>
      <c r="S460" s="19">
        <v>2015</v>
      </c>
      <c r="T460" s="61">
        <v>0.25800000000000001</v>
      </c>
      <c r="U460" s="62">
        <f t="shared" si="32"/>
        <v>7733.55</v>
      </c>
      <c r="V460" s="14">
        <f t="shared" si="29"/>
        <v>146.46875</v>
      </c>
      <c r="W460" s="15">
        <f t="shared" si="8"/>
        <v>0</v>
      </c>
      <c r="X460" s="15">
        <f t="shared" si="9"/>
        <v>0</v>
      </c>
      <c r="Y460" s="15">
        <f t="shared" si="10"/>
        <v>0</v>
      </c>
      <c r="Z460" s="13">
        <f t="shared" si="11"/>
        <v>0</v>
      </c>
      <c r="AA460" s="16">
        <f>VLOOKUP(S460,[1]CPI!$A$2:$D$67,4,0)</f>
        <v>1.143251327963817</v>
      </c>
      <c r="AB460" s="17">
        <f t="shared" si="30"/>
        <v>8841.3913073745771</v>
      </c>
      <c r="AC460" s="17">
        <f t="shared" si="31"/>
        <v>167.45059294270033</v>
      </c>
      <c r="AD460" s="19" t="s">
        <v>43</v>
      </c>
      <c r="AE460" s="66" t="s">
        <v>808</v>
      </c>
      <c r="AF460" s="54"/>
      <c r="AG460" s="54"/>
      <c r="AH460" s="54"/>
      <c r="AI460" s="54"/>
      <c r="AJ460" s="87"/>
      <c r="AK460" s="87"/>
      <c r="AL460" s="87"/>
      <c r="AM460" s="87"/>
      <c r="AN460" s="87"/>
      <c r="AO460" s="87"/>
      <c r="AP460" s="87"/>
    </row>
    <row r="461" spans="1:43" ht="15.75" customHeight="1" x14ac:dyDescent="0.2">
      <c r="A461" s="21">
        <v>8051</v>
      </c>
      <c r="B461" s="54" t="s">
        <v>672</v>
      </c>
      <c r="C461" s="54" t="s">
        <v>775</v>
      </c>
      <c r="D461" s="54" t="s">
        <v>103</v>
      </c>
      <c r="E461" s="54" t="s">
        <v>730</v>
      </c>
      <c r="F461" s="72">
        <v>2013</v>
      </c>
      <c r="G461" s="72">
        <v>2018</v>
      </c>
      <c r="H461" s="72">
        <v>0</v>
      </c>
      <c r="I461" s="72">
        <v>4</v>
      </c>
      <c r="J461" s="90"/>
      <c r="K461" s="54"/>
      <c r="L461" s="54"/>
      <c r="M461" s="54"/>
      <c r="N461" s="72">
        <v>3</v>
      </c>
      <c r="O461" s="72">
        <v>117</v>
      </c>
      <c r="P461" s="54"/>
      <c r="Q461" s="65">
        <v>2493</v>
      </c>
      <c r="R461" s="54" t="s">
        <v>676</v>
      </c>
      <c r="S461" s="54">
        <v>2016</v>
      </c>
      <c r="T461" s="61">
        <v>0.251</v>
      </c>
      <c r="U461" s="69">
        <f>Q461*T461</f>
        <v>625.74300000000005</v>
      </c>
      <c r="V461" s="70">
        <f t="shared" si="29"/>
        <v>156.43575000000001</v>
      </c>
      <c r="W461" s="15">
        <f t="shared" si="8"/>
        <v>0</v>
      </c>
      <c r="X461" s="15">
        <f t="shared" si="9"/>
        <v>0</v>
      </c>
      <c r="Y461" s="15">
        <f t="shared" si="10"/>
        <v>0</v>
      </c>
      <c r="Z461" s="13">
        <f t="shared" si="11"/>
        <v>0</v>
      </c>
      <c r="AA461" s="16">
        <f>VLOOKUP(S461,[1]CPI!$A$2:$D$67,4,0)</f>
        <v>1.1290087372451638</v>
      </c>
      <c r="AB461" s="17">
        <f t="shared" si="30"/>
        <v>706.46931427000061</v>
      </c>
      <c r="AC461" s="17">
        <f t="shared" si="31"/>
        <v>176.61732856750015</v>
      </c>
      <c r="AD461" s="54"/>
      <c r="AE461" s="46" t="s">
        <v>777</v>
      </c>
      <c r="AF461" s="54"/>
      <c r="AG461" s="54"/>
      <c r="AH461" s="54"/>
      <c r="AI461" s="54"/>
      <c r="AJ461" s="82"/>
      <c r="AK461" s="82"/>
      <c r="AL461" s="82"/>
      <c r="AM461" s="82"/>
      <c r="AN461" s="82"/>
      <c r="AO461" s="82"/>
      <c r="AP461" s="82"/>
      <c r="AQ461" s="82"/>
    </row>
    <row r="462" spans="1:43" ht="15.75" customHeight="1" x14ac:dyDescent="0.2">
      <c r="A462" s="21">
        <v>8056</v>
      </c>
      <c r="B462" s="19" t="s">
        <v>672</v>
      </c>
      <c r="C462" s="19" t="s">
        <v>877</v>
      </c>
      <c r="D462" s="9" t="s">
        <v>99</v>
      </c>
      <c r="E462" s="19" t="s">
        <v>766</v>
      </c>
      <c r="F462" s="19">
        <v>2019</v>
      </c>
      <c r="G462" s="19">
        <v>2025</v>
      </c>
      <c r="H462" s="19">
        <v>0</v>
      </c>
      <c r="I462" s="19">
        <v>9.1</v>
      </c>
      <c r="J462" s="64">
        <v>1</v>
      </c>
      <c r="K462" s="19">
        <v>9.1</v>
      </c>
      <c r="L462" s="19">
        <v>0</v>
      </c>
      <c r="M462" s="19">
        <v>0</v>
      </c>
      <c r="N462" s="19">
        <v>5</v>
      </c>
      <c r="O462" s="19"/>
      <c r="P462" s="19" t="s">
        <v>35</v>
      </c>
      <c r="Q462" s="78">
        <v>5131</v>
      </c>
      <c r="R462" s="19" t="s">
        <v>676</v>
      </c>
      <c r="S462" s="19">
        <v>2018</v>
      </c>
      <c r="T462" s="61">
        <v>0.23699999999999999</v>
      </c>
      <c r="U462" s="62">
        <f t="shared" ref="U462:U467" si="33">T462*Q462</f>
        <v>1216.047</v>
      </c>
      <c r="V462" s="14">
        <f t="shared" si="29"/>
        <v>133.63153846153847</v>
      </c>
      <c r="W462" s="15">
        <f t="shared" si="8"/>
        <v>0</v>
      </c>
      <c r="X462" s="15">
        <f t="shared" si="9"/>
        <v>0</v>
      </c>
      <c r="Y462" s="15">
        <f t="shared" si="10"/>
        <v>0</v>
      </c>
      <c r="Z462" s="13">
        <f t="shared" si="11"/>
        <v>0</v>
      </c>
      <c r="AA462" s="16">
        <f>VLOOKUP(S462,[1]CPI!$A$2:$D$67,4,0)</f>
        <v>1.0791017375063221</v>
      </c>
      <c r="AB462" s="17">
        <f t="shared" si="30"/>
        <v>1312.2384305893504</v>
      </c>
      <c r="AC462" s="17">
        <f t="shared" si="31"/>
        <v>144.20202533948907</v>
      </c>
      <c r="AD462" s="19" t="s">
        <v>35</v>
      </c>
      <c r="AE462" s="66" t="s">
        <v>951</v>
      </c>
      <c r="AF462" s="27"/>
      <c r="AG462" s="27"/>
      <c r="AH462" s="27"/>
      <c r="AI462" s="27"/>
      <c r="AJ462" s="28"/>
      <c r="AK462" s="28"/>
      <c r="AL462" s="28"/>
      <c r="AM462" s="28"/>
      <c r="AN462" s="28"/>
      <c r="AO462" s="28"/>
      <c r="AP462" s="28"/>
      <c r="AQ462" s="28"/>
    </row>
    <row r="463" spans="1:43" ht="15.75" customHeight="1" x14ac:dyDescent="0.2">
      <c r="A463" s="21">
        <v>8057</v>
      </c>
      <c r="B463" s="19" t="s">
        <v>672</v>
      </c>
      <c r="C463" s="19" t="s">
        <v>755</v>
      </c>
      <c r="D463" s="9" t="s">
        <v>119</v>
      </c>
      <c r="E463" s="19" t="s">
        <v>977</v>
      </c>
      <c r="F463" s="19">
        <v>2017</v>
      </c>
      <c r="G463" s="19">
        <v>2020</v>
      </c>
      <c r="H463" s="19">
        <v>0</v>
      </c>
      <c r="I463" s="19">
        <v>3.2</v>
      </c>
      <c r="J463" s="64"/>
      <c r="K463" s="19"/>
      <c r="L463" s="19" t="e">
        <v>#N/A</v>
      </c>
      <c r="M463" s="19" t="e">
        <v>#N/A</v>
      </c>
      <c r="N463" s="19">
        <v>2</v>
      </c>
      <c r="O463" s="19"/>
      <c r="P463" s="19" t="s">
        <v>35</v>
      </c>
      <c r="Q463" s="78">
        <v>1754</v>
      </c>
      <c r="R463" s="19" t="s">
        <v>676</v>
      </c>
      <c r="S463" s="19">
        <v>2016</v>
      </c>
      <c r="T463" s="61">
        <v>0.251</v>
      </c>
      <c r="U463" s="62">
        <f t="shared" si="33"/>
        <v>440.25400000000002</v>
      </c>
      <c r="V463" s="14">
        <f t="shared" si="29"/>
        <v>137.579375</v>
      </c>
      <c r="W463" s="15">
        <f t="shared" si="8"/>
        <v>0</v>
      </c>
      <c r="X463" s="15">
        <f t="shared" si="9"/>
        <v>0</v>
      </c>
      <c r="Y463" s="15">
        <f t="shared" si="10"/>
        <v>0</v>
      </c>
      <c r="Z463" s="13">
        <f t="shared" si="11"/>
        <v>0</v>
      </c>
      <c r="AA463" s="16">
        <f>VLOOKUP(S463,[1]CPI!$A$2:$D$67,4,0)</f>
        <v>1.1290087372451638</v>
      </c>
      <c r="AB463" s="17">
        <f t="shared" si="30"/>
        <v>497.05061260713239</v>
      </c>
      <c r="AC463" s="17">
        <f t="shared" si="31"/>
        <v>155.32831643972887</v>
      </c>
      <c r="AD463" s="19" t="s">
        <v>35</v>
      </c>
      <c r="AE463" s="66" t="s">
        <v>827</v>
      </c>
      <c r="AF463" s="27"/>
      <c r="AG463" s="27"/>
      <c r="AH463" s="27"/>
      <c r="AI463" s="27"/>
      <c r="AJ463" s="28"/>
      <c r="AK463" s="28"/>
      <c r="AL463" s="28"/>
      <c r="AM463" s="28"/>
      <c r="AN463" s="28"/>
      <c r="AO463" s="28"/>
      <c r="AP463" s="28"/>
      <c r="AQ463" s="28"/>
    </row>
    <row r="464" spans="1:43" ht="15.75" customHeight="1" x14ac:dyDescent="0.2">
      <c r="A464" s="21">
        <v>8058</v>
      </c>
      <c r="B464" s="19" t="s">
        <v>672</v>
      </c>
      <c r="C464" s="19" t="s">
        <v>906</v>
      </c>
      <c r="D464" s="9"/>
      <c r="E464" s="19" t="s">
        <v>978</v>
      </c>
      <c r="F464" s="19">
        <v>2016</v>
      </c>
      <c r="G464" s="19">
        <v>2020</v>
      </c>
      <c r="H464" s="19">
        <v>0</v>
      </c>
      <c r="I464" s="19">
        <v>28.5</v>
      </c>
      <c r="J464" s="64">
        <v>0.5298245614</v>
      </c>
      <c r="K464" s="19">
        <v>15.1</v>
      </c>
      <c r="L464" s="19">
        <v>0</v>
      </c>
      <c r="M464" s="19">
        <v>0</v>
      </c>
      <c r="N464" s="19">
        <v>12</v>
      </c>
      <c r="O464" s="19"/>
      <c r="P464" s="19" t="s">
        <v>35</v>
      </c>
      <c r="Q464" s="78">
        <v>15479</v>
      </c>
      <c r="R464" s="19" t="s">
        <v>676</v>
      </c>
      <c r="S464" s="19">
        <v>2016</v>
      </c>
      <c r="T464" s="61">
        <v>0.251</v>
      </c>
      <c r="U464" s="62">
        <f t="shared" si="33"/>
        <v>3885.2289999999998</v>
      </c>
      <c r="V464" s="14">
        <f t="shared" si="29"/>
        <v>136.32382456140351</v>
      </c>
      <c r="W464" s="15">
        <f t="shared" si="8"/>
        <v>0</v>
      </c>
      <c r="X464" s="15">
        <f t="shared" si="9"/>
        <v>0</v>
      </c>
      <c r="Y464" s="15">
        <f t="shared" si="10"/>
        <v>0</v>
      </c>
      <c r="Z464" s="13">
        <f t="shared" si="11"/>
        <v>0</v>
      </c>
      <c r="AA464" s="16">
        <f>VLOOKUP(S464,[1]CPI!$A$2:$D$67,4,0)</f>
        <v>1.1290087372451638</v>
      </c>
      <c r="AB464" s="17">
        <f t="shared" si="30"/>
        <v>4386.4574871982904</v>
      </c>
      <c r="AC464" s="17">
        <f t="shared" si="31"/>
        <v>153.91078902450144</v>
      </c>
      <c r="AD464" s="19" t="s">
        <v>35</v>
      </c>
      <c r="AE464" s="66" t="s">
        <v>932</v>
      </c>
      <c r="AF464" s="27"/>
      <c r="AG464" s="27"/>
      <c r="AH464" s="27"/>
      <c r="AI464" s="27"/>
      <c r="AJ464" s="28"/>
      <c r="AK464" s="28"/>
      <c r="AL464" s="28"/>
      <c r="AM464" s="28"/>
      <c r="AN464" s="28"/>
      <c r="AO464" s="28"/>
      <c r="AP464" s="28"/>
      <c r="AQ464" s="28"/>
    </row>
    <row r="465" spans="1:43" ht="15.75" customHeight="1" x14ac:dyDescent="0.2">
      <c r="A465" s="21">
        <v>8059</v>
      </c>
      <c r="B465" s="19" t="s">
        <v>672</v>
      </c>
      <c r="C465" s="19" t="s">
        <v>872</v>
      </c>
      <c r="D465" s="9" t="s">
        <v>142</v>
      </c>
      <c r="E465" s="19" t="s">
        <v>847</v>
      </c>
      <c r="F465" s="19"/>
      <c r="G465" s="19"/>
      <c r="H465" s="19">
        <v>0</v>
      </c>
      <c r="I465" s="19">
        <v>32.6</v>
      </c>
      <c r="J465" s="64">
        <v>0.63404907980000003</v>
      </c>
      <c r="K465" s="19">
        <v>20.67</v>
      </c>
      <c r="L465" s="19">
        <v>0</v>
      </c>
      <c r="M465" s="19">
        <v>0</v>
      </c>
      <c r="N465" s="19">
        <v>14</v>
      </c>
      <c r="O465" s="19"/>
      <c r="P465" s="19" t="s">
        <v>35</v>
      </c>
      <c r="Q465" s="78">
        <v>18068</v>
      </c>
      <c r="R465" s="19" t="s">
        <v>676</v>
      </c>
      <c r="S465" s="19">
        <v>2018</v>
      </c>
      <c r="T465" s="61">
        <v>0.23699999999999999</v>
      </c>
      <c r="U465" s="62">
        <f t="shared" si="33"/>
        <v>4282.116</v>
      </c>
      <c r="V465" s="14">
        <f t="shared" si="29"/>
        <v>131.35325153374234</v>
      </c>
      <c r="W465" s="15">
        <f t="shared" si="8"/>
        <v>0</v>
      </c>
      <c r="X465" s="15">
        <f t="shared" si="9"/>
        <v>0</v>
      </c>
      <c r="Y465" s="15">
        <f t="shared" si="10"/>
        <v>0</v>
      </c>
      <c r="Z465" s="13">
        <f t="shared" si="11"/>
        <v>0</v>
      </c>
      <c r="AA465" s="16">
        <f>VLOOKUP(S465,[1]CPI!$A$2:$D$67,4,0)</f>
        <v>1.0791017375063221</v>
      </c>
      <c r="AB465" s="17">
        <f t="shared" si="30"/>
        <v>4620.8388158036223</v>
      </c>
      <c r="AC465" s="17">
        <f t="shared" si="31"/>
        <v>141.74352195716634</v>
      </c>
      <c r="AD465" s="19" t="s">
        <v>35</v>
      </c>
      <c r="AE465" s="66" t="s">
        <v>913</v>
      </c>
      <c r="AF465" s="27"/>
      <c r="AG465" s="27"/>
      <c r="AH465" s="27"/>
      <c r="AI465" s="27"/>
      <c r="AJ465" s="28"/>
      <c r="AK465" s="28"/>
      <c r="AL465" s="28"/>
      <c r="AM465" s="28"/>
      <c r="AN465" s="28"/>
      <c r="AO465" s="28"/>
      <c r="AP465" s="28"/>
      <c r="AQ465" s="28"/>
    </row>
    <row r="466" spans="1:43" ht="15.75" customHeight="1" x14ac:dyDescent="0.2">
      <c r="A466" s="21">
        <v>8064</v>
      </c>
      <c r="B466" s="19" t="s">
        <v>672</v>
      </c>
      <c r="C466" s="19" t="s">
        <v>837</v>
      </c>
      <c r="D466" s="9" t="s">
        <v>99</v>
      </c>
      <c r="E466" s="19" t="s">
        <v>979</v>
      </c>
      <c r="F466" s="19">
        <v>2012</v>
      </c>
      <c r="G466" s="19">
        <v>2015</v>
      </c>
      <c r="H466" s="19">
        <v>0</v>
      </c>
      <c r="I466" s="19">
        <v>4.5</v>
      </c>
      <c r="J466" s="64"/>
      <c r="K466" s="19"/>
      <c r="L466" s="19" t="e">
        <v>#N/A</v>
      </c>
      <c r="M466" s="19" t="e">
        <v>#N/A</v>
      </c>
      <c r="N466" s="19">
        <v>4</v>
      </c>
      <c r="O466" s="19"/>
      <c r="P466" s="19" t="s">
        <v>35</v>
      </c>
      <c r="Q466" s="78">
        <v>2466</v>
      </c>
      <c r="R466" s="19" t="s">
        <v>676</v>
      </c>
      <c r="S466" s="19">
        <v>2012</v>
      </c>
      <c r="T466" s="61">
        <v>0.28079999999999999</v>
      </c>
      <c r="U466" s="62">
        <f t="shared" si="33"/>
        <v>692.45280000000002</v>
      </c>
      <c r="V466" s="14">
        <f t="shared" si="29"/>
        <v>153.8784</v>
      </c>
      <c r="W466" s="15">
        <f t="shared" si="8"/>
        <v>0</v>
      </c>
      <c r="X466" s="15">
        <f t="shared" si="9"/>
        <v>0</v>
      </c>
      <c r="Y466" s="15">
        <f t="shared" si="10"/>
        <v>0</v>
      </c>
      <c r="Z466" s="13">
        <f t="shared" si="11"/>
        <v>0</v>
      </c>
      <c r="AA466" s="16">
        <f>VLOOKUP(S466,[1]CPI!$A$2:$D$67,4,0)</f>
        <v>1.1802137686524912</v>
      </c>
      <c r="AB466" s="17">
        <f t="shared" si="30"/>
        <v>817.24232870196977</v>
      </c>
      <c r="AC466" s="17">
        <f t="shared" si="31"/>
        <v>181.60940637821548</v>
      </c>
      <c r="AD466" s="19" t="s">
        <v>35</v>
      </c>
      <c r="AE466" s="66" t="s">
        <v>925</v>
      </c>
      <c r="AF466" s="27"/>
      <c r="AG466" s="27"/>
      <c r="AH466" s="27"/>
      <c r="AI466" s="27"/>
      <c r="AJ466" s="28"/>
      <c r="AK466" s="28"/>
      <c r="AL466" s="28"/>
      <c r="AM466" s="28"/>
      <c r="AN466" s="28"/>
      <c r="AO466" s="28"/>
      <c r="AP466" s="28"/>
      <c r="AQ466" s="28"/>
    </row>
    <row r="467" spans="1:43" ht="15.75" customHeight="1" x14ac:dyDescent="0.2">
      <c r="A467" s="21">
        <v>8065</v>
      </c>
      <c r="B467" s="19" t="s">
        <v>672</v>
      </c>
      <c r="C467" s="19" t="s">
        <v>673</v>
      </c>
      <c r="D467" s="9"/>
      <c r="E467" s="19" t="s">
        <v>119</v>
      </c>
      <c r="F467" s="19">
        <v>2002</v>
      </c>
      <c r="G467" s="19">
        <v>2007</v>
      </c>
      <c r="H467" s="19">
        <v>0</v>
      </c>
      <c r="I467" s="19">
        <v>27.6</v>
      </c>
      <c r="J467" s="64"/>
      <c r="K467" s="19"/>
      <c r="L467" s="19" t="e">
        <v>#N/A</v>
      </c>
      <c r="M467" s="19" t="e">
        <v>#N/A</v>
      </c>
      <c r="N467" s="19">
        <v>23</v>
      </c>
      <c r="O467" s="19"/>
      <c r="P467" s="19" t="s">
        <v>43</v>
      </c>
      <c r="Q467" s="78">
        <v>12000</v>
      </c>
      <c r="R467" s="19" t="s">
        <v>676</v>
      </c>
      <c r="S467" s="19">
        <v>2004</v>
      </c>
      <c r="T467" s="61">
        <v>0.35499999999999998</v>
      </c>
      <c r="U467" s="62">
        <f t="shared" si="33"/>
        <v>4260</v>
      </c>
      <c r="V467" s="14">
        <f t="shared" si="29"/>
        <v>154.3478260869565</v>
      </c>
      <c r="W467" s="15">
        <f t="shared" si="8"/>
        <v>0</v>
      </c>
      <c r="X467" s="15">
        <f t="shared" si="9"/>
        <v>0</v>
      </c>
      <c r="Y467" s="15">
        <f t="shared" si="10"/>
        <v>0</v>
      </c>
      <c r="Z467" s="13">
        <f t="shared" si="11"/>
        <v>0</v>
      </c>
      <c r="AA467" s="16">
        <f>VLOOKUP(S467,[1]CPI!$A$2:$D$67,4,0)</f>
        <v>1.4344626786659609</v>
      </c>
      <c r="AB467" s="17">
        <f t="shared" si="30"/>
        <v>6110.8110111169935</v>
      </c>
      <c r="AC467" s="17">
        <f t="shared" si="31"/>
        <v>221.40619605496349</v>
      </c>
      <c r="AD467" s="19" t="s">
        <v>43</v>
      </c>
      <c r="AE467" s="66" t="s">
        <v>980</v>
      </c>
      <c r="AF467" s="27"/>
      <c r="AG467" s="27"/>
      <c r="AH467" s="27"/>
      <c r="AI467" s="27"/>
      <c r="AJ467" s="28"/>
      <c r="AK467" s="28"/>
      <c r="AL467" s="28"/>
      <c r="AM467" s="28"/>
      <c r="AN467" s="28"/>
      <c r="AO467" s="28"/>
      <c r="AP467" s="28"/>
      <c r="AQ467" s="28"/>
    </row>
    <row r="468" spans="1:43" ht="15.75" customHeight="1" x14ac:dyDescent="0.2">
      <c r="A468" s="21">
        <v>8066</v>
      </c>
      <c r="B468" s="54" t="s">
        <v>672</v>
      </c>
      <c r="C468" s="54" t="s">
        <v>872</v>
      </c>
      <c r="D468" s="54"/>
      <c r="E468" s="54" t="s">
        <v>981</v>
      </c>
      <c r="F468" s="72">
        <v>2012</v>
      </c>
      <c r="G468" s="72">
        <v>2016</v>
      </c>
      <c r="H468" s="72">
        <v>0</v>
      </c>
      <c r="I468" s="72">
        <v>50.93</v>
      </c>
      <c r="J468" s="73">
        <v>0.86</v>
      </c>
      <c r="K468" s="72">
        <v>43.622</v>
      </c>
      <c r="L468" s="54"/>
      <c r="M468" s="54"/>
      <c r="N468" s="72">
        <v>33</v>
      </c>
      <c r="O468" s="72">
        <v>117</v>
      </c>
      <c r="P468" s="54"/>
      <c r="Q468" s="65">
        <v>34163</v>
      </c>
      <c r="R468" s="54" t="s">
        <v>676</v>
      </c>
      <c r="S468" s="54">
        <v>2014</v>
      </c>
      <c r="T468" s="61">
        <v>0.26600000000000001</v>
      </c>
      <c r="U468" s="69">
        <f>Q468*T468</f>
        <v>9087.3580000000002</v>
      </c>
      <c r="V468" s="70">
        <f t="shared" si="29"/>
        <v>178.42839191046534</v>
      </c>
      <c r="W468" s="15">
        <f t="shared" si="8"/>
        <v>0</v>
      </c>
      <c r="X468" s="15">
        <f t="shared" si="9"/>
        <v>0</v>
      </c>
      <c r="Y468" s="15">
        <f t="shared" si="10"/>
        <v>0</v>
      </c>
      <c r="Z468" s="13">
        <f t="shared" si="11"/>
        <v>0</v>
      </c>
      <c r="AA468" s="16">
        <f>VLOOKUP(S468,[1]CPI!$A$2:$D$67,4,0)</f>
        <v>1.1446083400919169</v>
      </c>
      <c r="AB468" s="17">
        <f t="shared" si="30"/>
        <v>10401.465756201002</v>
      </c>
      <c r="AC468" s="17">
        <f t="shared" si="31"/>
        <v>204.23062548990774</v>
      </c>
      <c r="AD468" s="54"/>
      <c r="AE468" s="84" t="s">
        <v>982</v>
      </c>
      <c r="AF468" s="54"/>
      <c r="AG468" s="54"/>
      <c r="AH468" s="54"/>
      <c r="AI468" s="54"/>
      <c r="AJ468" s="82"/>
      <c r="AK468" s="82"/>
      <c r="AL468" s="82"/>
      <c r="AM468" s="82"/>
      <c r="AN468" s="82"/>
      <c r="AO468" s="82"/>
      <c r="AP468" s="82"/>
      <c r="AQ468" s="82"/>
    </row>
    <row r="469" spans="1:43" ht="15.75" customHeight="1" x14ac:dyDescent="0.2">
      <c r="A469" s="21">
        <v>8067</v>
      </c>
      <c r="B469" s="19" t="s">
        <v>672</v>
      </c>
      <c r="C469" s="19" t="s">
        <v>837</v>
      </c>
      <c r="D469" s="9" t="s">
        <v>983</v>
      </c>
      <c r="E469" s="19" t="s">
        <v>984</v>
      </c>
      <c r="F469" s="19">
        <v>2017</v>
      </c>
      <c r="G469" s="19">
        <v>2021</v>
      </c>
      <c r="H469" s="19">
        <v>0</v>
      </c>
      <c r="I469" s="19">
        <v>9.93</v>
      </c>
      <c r="J469" s="64">
        <v>0.54380664649999999</v>
      </c>
      <c r="K469" s="19">
        <v>5.4</v>
      </c>
      <c r="L469" s="19">
        <v>0</v>
      </c>
      <c r="M469" s="19">
        <v>0</v>
      </c>
      <c r="N469" s="19">
        <v>5</v>
      </c>
      <c r="O469" s="19">
        <v>117</v>
      </c>
      <c r="P469" s="19" t="s">
        <v>35</v>
      </c>
      <c r="Q469" s="65">
        <v>6111</v>
      </c>
      <c r="R469" s="19" t="s">
        <v>676</v>
      </c>
      <c r="S469" s="19">
        <v>2017</v>
      </c>
      <c r="T469" s="61">
        <v>0.23899999999999999</v>
      </c>
      <c r="U469" s="62">
        <f>T469*Q469</f>
        <v>1460.529</v>
      </c>
      <c r="V469" s="14">
        <f t="shared" si="29"/>
        <v>147.08247734138973</v>
      </c>
      <c r="W469" s="15">
        <f t="shared" si="8"/>
        <v>0</v>
      </c>
      <c r="X469" s="15">
        <f t="shared" si="9"/>
        <v>0</v>
      </c>
      <c r="Y469" s="15">
        <f t="shared" si="10"/>
        <v>0</v>
      </c>
      <c r="Z469" s="13">
        <f t="shared" si="11"/>
        <v>0</v>
      </c>
      <c r="AA469" s="16">
        <f>VLOOKUP(S469,[1]CPI!$A$2:$D$67,4,0)</f>
        <v>1.1054585509138382</v>
      </c>
      <c r="AB469" s="17">
        <f t="shared" si="30"/>
        <v>1614.554271907637</v>
      </c>
      <c r="AC469" s="17">
        <f t="shared" si="31"/>
        <v>162.59358226663014</v>
      </c>
      <c r="AD469" s="19" t="s">
        <v>35</v>
      </c>
      <c r="AE469" s="66" t="s">
        <v>985</v>
      </c>
      <c r="AF469" s="27"/>
      <c r="AG469" s="27"/>
      <c r="AH469" s="27"/>
      <c r="AI469" s="27"/>
      <c r="AJ469" s="28"/>
      <c r="AK469" s="28"/>
      <c r="AL469" s="28"/>
      <c r="AM469" s="28"/>
      <c r="AN469" s="28"/>
      <c r="AO469" s="28"/>
      <c r="AP469" s="28"/>
      <c r="AQ469" s="28"/>
    </row>
    <row r="470" spans="1:43" ht="15.75" customHeight="1" x14ac:dyDescent="0.2">
      <c r="A470" s="21">
        <v>8072</v>
      </c>
      <c r="B470" s="54" t="s">
        <v>672</v>
      </c>
      <c r="C470" s="54" t="s">
        <v>775</v>
      </c>
      <c r="D470" s="54"/>
      <c r="E470" s="54" t="s">
        <v>119</v>
      </c>
      <c r="F470" s="72">
        <v>2020</v>
      </c>
      <c r="G470" s="54"/>
      <c r="H470" s="72">
        <v>0</v>
      </c>
      <c r="I470" s="72">
        <v>26.45</v>
      </c>
      <c r="J470" s="73">
        <v>1</v>
      </c>
      <c r="K470" s="72">
        <v>26.45</v>
      </c>
      <c r="L470" s="54"/>
      <c r="M470" s="54"/>
      <c r="N470" s="72">
        <v>22</v>
      </c>
      <c r="O470" s="72">
        <v>117</v>
      </c>
      <c r="P470" s="54"/>
      <c r="Q470" s="65">
        <v>22848</v>
      </c>
      <c r="R470" s="54" t="s">
        <v>676</v>
      </c>
      <c r="S470" s="54">
        <v>2020</v>
      </c>
      <c r="T470" s="61">
        <v>0.23899999999999999</v>
      </c>
      <c r="U470" s="69">
        <f>Q470*T470</f>
        <v>5460.6719999999996</v>
      </c>
      <c r="V470" s="70">
        <f t="shared" si="29"/>
        <v>206.45262759924384</v>
      </c>
      <c r="W470" s="15">
        <f t="shared" si="8"/>
        <v>0</v>
      </c>
      <c r="X470" s="15">
        <f t="shared" si="9"/>
        <v>0</v>
      </c>
      <c r="Y470" s="15">
        <f t="shared" si="10"/>
        <v>0</v>
      </c>
      <c r="Z470" s="13">
        <f t="shared" si="11"/>
        <v>0</v>
      </c>
      <c r="AA470" s="16">
        <f>VLOOKUP(S470,[1]CPI!$A$2:$D$67,4,0)</f>
        <v>1.0469802288156225</v>
      </c>
      <c r="AB470" s="17">
        <f t="shared" si="30"/>
        <v>5717.2156200470627</v>
      </c>
      <c r="AC470" s="17">
        <f t="shared" si="31"/>
        <v>216.15181928344282</v>
      </c>
      <c r="AD470" s="54"/>
      <c r="AE470" s="46" t="s">
        <v>777</v>
      </c>
      <c r="AF470" s="54"/>
      <c r="AG470" s="54"/>
      <c r="AH470" s="54"/>
      <c r="AI470" s="54"/>
      <c r="AJ470" s="82"/>
      <c r="AK470" s="82"/>
      <c r="AL470" s="82"/>
      <c r="AM470" s="82"/>
      <c r="AN470" s="82"/>
      <c r="AO470" s="82"/>
      <c r="AP470" s="82"/>
      <c r="AQ470" s="82"/>
    </row>
    <row r="471" spans="1:43" ht="15.75" customHeight="1" x14ac:dyDescent="0.2">
      <c r="A471" s="21">
        <v>8073</v>
      </c>
      <c r="B471" s="19" t="s">
        <v>672</v>
      </c>
      <c r="C471" s="19" t="s">
        <v>845</v>
      </c>
      <c r="D471" s="9" t="s">
        <v>142</v>
      </c>
      <c r="E471" s="19" t="s">
        <v>142</v>
      </c>
      <c r="F471" s="19">
        <v>2017</v>
      </c>
      <c r="G471" s="19">
        <v>2022</v>
      </c>
      <c r="H471" s="19">
        <v>0</v>
      </c>
      <c r="I471" s="19">
        <v>69.599999999999994</v>
      </c>
      <c r="J471" s="64">
        <v>0.44827586209999998</v>
      </c>
      <c r="K471" s="19">
        <v>31.2</v>
      </c>
      <c r="L471" s="19">
        <v>0</v>
      </c>
      <c r="M471" s="19">
        <v>0</v>
      </c>
      <c r="N471" s="19">
        <v>18</v>
      </c>
      <c r="O471" s="19"/>
      <c r="P471" s="19" t="s">
        <v>35</v>
      </c>
      <c r="Q471" s="78">
        <v>36256</v>
      </c>
      <c r="R471" s="19" t="s">
        <v>676</v>
      </c>
      <c r="S471" s="19">
        <v>2016</v>
      </c>
      <c r="T471" s="61">
        <v>0.251</v>
      </c>
      <c r="U471" s="62">
        <f t="shared" ref="U471:U475" si="34">T471*Q471</f>
        <v>9100.2559999999994</v>
      </c>
      <c r="V471" s="14">
        <f t="shared" si="29"/>
        <v>130.75080459770115</v>
      </c>
      <c r="W471" s="15">
        <f t="shared" si="8"/>
        <v>0</v>
      </c>
      <c r="X471" s="15">
        <f t="shared" si="9"/>
        <v>0</v>
      </c>
      <c r="Y471" s="15">
        <f t="shared" si="10"/>
        <v>0</v>
      </c>
      <c r="Z471" s="13">
        <f t="shared" si="11"/>
        <v>0</v>
      </c>
      <c r="AA471" s="16">
        <f>VLOOKUP(S471,[1]CPI!$A$2:$D$67,4,0)</f>
        <v>1.1290087372451638</v>
      </c>
      <c r="AB471" s="17">
        <f t="shared" si="30"/>
        <v>10274.268535167725</v>
      </c>
      <c r="AC471" s="17">
        <f t="shared" si="31"/>
        <v>147.61880079263975</v>
      </c>
      <c r="AD471" s="19" t="s">
        <v>35</v>
      </c>
      <c r="AE471" s="66" t="s">
        <v>846</v>
      </c>
      <c r="AF471" s="19"/>
      <c r="AG471" s="19"/>
      <c r="AH471" s="19"/>
      <c r="AI471" s="19"/>
      <c r="AJ471" s="20"/>
      <c r="AK471" s="20"/>
      <c r="AL471" s="20"/>
      <c r="AM471" s="20"/>
      <c r="AN471" s="20"/>
      <c r="AO471" s="20"/>
      <c r="AP471" s="20"/>
      <c r="AQ471" s="20"/>
    </row>
    <row r="472" spans="1:43" ht="15.75" customHeight="1" x14ac:dyDescent="0.2">
      <c r="A472" s="21">
        <v>8074</v>
      </c>
      <c r="B472" s="19" t="s">
        <v>672</v>
      </c>
      <c r="C472" s="19" t="s">
        <v>872</v>
      </c>
      <c r="D472" s="9" t="s">
        <v>281</v>
      </c>
      <c r="E472" s="19" t="s">
        <v>986</v>
      </c>
      <c r="F472" s="19">
        <v>2016</v>
      </c>
      <c r="G472" s="19">
        <v>2020</v>
      </c>
      <c r="H472" s="19">
        <v>0</v>
      </c>
      <c r="I472" s="19">
        <v>13.99</v>
      </c>
      <c r="J472" s="64">
        <v>0.63831308080000004</v>
      </c>
      <c r="K472" s="19">
        <v>8.93</v>
      </c>
      <c r="L472" s="19">
        <v>0</v>
      </c>
      <c r="M472" s="19">
        <v>0</v>
      </c>
      <c r="N472" s="19">
        <v>7</v>
      </c>
      <c r="O472" s="19">
        <v>117</v>
      </c>
      <c r="P472" s="19" t="s">
        <v>987</v>
      </c>
      <c r="Q472" s="78">
        <v>7474</v>
      </c>
      <c r="R472" s="19" t="s">
        <v>676</v>
      </c>
      <c r="S472" s="19">
        <v>2018</v>
      </c>
      <c r="T472" s="61">
        <v>0.23699999999999999</v>
      </c>
      <c r="U472" s="62">
        <f t="shared" si="34"/>
        <v>1771.338</v>
      </c>
      <c r="V472" s="14">
        <f t="shared" si="29"/>
        <v>126.61458184417441</v>
      </c>
      <c r="W472" s="15">
        <f t="shared" si="8"/>
        <v>0</v>
      </c>
      <c r="X472" s="15">
        <f t="shared" si="9"/>
        <v>0</v>
      </c>
      <c r="Y472" s="15">
        <f t="shared" si="10"/>
        <v>0</v>
      </c>
      <c r="Z472" s="13">
        <f t="shared" si="11"/>
        <v>0</v>
      </c>
      <c r="AA472" s="16">
        <f>VLOOKUP(S472,[1]CPI!$A$2:$D$67,4,0)</f>
        <v>1.0791017375063221</v>
      </c>
      <c r="AB472" s="17">
        <f t="shared" si="30"/>
        <v>1911.4539135109735</v>
      </c>
      <c r="AC472" s="17">
        <f t="shared" si="31"/>
        <v>136.63001526168503</v>
      </c>
      <c r="AD472" s="19" t="s">
        <v>35</v>
      </c>
      <c r="AE472" s="66" t="s">
        <v>913</v>
      </c>
      <c r="AF472" s="27"/>
      <c r="AG472" s="27"/>
      <c r="AH472" s="27"/>
      <c r="AI472" s="27"/>
      <c r="AJ472" s="28"/>
      <c r="AK472" s="28"/>
      <c r="AL472" s="28"/>
      <c r="AM472" s="28"/>
      <c r="AN472" s="28"/>
      <c r="AO472" s="28"/>
      <c r="AP472" s="28"/>
      <c r="AQ472" s="28"/>
    </row>
    <row r="473" spans="1:43" ht="15.75" customHeight="1" x14ac:dyDescent="0.2">
      <c r="A473" s="21">
        <v>8075</v>
      </c>
      <c r="B473" s="19" t="s">
        <v>672</v>
      </c>
      <c r="C473" s="19" t="s">
        <v>759</v>
      </c>
      <c r="D473" s="9" t="s">
        <v>674</v>
      </c>
      <c r="E473" s="19" t="s">
        <v>751</v>
      </c>
      <c r="F473" s="19"/>
      <c r="G473" s="19"/>
      <c r="H473" s="19">
        <v>0</v>
      </c>
      <c r="I473" s="19">
        <v>4.9000000000000004</v>
      </c>
      <c r="J473" s="64">
        <v>1</v>
      </c>
      <c r="K473" s="19">
        <v>4.9000000000000004</v>
      </c>
      <c r="L473" s="19">
        <v>0</v>
      </c>
      <c r="M473" s="19">
        <v>0</v>
      </c>
      <c r="N473" s="19">
        <v>2</v>
      </c>
      <c r="O473" s="19"/>
      <c r="P473" s="19" t="s">
        <v>35</v>
      </c>
      <c r="Q473" s="93">
        <v>2597</v>
      </c>
      <c r="R473" s="19" t="s">
        <v>676</v>
      </c>
      <c r="S473" s="19">
        <v>2018</v>
      </c>
      <c r="T473" s="61">
        <v>0.23699999999999999</v>
      </c>
      <c r="U473" s="62">
        <f t="shared" si="34"/>
        <v>615.48899999999992</v>
      </c>
      <c r="V473" s="14">
        <f t="shared" si="29"/>
        <v>125.60999999999997</v>
      </c>
      <c r="W473" s="15">
        <f t="shared" si="8"/>
        <v>0</v>
      </c>
      <c r="X473" s="15">
        <f t="shared" si="9"/>
        <v>0</v>
      </c>
      <c r="Y473" s="15">
        <f t="shared" si="10"/>
        <v>0</v>
      </c>
      <c r="Z473" s="13">
        <f t="shared" si="11"/>
        <v>0</v>
      </c>
      <c r="AA473" s="16">
        <f>VLOOKUP(S473,[1]CPI!$A$2:$D$67,4,0)</f>
        <v>1.0791017375063221</v>
      </c>
      <c r="AB473" s="17">
        <f t="shared" si="30"/>
        <v>664.17524931602861</v>
      </c>
      <c r="AC473" s="17">
        <f t="shared" si="31"/>
        <v>135.54596924816909</v>
      </c>
      <c r="AD473" s="19" t="s">
        <v>35</v>
      </c>
      <c r="AE473" s="66" t="s">
        <v>783</v>
      </c>
      <c r="AF473" s="19"/>
      <c r="AG473" s="19"/>
      <c r="AH473" s="19"/>
      <c r="AI473" s="19"/>
      <c r="AJ473" s="20"/>
      <c r="AK473" s="20"/>
      <c r="AL473" s="20"/>
      <c r="AM473" s="20"/>
      <c r="AN473" s="20"/>
      <c r="AO473" s="20"/>
      <c r="AP473" s="20"/>
      <c r="AQ473" s="20"/>
    </row>
    <row r="474" spans="1:43" ht="15.75" customHeight="1" x14ac:dyDescent="0.2">
      <c r="A474" s="21">
        <v>8080</v>
      </c>
      <c r="B474" s="19" t="s">
        <v>672</v>
      </c>
      <c r="C474" s="19" t="s">
        <v>757</v>
      </c>
      <c r="D474" s="9"/>
      <c r="E474" s="19" t="s">
        <v>988</v>
      </c>
      <c r="F474" s="19">
        <v>2015</v>
      </c>
      <c r="G474" s="19">
        <v>2017</v>
      </c>
      <c r="H474" s="19">
        <v>0</v>
      </c>
      <c r="I474" s="19">
        <v>6.6</v>
      </c>
      <c r="J474" s="64">
        <v>1</v>
      </c>
      <c r="K474" s="19">
        <v>6.6</v>
      </c>
      <c r="L474" s="19">
        <v>0</v>
      </c>
      <c r="M474" s="19">
        <v>0</v>
      </c>
      <c r="N474" s="19">
        <v>2</v>
      </c>
      <c r="O474" s="19"/>
      <c r="P474" s="19" t="s">
        <v>35</v>
      </c>
      <c r="Q474" s="78">
        <v>3370</v>
      </c>
      <c r="R474" s="19" t="s">
        <v>676</v>
      </c>
      <c r="S474" s="19">
        <v>2015</v>
      </c>
      <c r="T474" s="61">
        <v>0.25800000000000001</v>
      </c>
      <c r="U474" s="62">
        <f t="shared" si="34"/>
        <v>869.46</v>
      </c>
      <c r="V474" s="14">
        <f t="shared" si="29"/>
        <v>131.73636363636365</v>
      </c>
      <c r="W474" s="15">
        <f t="shared" si="8"/>
        <v>0</v>
      </c>
      <c r="X474" s="15">
        <f t="shared" si="9"/>
        <v>0</v>
      </c>
      <c r="Y474" s="15">
        <f t="shared" si="10"/>
        <v>0</v>
      </c>
      <c r="Z474" s="13">
        <f t="shared" si="11"/>
        <v>0</v>
      </c>
      <c r="AA474" s="16">
        <f>VLOOKUP(S474,[1]CPI!$A$2:$D$67,4,0)</f>
        <v>1.143251327963817</v>
      </c>
      <c r="AB474" s="17">
        <f t="shared" si="30"/>
        <v>994.01129961142033</v>
      </c>
      <c r="AC474" s="17">
        <f t="shared" si="31"/>
        <v>150.60777266839705</v>
      </c>
      <c r="AD474" s="19" t="s">
        <v>35</v>
      </c>
      <c r="AE474" s="66" t="s">
        <v>882</v>
      </c>
      <c r="AF474" s="27"/>
      <c r="AG474" s="27"/>
      <c r="AH474" s="27"/>
      <c r="AI474" s="27"/>
      <c r="AJ474" s="28"/>
      <c r="AK474" s="28"/>
      <c r="AL474" s="28"/>
      <c r="AM474" s="28"/>
      <c r="AN474" s="28"/>
      <c r="AO474" s="28"/>
      <c r="AP474" s="28"/>
      <c r="AQ474" s="28"/>
    </row>
    <row r="475" spans="1:43" ht="15.75" customHeight="1" x14ac:dyDescent="0.2">
      <c r="A475" s="21">
        <v>8081</v>
      </c>
      <c r="B475" s="19" t="s">
        <v>672</v>
      </c>
      <c r="C475" s="19" t="s">
        <v>872</v>
      </c>
      <c r="D475" s="9" t="s">
        <v>335</v>
      </c>
      <c r="E475" s="19" t="s">
        <v>718</v>
      </c>
      <c r="F475" s="19">
        <v>2016</v>
      </c>
      <c r="G475" s="19">
        <v>2020</v>
      </c>
      <c r="H475" s="19">
        <v>0</v>
      </c>
      <c r="I475" s="19">
        <v>10.77</v>
      </c>
      <c r="J475" s="64"/>
      <c r="K475" s="19"/>
      <c r="L475" s="19" t="e">
        <v>#N/A</v>
      </c>
      <c r="M475" s="19" t="e">
        <v>#N/A</v>
      </c>
      <c r="N475" s="19">
        <v>5</v>
      </c>
      <c r="O475" s="19"/>
      <c r="P475" s="19" t="s">
        <v>43</v>
      </c>
      <c r="Q475" s="78">
        <v>5613</v>
      </c>
      <c r="R475" s="19" t="s">
        <v>676</v>
      </c>
      <c r="S475" s="19">
        <v>2013</v>
      </c>
      <c r="T475" s="61">
        <v>0.27300000000000002</v>
      </c>
      <c r="U475" s="62">
        <f t="shared" si="34"/>
        <v>1532.3490000000002</v>
      </c>
      <c r="V475" s="14">
        <f t="shared" si="29"/>
        <v>142.27938718662955</v>
      </c>
      <c r="W475" s="15">
        <f t="shared" si="8"/>
        <v>0</v>
      </c>
      <c r="X475" s="15">
        <f t="shared" si="9"/>
        <v>0</v>
      </c>
      <c r="Y475" s="15">
        <f t="shared" si="10"/>
        <v>0</v>
      </c>
      <c r="Z475" s="13">
        <f t="shared" si="11"/>
        <v>0</v>
      </c>
      <c r="AA475" s="16">
        <f>VLOOKUP(S475,[1]CPI!$A$2:$D$67,4,0)</f>
        <v>1.16317603677932</v>
      </c>
      <c r="AB475" s="17">
        <f t="shared" si="30"/>
        <v>1782.3916367827544</v>
      </c>
      <c r="AC475" s="17">
        <f t="shared" si="31"/>
        <v>165.49597370313413</v>
      </c>
      <c r="AD475" s="19" t="s">
        <v>43</v>
      </c>
      <c r="AE475" s="66" t="s">
        <v>989</v>
      </c>
      <c r="AF475" s="27"/>
      <c r="AG475" s="27"/>
      <c r="AH475" s="27"/>
      <c r="AI475" s="27"/>
      <c r="AJ475" s="28"/>
      <c r="AK475" s="28"/>
      <c r="AL475" s="28"/>
      <c r="AM475" s="28"/>
      <c r="AN475" s="28"/>
      <c r="AO475" s="28"/>
      <c r="AP475" s="28"/>
      <c r="AQ475" s="28"/>
    </row>
    <row r="476" spans="1:43" ht="15.75" customHeight="1" x14ac:dyDescent="0.2">
      <c r="A476" s="21">
        <v>8082</v>
      </c>
      <c r="B476" s="54" t="s">
        <v>672</v>
      </c>
      <c r="C476" s="54" t="s">
        <v>872</v>
      </c>
      <c r="D476" s="9" t="s">
        <v>335</v>
      </c>
      <c r="E476" s="54" t="s">
        <v>716</v>
      </c>
      <c r="F476" s="72">
        <v>2021</v>
      </c>
      <c r="G476" s="54"/>
      <c r="H476" s="72">
        <v>0</v>
      </c>
      <c r="I476" s="72">
        <v>32.299999999999997</v>
      </c>
      <c r="J476" s="90"/>
      <c r="K476" s="54"/>
      <c r="L476" s="54"/>
      <c r="M476" s="54"/>
      <c r="N476" s="72">
        <v>26</v>
      </c>
      <c r="O476" s="72">
        <v>117</v>
      </c>
      <c r="P476" s="54"/>
      <c r="Q476" s="65">
        <v>21100</v>
      </c>
      <c r="R476" s="54" t="s">
        <v>676</v>
      </c>
      <c r="S476" s="54">
        <v>2021</v>
      </c>
      <c r="T476" s="61">
        <v>0.23899999999999999</v>
      </c>
      <c r="U476" s="69">
        <f>Q476*T476</f>
        <v>5042.8999999999996</v>
      </c>
      <c r="V476" s="70">
        <f t="shared" si="29"/>
        <v>156.12693498452012</v>
      </c>
      <c r="W476" s="15">
        <f t="shared" si="8"/>
        <v>0</v>
      </c>
      <c r="X476" s="15">
        <f t="shared" si="9"/>
        <v>0</v>
      </c>
      <c r="Y476" s="15">
        <f t="shared" si="10"/>
        <v>0</v>
      </c>
      <c r="Z476" s="13">
        <f t="shared" si="11"/>
        <v>0</v>
      </c>
      <c r="AA476" s="16">
        <f>VLOOKUP(S476,[1]CPI!$A$2:$D$67,4,0)</f>
        <v>1</v>
      </c>
      <c r="AB476" s="17">
        <f t="shared" si="30"/>
        <v>5042.8999999999996</v>
      </c>
      <c r="AC476" s="17">
        <f t="shared" si="31"/>
        <v>156.12693498452012</v>
      </c>
      <c r="AD476" s="54" t="s">
        <v>73</v>
      </c>
      <c r="AE476" s="46" t="s">
        <v>990</v>
      </c>
      <c r="AF476" s="54"/>
      <c r="AG476" s="54"/>
      <c r="AH476" s="54"/>
      <c r="AI476" s="54"/>
      <c r="AJ476" s="82"/>
      <c r="AK476" s="82"/>
      <c r="AL476" s="82"/>
      <c r="AM476" s="82"/>
      <c r="AN476" s="82"/>
      <c r="AO476" s="82"/>
      <c r="AP476" s="82"/>
      <c r="AQ476" s="82"/>
    </row>
    <row r="477" spans="1:43" ht="15.75" customHeight="1" x14ac:dyDescent="0.2">
      <c r="A477" s="21">
        <v>8083</v>
      </c>
      <c r="B477" s="19" t="s">
        <v>672</v>
      </c>
      <c r="C477" s="19" t="s">
        <v>759</v>
      </c>
      <c r="D477" s="9" t="s">
        <v>283</v>
      </c>
      <c r="E477" s="19" t="s">
        <v>713</v>
      </c>
      <c r="F477" s="19"/>
      <c r="G477" s="19"/>
      <c r="H477" s="19">
        <v>0</v>
      </c>
      <c r="I477" s="19">
        <v>33.6</v>
      </c>
      <c r="J477" s="64">
        <v>0.40476190480000002</v>
      </c>
      <c r="K477" s="19">
        <v>13.6</v>
      </c>
      <c r="L477" s="19">
        <v>0</v>
      </c>
      <c r="M477" s="19">
        <v>0</v>
      </c>
      <c r="N477" s="19">
        <v>9</v>
      </c>
      <c r="O477" s="19"/>
      <c r="P477" s="19" t="s">
        <v>35</v>
      </c>
      <c r="Q477" s="78">
        <v>17559</v>
      </c>
      <c r="R477" s="19" t="s">
        <v>676</v>
      </c>
      <c r="S477" s="19">
        <v>2018</v>
      </c>
      <c r="T477" s="61">
        <v>0.23699999999999999</v>
      </c>
      <c r="U477" s="62">
        <f>T477*Q477</f>
        <v>4161.4830000000002</v>
      </c>
      <c r="V477" s="14">
        <f t="shared" si="29"/>
        <v>123.85366071428571</v>
      </c>
      <c r="W477" s="15">
        <f t="shared" si="8"/>
        <v>0</v>
      </c>
      <c r="X477" s="15">
        <f t="shared" si="9"/>
        <v>0</v>
      </c>
      <c r="Y477" s="15">
        <f t="shared" si="10"/>
        <v>0</v>
      </c>
      <c r="Z477" s="13">
        <f t="shared" si="11"/>
        <v>0</v>
      </c>
      <c r="AA477" s="16">
        <f>VLOOKUP(S477,[1]CPI!$A$2:$D$67,4,0)</f>
        <v>1.0791017375063221</v>
      </c>
      <c r="AB477" s="17">
        <f t="shared" si="30"/>
        <v>4490.6635359030224</v>
      </c>
      <c r="AC477" s="17">
        <f t="shared" si="31"/>
        <v>133.65070047330423</v>
      </c>
      <c r="AD477" s="19" t="s">
        <v>35</v>
      </c>
      <c r="AE477" s="66" t="s">
        <v>783</v>
      </c>
      <c r="AF477" s="19"/>
      <c r="AG477" s="19"/>
      <c r="AH477" s="19"/>
      <c r="AI477" s="19"/>
      <c r="AJ477" s="20"/>
      <c r="AK477" s="20"/>
      <c r="AL477" s="20"/>
      <c r="AM477" s="20"/>
      <c r="AN477" s="20"/>
      <c r="AO477" s="20"/>
      <c r="AP477" s="20"/>
      <c r="AQ477" s="20"/>
    </row>
    <row r="478" spans="1:43" ht="15.75" customHeight="1" x14ac:dyDescent="0.2">
      <c r="A478" s="21">
        <v>8088</v>
      </c>
      <c r="B478" s="54" t="s">
        <v>672</v>
      </c>
      <c r="C478" s="54" t="s">
        <v>759</v>
      </c>
      <c r="D478" s="54" t="s">
        <v>99</v>
      </c>
      <c r="E478" s="54" t="s">
        <v>991</v>
      </c>
      <c r="F478" s="72">
        <v>2016</v>
      </c>
      <c r="G478" s="54"/>
      <c r="H478" s="72">
        <v>0</v>
      </c>
      <c r="I478" s="72">
        <v>19.8</v>
      </c>
      <c r="J478" s="73">
        <v>0.69</v>
      </c>
      <c r="K478" s="72">
        <v>13.7</v>
      </c>
      <c r="L478" s="54"/>
      <c r="M478" s="54"/>
      <c r="N478" s="72">
        <v>7</v>
      </c>
      <c r="O478" s="72">
        <v>156</v>
      </c>
      <c r="P478" s="54"/>
      <c r="Q478" s="65">
        <v>9437</v>
      </c>
      <c r="R478" s="54" t="s">
        <v>676</v>
      </c>
      <c r="S478" s="54">
        <v>2016</v>
      </c>
      <c r="T478" s="61">
        <v>0.251</v>
      </c>
      <c r="U478" s="69">
        <f t="shared" ref="U478:U479" si="35">Q478*T478</f>
        <v>2368.6869999999999</v>
      </c>
      <c r="V478" s="70">
        <f t="shared" si="29"/>
        <v>119.63065656565655</v>
      </c>
      <c r="W478" s="15">
        <f t="shared" si="8"/>
        <v>0</v>
      </c>
      <c r="X478" s="15">
        <f t="shared" si="9"/>
        <v>0</v>
      </c>
      <c r="Y478" s="15">
        <f t="shared" si="10"/>
        <v>0</v>
      </c>
      <c r="Z478" s="13">
        <f t="shared" si="11"/>
        <v>0</v>
      </c>
      <c r="AA478" s="16">
        <f>VLOOKUP(S478,[1]CPI!$A$2:$D$67,4,0)</f>
        <v>1.1290087372451638</v>
      </c>
      <c r="AB478" s="17">
        <f t="shared" si="30"/>
        <v>2674.2683187990351</v>
      </c>
      <c r="AC478" s="17">
        <f t="shared" si="31"/>
        <v>135.06405650500176</v>
      </c>
      <c r="AD478" s="54"/>
      <c r="AE478" s="46" t="s">
        <v>992</v>
      </c>
      <c r="AF478" s="54"/>
      <c r="AG478" s="54"/>
      <c r="AH478" s="8"/>
      <c r="AI478" s="54"/>
      <c r="AJ478" s="82"/>
      <c r="AK478" s="82"/>
      <c r="AL478" s="82"/>
      <c r="AM478" s="82"/>
      <c r="AN478" s="82"/>
      <c r="AO478" s="82"/>
      <c r="AP478" s="82"/>
      <c r="AQ478" s="82"/>
    </row>
    <row r="479" spans="1:43" ht="15.75" customHeight="1" x14ac:dyDescent="0.2">
      <c r="A479" s="21">
        <v>8089</v>
      </c>
      <c r="B479" s="54" t="s">
        <v>672</v>
      </c>
      <c r="C479" s="54" t="s">
        <v>889</v>
      </c>
      <c r="D479" s="54"/>
      <c r="E479" s="54" t="s">
        <v>723</v>
      </c>
      <c r="F479" s="72">
        <v>2020</v>
      </c>
      <c r="G479" s="72">
        <v>2026</v>
      </c>
      <c r="H479" s="72">
        <v>0</v>
      </c>
      <c r="I479" s="72">
        <v>34.11</v>
      </c>
      <c r="J479" s="94"/>
      <c r="K479" s="72"/>
      <c r="L479" s="54"/>
      <c r="M479" s="54"/>
      <c r="N479" s="72">
        <v>16</v>
      </c>
      <c r="O479" s="72">
        <v>117</v>
      </c>
      <c r="P479" s="54" t="s">
        <v>73</v>
      </c>
      <c r="Q479" s="65">
        <v>21903</v>
      </c>
      <c r="R479" s="54" t="s">
        <v>676</v>
      </c>
      <c r="S479" s="54">
        <v>2021</v>
      </c>
      <c r="T479" s="61">
        <v>0.23899999999999999</v>
      </c>
      <c r="U479" s="69">
        <f t="shared" si="35"/>
        <v>5234.817</v>
      </c>
      <c r="V479" s="70">
        <f t="shared" si="29"/>
        <v>153.46868953386104</v>
      </c>
      <c r="W479" s="15">
        <f t="shared" si="8"/>
        <v>0</v>
      </c>
      <c r="X479" s="15">
        <f t="shared" si="9"/>
        <v>0</v>
      </c>
      <c r="Y479" s="15">
        <f t="shared" si="10"/>
        <v>0</v>
      </c>
      <c r="Z479" s="13">
        <f t="shared" si="11"/>
        <v>0</v>
      </c>
      <c r="AA479" s="16">
        <f>VLOOKUP(S479,[1]CPI!$A$2:$D$67,4,0)</f>
        <v>1</v>
      </c>
      <c r="AB479" s="17">
        <f t="shared" si="30"/>
        <v>5234.817</v>
      </c>
      <c r="AC479" s="17">
        <f t="shared" si="31"/>
        <v>153.46868953386104</v>
      </c>
      <c r="AD479" s="54" t="s">
        <v>73</v>
      </c>
      <c r="AE479" s="46" t="s">
        <v>993</v>
      </c>
      <c r="AF479" s="54"/>
      <c r="AG479" s="54"/>
      <c r="AH479" s="54"/>
      <c r="AI479" s="54"/>
      <c r="AJ479" s="82"/>
      <c r="AK479" s="82"/>
      <c r="AL479" s="82"/>
      <c r="AM479" s="82"/>
      <c r="AN479" s="82"/>
      <c r="AO479" s="82"/>
      <c r="AP479" s="82"/>
      <c r="AQ479" s="82"/>
    </row>
    <row r="480" spans="1:43" ht="15.75" customHeight="1" x14ac:dyDescent="0.2">
      <c r="A480" s="21">
        <v>8090</v>
      </c>
      <c r="B480" s="19" t="s">
        <v>672</v>
      </c>
      <c r="C480" s="19" t="s">
        <v>872</v>
      </c>
      <c r="D480" s="9" t="s">
        <v>142</v>
      </c>
      <c r="E480" s="19" t="s">
        <v>706</v>
      </c>
      <c r="F480" s="19">
        <v>2013</v>
      </c>
      <c r="G480" s="19">
        <v>2018</v>
      </c>
      <c r="H480" s="19">
        <v>0</v>
      </c>
      <c r="I480" s="19">
        <v>15.77</v>
      </c>
      <c r="J480" s="64">
        <v>0.70069752689999998</v>
      </c>
      <c r="K480" s="19">
        <v>11.05</v>
      </c>
      <c r="L480" s="19">
        <v>4.7309999999999999</v>
      </c>
      <c r="M480" s="19">
        <v>0</v>
      </c>
      <c r="N480" s="19">
        <v>9</v>
      </c>
      <c r="O480" s="19"/>
      <c r="P480" s="19" t="s">
        <v>35</v>
      </c>
      <c r="Q480" s="78">
        <v>8805</v>
      </c>
      <c r="R480" s="19" t="s">
        <v>676</v>
      </c>
      <c r="S480" s="19">
        <v>2013</v>
      </c>
      <c r="T480" s="61">
        <v>0.27300000000000002</v>
      </c>
      <c r="U480" s="62">
        <f t="shared" ref="U480:U483" si="36">T480*Q480</f>
        <v>2403.7650000000003</v>
      </c>
      <c r="V480" s="14">
        <f t="shared" si="29"/>
        <v>152.42644261255552</v>
      </c>
      <c r="W480" s="15">
        <f t="shared" si="8"/>
        <v>0</v>
      </c>
      <c r="X480" s="15">
        <f t="shared" si="9"/>
        <v>0</v>
      </c>
      <c r="Y480" s="15">
        <f t="shared" si="10"/>
        <v>0</v>
      </c>
      <c r="Z480" s="13">
        <f t="shared" si="11"/>
        <v>0</v>
      </c>
      <c r="AA480" s="16">
        <f>VLOOKUP(S480,[1]CPI!$A$2:$D$67,4,0)</f>
        <v>1.16317603677932</v>
      </c>
      <c r="AB480" s="17">
        <f t="shared" si="30"/>
        <v>2796.0018460488427</v>
      </c>
      <c r="AC480" s="17">
        <f t="shared" si="31"/>
        <v>177.2987854184428</v>
      </c>
      <c r="AD480" s="19" t="s">
        <v>35</v>
      </c>
      <c r="AE480" s="66" t="s">
        <v>913</v>
      </c>
      <c r="AF480" s="27"/>
      <c r="AG480" s="27"/>
      <c r="AH480" s="27"/>
      <c r="AI480" s="27"/>
      <c r="AJ480" s="28"/>
      <c r="AK480" s="28"/>
      <c r="AL480" s="28"/>
      <c r="AM480" s="28"/>
      <c r="AN480" s="28"/>
      <c r="AO480" s="28"/>
      <c r="AP480" s="28"/>
      <c r="AQ480" s="28"/>
    </row>
    <row r="481" spans="1:43" ht="15.75" customHeight="1" x14ac:dyDescent="0.2">
      <c r="A481" s="21">
        <v>8091</v>
      </c>
      <c r="B481" s="19" t="s">
        <v>672</v>
      </c>
      <c r="C481" s="19" t="s">
        <v>819</v>
      </c>
      <c r="D481" s="9" t="s">
        <v>92</v>
      </c>
      <c r="E481" s="19" t="s">
        <v>928</v>
      </c>
      <c r="F481" s="19">
        <v>2018</v>
      </c>
      <c r="G481" s="19">
        <v>2021</v>
      </c>
      <c r="H481" s="19">
        <v>0</v>
      </c>
      <c r="I481" s="19">
        <v>4.0999999999999996</v>
      </c>
      <c r="J481" s="64">
        <v>1</v>
      </c>
      <c r="K481" s="19">
        <v>4.0999999999999996</v>
      </c>
      <c r="L481" s="19">
        <v>0</v>
      </c>
      <c r="M481" s="19">
        <v>0</v>
      </c>
      <c r="N481" s="19">
        <v>2</v>
      </c>
      <c r="O481" s="19"/>
      <c r="P481" s="19" t="s">
        <v>35</v>
      </c>
      <c r="Q481" s="78">
        <v>2040</v>
      </c>
      <c r="R481" s="19" t="s">
        <v>676</v>
      </c>
      <c r="S481" s="19">
        <v>2015</v>
      </c>
      <c r="T481" s="61">
        <v>0.25800000000000001</v>
      </c>
      <c r="U481" s="62">
        <f t="shared" si="36"/>
        <v>526.32000000000005</v>
      </c>
      <c r="V481" s="14">
        <f t="shared" si="29"/>
        <v>128.37073170731711</v>
      </c>
      <c r="W481" s="15">
        <f t="shared" si="8"/>
        <v>0</v>
      </c>
      <c r="X481" s="15">
        <f t="shared" si="9"/>
        <v>0</v>
      </c>
      <c r="Y481" s="15">
        <f t="shared" si="10"/>
        <v>0</v>
      </c>
      <c r="Z481" s="13">
        <f t="shared" si="11"/>
        <v>0</v>
      </c>
      <c r="AA481" s="16">
        <f>VLOOKUP(S481,[1]CPI!$A$2:$D$67,4,0)</f>
        <v>1.143251327963817</v>
      </c>
      <c r="AB481" s="17">
        <f t="shared" si="30"/>
        <v>601.71603893391625</v>
      </c>
      <c r="AC481" s="17">
        <f t="shared" si="31"/>
        <v>146.76000949607715</v>
      </c>
      <c r="AD481" s="19" t="s">
        <v>35</v>
      </c>
      <c r="AE481" s="66" t="s">
        <v>888</v>
      </c>
      <c r="AF481" s="27"/>
      <c r="AG481" s="27"/>
      <c r="AH481" s="27"/>
      <c r="AI481" s="27"/>
      <c r="AJ481" s="28"/>
      <c r="AK481" s="28"/>
      <c r="AL481" s="28"/>
      <c r="AM481" s="28"/>
      <c r="AN481" s="28"/>
      <c r="AO481" s="28"/>
      <c r="AP481" s="28"/>
      <c r="AQ481" s="28"/>
    </row>
    <row r="482" spans="1:43" ht="15.75" customHeight="1" x14ac:dyDescent="0.2">
      <c r="A482" s="21">
        <v>8096</v>
      </c>
      <c r="B482" s="19" t="s">
        <v>672</v>
      </c>
      <c r="C482" s="19" t="s">
        <v>837</v>
      </c>
      <c r="D482" s="9" t="s">
        <v>281</v>
      </c>
      <c r="E482" s="19" t="s">
        <v>994</v>
      </c>
      <c r="F482" s="19">
        <v>2018</v>
      </c>
      <c r="G482" s="19">
        <v>2022</v>
      </c>
      <c r="H482" s="19">
        <v>0</v>
      </c>
      <c r="I482" s="19">
        <v>12.15</v>
      </c>
      <c r="J482" s="64">
        <v>1</v>
      </c>
      <c r="K482" s="19">
        <v>12.15</v>
      </c>
      <c r="L482" s="19">
        <v>0</v>
      </c>
      <c r="M482" s="19">
        <v>0</v>
      </c>
      <c r="N482" s="19">
        <v>5</v>
      </c>
      <c r="O482" s="19"/>
      <c r="P482" s="19" t="s">
        <v>35</v>
      </c>
      <c r="Q482" s="78">
        <v>6140</v>
      </c>
      <c r="R482" s="19" t="s">
        <v>676</v>
      </c>
      <c r="S482" s="19">
        <v>2017</v>
      </c>
      <c r="T482" s="61">
        <v>0.23899999999999999</v>
      </c>
      <c r="U482" s="62">
        <f t="shared" si="36"/>
        <v>1467.46</v>
      </c>
      <c r="V482" s="14">
        <f t="shared" si="29"/>
        <v>120.77860082304527</v>
      </c>
      <c r="W482" s="15">
        <f t="shared" si="8"/>
        <v>0</v>
      </c>
      <c r="X482" s="15">
        <f t="shared" si="9"/>
        <v>0</v>
      </c>
      <c r="Y482" s="15">
        <f t="shared" si="10"/>
        <v>0</v>
      </c>
      <c r="Z482" s="13">
        <f t="shared" si="11"/>
        <v>0</v>
      </c>
      <c r="AA482" s="16">
        <f>VLOOKUP(S482,[1]CPI!$A$2:$D$67,4,0)</f>
        <v>1.1054585509138382</v>
      </c>
      <c r="AB482" s="17">
        <f t="shared" si="30"/>
        <v>1622.2162051240209</v>
      </c>
      <c r="AC482" s="17">
        <f t="shared" si="31"/>
        <v>133.51573704724453</v>
      </c>
      <c r="AD482" s="19" t="s">
        <v>35</v>
      </c>
      <c r="AE482" s="66" t="s">
        <v>839</v>
      </c>
      <c r="AF482" s="27"/>
      <c r="AG482" s="27"/>
      <c r="AH482" s="27"/>
      <c r="AI482" s="27"/>
      <c r="AJ482" s="28"/>
      <c r="AK482" s="28"/>
      <c r="AL482" s="28"/>
      <c r="AM482" s="28"/>
      <c r="AN482" s="28"/>
      <c r="AO482" s="28"/>
      <c r="AP482" s="28"/>
      <c r="AQ482" s="28"/>
    </row>
    <row r="483" spans="1:43" ht="15.75" customHeight="1" x14ac:dyDescent="0.2">
      <c r="A483" s="21">
        <v>8097</v>
      </c>
      <c r="B483" s="19" t="s">
        <v>672</v>
      </c>
      <c r="C483" s="19" t="s">
        <v>877</v>
      </c>
      <c r="D483" s="9"/>
      <c r="E483" s="19" t="s">
        <v>770</v>
      </c>
      <c r="F483" s="19"/>
      <c r="G483" s="19"/>
      <c r="H483" s="19">
        <v>0</v>
      </c>
      <c r="I483" s="19">
        <v>4</v>
      </c>
      <c r="J483" s="64">
        <v>0</v>
      </c>
      <c r="K483" s="19">
        <v>0</v>
      </c>
      <c r="L483" s="19">
        <v>0</v>
      </c>
      <c r="M483" s="19">
        <v>0</v>
      </c>
      <c r="N483" s="19">
        <v>6</v>
      </c>
      <c r="O483" s="19"/>
      <c r="P483" s="19" t="s">
        <v>35</v>
      </c>
      <c r="Q483" s="78">
        <v>2013</v>
      </c>
      <c r="R483" s="19" t="s">
        <v>676</v>
      </c>
      <c r="S483" s="19">
        <v>2018</v>
      </c>
      <c r="T483" s="61">
        <v>0.23699999999999999</v>
      </c>
      <c r="U483" s="62">
        <f t="shared" si="36"/>
        <v>477.08099999999996</v>
      </c>
      <c r="V483" s="14">
        <f t="shared" si="29"/>
        <v>119.27024999999999</v>
      </c>
      <c r="W483" s="15">
        <f t="shared" si="8"/>
        <v>0</v>
      </c>
      <c r="X483" s="15">
        <f t="shared" si="9"/>
        <v>0</v>
      </c>
      <c r="Y483" s="15">
        <f t="shared" si="10"/>
        <v>0</v>
      </c>
      <c r="Z483" s="13">
        <f t="shared" si="11"/>
        <v>0</v>
      </c>
      <c r="AA483" s="16">
        <f>VLOOKUP(S483,[1]CPI!$A$2:$D$67,4,0)</f>
        <v>1.0791017375063221</v>
      </c>
      <c r="AB483" s="17">
        <f t="shared" si="30"/>
        <v>514.81893603125366</v>
      </c>
      <c r="AC483" s="17">
        <f t="shared" si="31"/>
        <v>128.70473400781341</v>
      </c>
      <c r="AD483" s="19" t="s">
        <v>35</v>
      </c>
      <c r="AE483" s="66" t="s">
        <v>951</v>
      </c>
      <c r="AF483" s="27"/>
      <c r="AG483" s="27"/>
      <c r="AH483" s="27"/>
      <c r="AI483" s="27"/>
      <c r="AJ483" s="28"/>
      <c r="AK483" s="28"/>
      <c r="AL483" s="28"/>
      <c r="AM483" s="28"/>
      <c r="AN483" s="28"/>
      <c r="AO483" s="28"/>
      <c r="AP483" s="28"/>
      <c r="AQ483" s="28"/>
    </row>
    <row r="484" spans="1:43" ht="15.75" customHeight="1" x14ac:dyDescent="0.2">
      <c r="A484" s="21">
        <v>8098</v>
      </c>
      <c r="B484" s="54" t="s">
        <v>672</v>
      </c>
      <c r="C484" s="54" t="s">
        <v>775</v>
      </c>
      <c r="D484" s="54"/>
      <c r="E484" s="54" t="s">
        <v>142</v>
      </c>
      <c r="F484" s="72">
        <v>2020</v>
      </c>
      <c r="G484" s="54"/>
      <c r="H484" s="72">
        <v>0</v>
      </c>
      <c r="I484" s="72">
        <v>43.5</v>
      </c>
      <c r="J484" s="73">
        <v>1</v>
      </c>
      <c r="K484" s="72">
        <v>43.5</v>
      </c>
      <c r="L484" s="54"/>
      <c r="M484" s="54"/>
      <c r="N484" s="72">
        <v>26</v>
      </c>
      <c r="O484" s="72">
        <v>117</v>
      </c>
      <c r="P484" s="54"/>
      <c r="Q484" s="65">
        <v>30302</v>
      </c>
      <c r="R484" s="54" t="s">
        <v>676</v>
      </c>
      <c r="S484" s="54">
        <v>2020</v>
      </c>
      <c r="T484" s="61">
        <v>0.23899999999999999</v>
      </c>
      <c r="U484" s="69">
        <f>Q484*T484</f>
        <v>7242.1779999999999</v>
      </c>
      <c r="V484" s="70">
        <f t="shared" si="29"/>
        <v>166.48685057471263</v>
      </c>
      <c r="W484" s="15">
        <f t="shared" si="8"/>
        <v>0</v>
      </c>
      <c r="X484" s="15">
        <f t="shared" si="9"/>
        <v>0</v>
      </c>
      <c r="Y484" s="15">
        <f t="shared" si="10"/>
        <v>0</v>
      </c>
      <c r="Z484" s="13">
        <f t="shared" si="11"/>
        <v>0</v>
      </c>
      <c r="AA484" s="16">
        <f>VLOOKUP(S484,[1]CPI!$A$2:$D$67,4,0)</f>
        <v>1.0469802288156225</v>
      </c>
      <c r="AB484" s="17">
        <f t="shared" si="30"/>
        <v>7582.4171795634666</v>
      </c>
      <c r="AC484" s="17">
        <f t="shared" si="31"/>
        <v>174.30844090950498</v>
      </c>
      <c r="AD484" s="54"/>
      <c r="AE484" s="46" t="s">
        <v>777</v>
      </c>
      <c r="AF484" s="54"/>
      <c r="AG484" s="54"/>
      <c r="AH484" s="54"/>
      <c r="AI484" s="54"/>
      <c r="AJ484" s="82"/>
      <c r="AK484" s="82"/>
      <c r="AL484" s="82"/>
      <c r="AM484" s="82"/>
      <c r="AN484" s="82"/>
      <c r="AO484" s="82"/>
      <c r="AP484" s="82"/>
      <c r="AQ484" s="82"/>
    </row>
    <row r="485" spans="1:43" ht="15.75" customHeight="1" x14ac:dyDescent="0.2">
      <c r="A485" s="21">
        <v>8099</v>
      </c>
      <c r="B485" s="19" t="s">
        <v>672</v>
      </c>
      <c r="C485" s="19" t="s">
        <v>759</v>
      </c>
      <c r="D485" s="9"/>
      <c r="E485" s="19" t="s">
        <v>995</v>
      </c>
      <c r="F485" s="19"/>
      <c r="G485" s="19"/>
      <c r="H485" s="19">
        <v>0</v>
      </c>
      <c r="I485" s="19">
        <v>33.700000000000003</v>
      </c>
      <c r="J485" s="64">
        <v>0.71810089020000001</v>
      </c>
      <c r="K485" s="19">
        <v>24.2</v>
      </c>
      <c r="L485" s="19">
        <v>9.7729999999999997</v>
      </c>
      <c r="M485" s="19">
        <v>0</v>
      </c>
      <c r="N485" s="19">
        <v>15</v>
      </c>
      <c r="O485" s="19"/>
      <c r="P485" s="19" t="s">
        <v>35</v>
      </c>
      <c r="Q485" s="78">
        <v>16107</v>
      </c>
      <c r="R485" s="19" t="s">
        <v>676</v>
      </c>
      <c r="S485" s="19">
        <v>2015</v>
      </c>
      <c r="T485" s="61">
        <v>0.25800000000000001</v>
      </c>
      <c r="U485" s="62">
        <f t="shared" ref="U485:U487" si="37">T485*Q485</f>
        <v>4155.6059999999998</v>
      </c>
      <c r="V485" s="14">
        <f t="shared" si="29"/>
        <v>123.31175074183975</v>
      </c>
      <c r="W485" s="15">
        <f t="shared" si="8"/>
        <v>0</v>
      </c>
      <c r="X485" s="15">
        <f t="shared" si="9"/>
        <v>0</v>
      </c>
      <c r="Y485" s="15">
        <f t="shared" si="10"/>
        <v>0</v>
      </c>
      <c r="Z485" s="13">
        <f t="shared" si="11"/>
        <v>0</v>
      </c>
      <c r="AA485" s="16">
        <f>VLOOKUP(S485,[1]CPI!$A$2:$D$67,4,0)</f>
        <v>1.143251327963817</v>
      </c>
      <c r="AB485" s="17">
        <f t="shared" si="30"/>
        <v>4750.9020779944058</v>
      </c>
      <c r="AC485" s="17">
        <f t="shared" si="31"/>
        <v>140.97632278915148</v>
      </c>
      <c r="AD485" s="19" t="s">
        <v>35</v>
      </c>
      <c r="AE485" s="66" t="s">
        <v>880</v>
      </c>
      <c r="AF485" s="19"/>
      <c r="AG485" s="19"/>
      <c r="AH485" s="19"/>
      <c r="AI485" s="19"/>
      <c r="AJ485" s="20"/>
      <c r="AK485" s="20"/>
      <c r="AL485" s="20"/>
      <c r="AM485" s="20"/>
      <c r="AN485" s="20"/>
      <c r="AO485" s="20"/>
      <c r="AP485" s="20"/>
      <c r="AQ485" s="20"/>
    </row>
    <row r="486" spans="1:43" ht="15.75" customHeight="1" x14ac:dyDescent="0.2">
      <c r="A486" s="21">
        <v>8104</v>
      </c>
      <c r="B486" s="19" t="s">
        <v>672</v>
      </c>
      <c r="C486" s="19" t="s">
        <v>837</v>
      </c>
      <c r="D486" s="9" t="s">
        <v>142</v>
      </c>
      <c r="E486" s="19" t="s">
        <v>996</v>
      </c>
      <c r="F486" s="19">
        <v>2018</v>
      </c>
      <c r="G486" s="19">
        <v>2022</v>
      </c>
      <c r="H486" s="19">
        <v>0</v>
      </c>
      <c r="I486" s="19">
        <v>14.26</v>
      </c>
      <c r="J486" s="64">
        <v>0.1444600281</v>
      </c>
      <c r="K486" s="19">
        <v>2.06</v>
      </c>
      <c r="L486" s="19">
        <v>0</v>
      </c>
      <c r="M486" s="19">
        <v>0</v>
      </c>
      <c r="N486" s="19">
        <v>8</v>
      </c>
      <c r="O486" s="19"/>
      <c r="P486" s="19" t="s">
        <v>35</v>
      </c>
      <c r="Q486" s="78">
        <v>6831</v>
      </c>
      <c r="R486" s="19" t="s">
        <v>676</v>
      </c>
      <c r="S486" s="19">
        <v>2017</v>
      </c>
      <c r="T486" s="61">
        <v>0.23899999999999999</v>
      </c>
      <c r="U486" s="62">
        <f t="shared" si="37"/>
        <v>1632.6089999999999</v>
      </c>
      <c r="V486" s="14">
        <f t="shared" si="29"/>
        <v>114.48870967741935</v>
      </c>
      <c r="W486" s="15">
        <f t="shared" si="8"/>
        <v>0</v>
      </c>
      <c r="X486" s="15">
        <f t="shared" si="9"/>
        <v>0</v>
      </c>
      <c r="Y486" s="15">
        <f t="shared" si="10"/>
        <v>0</v>
      </c>
      <c r="Z486" s="13">
        <f t="shared" si="11"/>
        <v>0</v>
      </c>
      <c r="AA486" s="16">
        <f>VLOOKUP(S486,[1]CPI!$A$2:$D$67,4,0)</f>
        <v>1.1054585509138382</v>
      </c>
      <c r="AB486" s="17">
        <f t="shared" si="30"/>
        <v>1804.7815793488903</v>
      </c>
      <c r="AC486" s="17">
        <f t="shared" si="31"/>
        <v>126.56252309599512</v>
      </c>
      <c r="AD486" s="19" t="s">
        <v>35</v>
      </c>
      <c r="AE486" s="66" t="s">
        <v>839</v>
      </c>
      <c r="AF486" s="27"/>
      <c r="AG486" s="27"/>
      <c r="AH486" s="27"/>
      <c r="AI486" s="27"/>
      <c r="AJ486" s="28"/>
      <c r="AK486" s="28"/>
      <c r="AL486" s="28"/>
      <c r="AM486" s="28"/>
      <c r="AN486" s="28"/>
      <c r="AO486" s="28"/>
      <c r="AP486" s="28"/>
      <c r="AQ486" s="28"/>
    </row>
    <row r="487" spans="1:43" ht="15.75" customHeight="1" x14ac:dyDescent="0.2">
      <c r="A487" s="21">
        <v>8105</v>
      </c>
      <c r="B487" s="19" t="s">
        <v>672</v>
      </c>
      <c r="C487" s="19" t="s">
        <v>695</v>
      </c>
      <c r="D487" s="9" t="s">
        <v>124</v>
      </c>
      <c r="E487" s="19" t="s">
        <v>997</v>
      </c>
      <c r="F487" s="19"/>
      <c r="G487" s="19">
        <v>2016</v>
      </c>
      <c r="H487" s="19">
        <v>0</v>
      </c>
      <c r="I487" s="19">
        <v>9.15</v>
      </c>
      <c r="J487" s="64">
        <v>0.1595628415</v>
      </c>
      <c r="K487" s="19">
        <v>1.46</v>
      </c>
      <c r="L487" s="19">
        <v>7.73</v>
      </c>
      <c r="M487" s="19">
        <v>4.7500000000000001E-2</v>
      </c>
      <c r="N487" s="19">
        <v>3</v>
      </c>
      <c r="O487" s="19"/>
      <c r="P487" s="19" t="s">
        <v>43</v>
      </c>
      <c r="Q487" s="78">
        <v>4371</v>
      </c>
      <c r="R487" s="19" t="s">
        <v>676</v>
      </c>
      <c r="S487" s="19">
        <v>2012</v>
      </c>
      <c r="T487" s="61">
        <v>0.28079999999999999</v>
      </c>
      <c r="U487" s="62">
        <f t="shared" si="37"/>
        <v>1227.3768</v>
      </c>
      <c r="V487" s="14">
        <f t="shared" si="29"/>
        <v>134.13954098360657</v>
      </c>
      <c r="W487" s="15">
        <f t="shared" si="8"/>
        <v>0</v>
      </c>
      <c r="X487" s="15">
        <f t="shared" si="9"/>
        <v>0</v>
      </c>
      <c r="Y487" s="15">
        <f t="shared" si="10"/>
        <v>0</v>
      </c>
      <c r="Z487" s="13">
        <f t="shared" si="11"/>
        <v>0</v>
      </c>
      <c r="AA487" s="16">
        <f>VLOOKUP(S487,[1]CPI!$A$2:$D$67,4,0)</f>
        <v>1.1802137686524912</v>
      </c>
      <c r="AB487" s="17">
        <f t="shared" si="30"/>
        <v>1448.5669986846349</v>
      </c>
      <c r="AC487" s="17">
        <f t="shared" si="31"/>
        <v>158.31333318957761</v>
      </c>
      <c r="AD487" s="19" t="s">
        <v>43</v>
      </c>
      <c r="AE487" s="66" t="s">
        <v>726</v>
      </c>
      <c r="AF487" s="27"/>
      <c r="AG487" s="27"/>
      <c r="AH487" s="27"/>
      <c r="AI487" s="27"/>
      <c r="AJ487" s="28"/>
      <c r="AK487" s="28"/>
      <c r="AL487" s="28"/>
      <c r="AM487" s="28"/>
      <c r="AN487" s="28"/>
      <c r="AO487" s="28"/>
      <c r="AP487" s="28"/>
      <c r="AQ487" s="28"/>
    </row>
    <row r="488" spans="1:43" ht="15.75" customHeight="1" x14ac:dyDescent="0.2">
      <c r="A488" s="21">
        <v>8106</v>
      </c>
      <c r="B488" s="54" t="s">
        <v>672</v>
      </c>
      <c r="C488" s="54" t="s">
        <v>759</v>
      </c>
      <c r="D488" s="54"/>
      <c r="E488" s="54" t="s">
        <v>747</v>
      </c>
      <c r="F488" s="72">
        <v>2020</v>
      </c>
      <c r="G488" s="54"/>
      <c r="H488" s="72">
        <v>0</v>
      </c>
      <c r="I488" s="72">
        <v>33</v>
      </c>
      <c r="J488" s="73">
        <v>0.38</v>
      </c>
      <c r="K488" s="72">
        <v>12.7</v>
      </c>
      <c r="L488" s="54"/>
      <c r="M488" s="54"/>
      <c r="N488" s="72">
        <v>12</v>
      </c>
      <c r="O488" s="72">
        <v>138</v>
      </c>
      <c r="P488" s="54"/>
      <c r="Q488" s="65">
        <v>16974</v>
      </c>
      <c r="R488" s="54" t="s">
        <v>676</v>
      </c>
      <c r="S488" s="54">
        <v>2020</v>
      </c>
      <c r="T488" s="61">
        <v>0.23899999999999999</v>
      </c>
      <c r="U488" s="69">
        <f>Q488*T488</f>
        <v>4056.7860000000001</v>
      </c>
      <c r="V488" s="70">
        <f t="shared" si="29"/>
        <v>122.93290909090909</v>
      </c>
      <c r="W488" s="15">
        <f t="shared" si="8"/>
        <v>0</v>
      </c>
      <c r="X488" s="15">
        <f t="shared" si="9"/>
        <v>0</v>
      </c>
      <c r="Y488" s="15">
        <f t="shared" si="10"/>
        <v>0</v>
      </c>
      <c r="Z488" s="13">
        <f t="shared" si="11"/>
        <v>0</v>
      </c>
      <c r="AA488" s="16">
        <f>VLOOKUP(S488,[1]CPI!$A$2:$D$67,4,0)</f>
        <v>1.0469802288156225</v>
      </c>
      <c r="AB488" s="17">
        <f t="shared" si="30"/>
        <v>4247.3747345360143</v>
      </c>
      <c r="AC488" s="17">
        <f t="shared" si="31"/>
        <v>128.70832528897012</v>
      </c>
      <c r="AD488" s="54" t="s">
        <v>73</v>
      </c>
      <c r="AE488" s="46" t="s">
        <v>998</v>
      </c>
      <c r="AF488" s="84" t="s">
        <v>783</v>
      </c>
      <c r="AG488" s="85"/>
      <c r="AH488" s="85"/>
      <c r="AI488" s="85"/>
      <c r="AJ488" s="95"/>
      <c r="AK488" s="82"/>
      <c r="AL488" s="82"/>
      <c r="AM488" s="82"/>
      <c r="AN488" s="82"/>
      <c r="AO488" s="82"/>
      <c r="AP488" s="82"/>
      <c r="AQ488" s="82"/>
    </row>
    <row r="489" spans="1:43" ht="15.75" customHeight="1" x14ac:dyDescent="0.2">
      <c r="A489" s="21">
        <v>8107</v>
      </c>
      <c r="B489" s="19" t="s">
        <v>672</v>
      </c>
      <c r="C489" s="19" t="s">
        <v>819</v>
      </c>
      <c r="D489" s="9" t="s">
        <v>99</v>
      </c>
      <c r="E489" s="19" t="s">
        <v>881</v>
      </c>
      <c r="F489" s="19">
        <v>2015</v>
      </c>
      <c r="G489" s="19">
        <v>2018</v>
      </c>
      <c r="H489" s="19">
        <v>0</v>
      </c>
      <c r="I489" s="19">
        <v>8.5</v>
      </c>
      <c r="J489" s="64">
        <v>1</v>
      </c>
      <c r="K489" s="19">
        <v>8.5</v>
      </c>
      <c r="L489" s="19">
        <v>0</v>
      </c>
      <c r="M489" s="19">
        <v>0</v>
      </c>
      <c r="N489" s="19">
        <v>7</v>
      </c>
      <c r="O489" s="19"/>
      <c r="P489" s="19" t="s">
        <v>35</v>
      </c>
      <c r="Q489" s="78">
        <v>3930</v>
      </c>
      <c r="R489" s="19" t="s">
        <v>676</v>
      </c>
      <c r="S489" s="19">
        <v>2015</v>
      </c>
      <c r="T489" s="61">
        <v>0.25800000000000001</v>
      </c>
      <c r="U489" s="62">
        <f t="shared" ref="U489:U497" si="38">T489*Q489</f>
        <v>1013.94</v>
      </c>
      <c r="V489" s="14">
        <f t="shared" si="29"/>
        <v>119.28705882352942</v>
      </c>
      <c r="W489" s="15">
        <f t="shared" si="8"/>
        <v>0</v>
      </c>
      <c r="X489" s="15">
        <f t="shared" si="9"/>
        <v>0</v>
      </c>
      <c r="Y489" s="15">
        <f t="shared" si="10"/>
        <v>0</v>
      </c>
      <c r="Z489" s="13">
        <f t="shared" si="11"/>
        <v>0</v>
      </c>
      <c r="AA489" s="16">
        <f>VLOOKUP(S489,[1]CPI!$A$2:$D$67,4,0)</f>
        <v>1.143251327963817</v>
      </c>
      <c r="AB489" s="17">
        <f t="shared" si="30"/>
        <v>1159.1882514756326</v>
      </c>
      <c r="AC489" s="17">
        <f t="shared" si="31"/>
        <v>136.37508840889797</v>
      </c>
      <c r="AD489" s="19" t="s">
        <v>35</v>
      </c>
      <c r="AE489" s="66" t="s">
        <v>888</v>
      </c>
      <c r="AF489" s="27"/>
      <c r="AG489" s="27"/>
      <c r="AH489" s="27"/>
      <c r="AI489" s="27"/>
      <c r="AJ489" s="28"/>
      <c r="AK489" s="28"/>
      <c r="AL489" s="28"/>
      <c r="AM489" s="28"/>
      <c r="AN489" s="28"/>
      <c r="AO489" s="28"/>
      <c r="AP489" s="28"/>
      <c r="AQ489" s="28"/>
    </row>
    <row r="490" spans="1:43" ht="15.75" customHeight="1" x14ac:dyDescent="0.2">
      <c r="A490" s="21">
        <v>8112</v>
      </c>
      <c r="B490" s="19" t="s">
        <v>672</v>
      </c>
      <c r="C490" s="19" t="s">
        <v>673</v>
      </c>
      <c r="D490" s="9"/>
      <c r="E490" s="19" t="s">
        <v>953</v>
      </c>
      <c r="F490" s="19">
        <v>2009</v>
      </c>
      <c r="G490" s="19">
        <v>2014</v>
      </c>
      <c r="H490" s="19">
        <v>0</v>
      </c>
      <c r="I490" s="19">
        <v>41.4</v>
      </c>
      <c r="J490" s="64">
        <v>0.66908212560000002</v>
      </c>
      <c r="K490" s="19">
        <v>27.7</v>
      </c>
      <c r="L490" s="19">
        <v>13.605</v>
      </c>
      <c r="M490" s="19">
        <v>0.47099999999999997</v>
      </c>
      <c r="N490" s="19">
        <v>18</v>
      </c>
      <c r="O490" s="19">
        <v>117</v>
      </c>
      <c r="P490" s="19" t="s">
        <v>43</v>
      </c>
      <c r="Q490" s="78">
        <v>18100</v>
      </c>
      <c r="R490" s="19" t="s">
        <v>676</v>
      </c>
      <c r="S490" s="19">
        <v>2010</v>
      </c>
      <c r="T490" s="61">
        <v>0.3</v>
      </c>
      <c r="U490" s="62">
        <f t="shared" si="38"/>
        <v>5430</v>
      </c>
      <c r="V490" s="14">
        <f t="shared" si="29"/>
        <v>131.15942028985506</v>
      </c>
      <c r="W490" s="15">
        <f t="shared" si="8"/>
        <v>0</v>
      </c>
      <c r="X490" s="15">
        <f t="shared" si="9"/>
        <v>0</v>
      </c>
      <c r="Y490" s="15">
        <f t="shared" si="10"/>
        <v>0</v>
      </c>
      <c r="Z490" s="13">
        <f t="shared" si="11"/>
        <v>0</v>
      </c>
      <c r="AA490" s="16">
        <f>VLOOKUP(S490,[1]CPI!$A$2:$D$67,4,0)</f>
        <v>1.2426624353377114</v>
      </c>
      <c r="AB490" s="17">
        <f t="shared" si="30"/>
        <v>6747.657023883773</v>
      </c>
      <c r="AC490" s="17">
        <f t="shared" si="31"/>
        <v>162.98688463487372</v>
      </c>
      <c r="AD490" s="19" t="s">
        <v>43</v>
      </c>
      <c r="AE490" s="66" t="s">
        <v>999</v>
      </c>
      <c r="AF490" s="27"/>
      <c r="AG490" s="27"/>
      <c r="AH490" s="27"/>
      <c r="AI490" s="27"/>
      <c r="AJ490" s="28"/>
      <c r="AK490" s="28"/>
      <c r="AL490" s="28"/>
      <c r="AM490" s="28"/>
      <c r="AN490" s="28"/>
      <c r="AO490" s="28"/>
      <c r="AP490" s="28"/>
      <c r="AQ490" s="28"/>
    </row>
    <row r="491" spans="1:43" ht="15.75" customHeight="1" x14ac:dyDescent="0.2">
      <c r="A491" s="21">
        <v>8113</v>
      </c>
      <c r="B491" s="19" t="s">
        <v>672</v>
      </c>
      <c r="C491" s="19" t="s">
        <v>695</v>
      </c>
      <c r="D491" s="9"/>
      <c r="E491" s="19" t="s">
        <v>281</v>
      </c>
      <c r="F491" s="19">
        <v>2002</v>
      </c>
      <c r="G491" s="19">
        <v>2011</v>
      </c>
      <c r="H491" s="19">
        <v>0</v>
      </c>
      <c r="I491" s="19">
        <v>33.090000000000003</v>
      </c>
      <c r="J491" s="64">
        <v>0.63614385009999996</v>
      </c>
      <c r="K491" s="19">
        <v>21.05</v>
      </c>
      <c r="L491" s="19">
        <v>11.845000000000001</v>
      </c>
      <c r="M491" s="19">
        <v>0.39829999999999999</v>
      </c>
      <c r="N491" s="19">
        <v>28</v>
      </c>
      <c r="O491" s="19"/>
      <c r="P491" s="19" t="s">
        <v>35</v>
      </c>
      <c r="Q491" s="78">
        <v>12000</v>
      </c>
      <c r="R491" s="19" t="s">
        <v>676</v>
      </c>
      <c r="S491" s="19">
        <v>2002</v>
      </c>
      <c r="T491" s="61">
        <v>0.372</v>
      </c>
      <c r="U491" s="62">
        <f t="shared" si="38"/>
        <v>4464</v>
      </c>
      <c r="V491" s="14">
        <f t="shared" si="29"/>
        <v>134.90480507706255</v>
      </c>
      <c r="W491" s="15">
        <f t="shared" si="8"/>
        <v>0</v>
      </c>
      <c r="X491" s="15">
        <f t="shared" si="9"/>
        <v>0</v>
      </c>
      <c r="Y491" s="15">
        <f t="shared" si="10"/>
        <v>0</v>
      </c>
      <c r="Z491" s="13">
        <f t="shared" si="11"/>
        <v>0</v>
      </c>
      <c r="AA491" s="16">
        <f>VLOOKUP(S491,[1]CPI!$A$2:$D$67,4,0)</f>
        <v>1.5062256809338523</v>
      </c>
      <c r="AB491" s="17">
        <f t="shared" si="30"/>
        <v>6723.7914396887172</v>
      </c>
      <c r="AC491" s="17">
        <f t="shared" si="31"/>
        <v>203.19708188844714</v>
      </c>
      <c r="AD491" s="19" t="s">
        <v>43</v>
      </c>
      <c r="AE491" s="66" t="s">
        <v>1000</v>
      </c>
      <c r="AF491" s="27"/>
      <c r="AG491" s="27"/>
      <c r="AH491" s="27"/>
      <c r="AI491" s="27"/>
      <c r="AJ491" s="28"/>
      <c r="AK491" s="28"/>
      <c r="AL491" s="28"/>
      <c r="AM491" s="28"/>
      <c r="AN491" s="28"/>
      <c r="AO491" s="28"/>
      <c r="AP491" s="28"/>
      <c r="AQ491" s="28"/>
    </row>
    <row r="492" spans="1:43" ht="15.75" customHeight="1" x14ac:dyDescent="0.2">
      <c r="A492" s="21">
        <v>8114</v>
      </c>
      <c r="B492" s="19" t="s">
        <v>672</v>
      </c>
      <c r="C492" s="19" t="s">
        <v>759</v>
      </c>
      <c r="D492" s="9" t="s">
        <v>92</v>
      </c>
      <c r="E492" s="19" t="s">
        <v>1001</v>
      </c>
      <c r="F492" s="19">
        <v>2015</v>
      </c>
      <c r="G492" s="19">
        <v>2017</v>
      </c>
      <c r="H492" s="19">
        <v>0</v>
      </c>
      <c r="I492" s="19">
        <v>3.97</v>
      </c>
      <c r="J492" s="64">
        <v>0</v>
      </c>
      <c r="K492" s="19">
        <v>0</v>
      </c>
      <c r="L492" s="19">
        <v>3.97</v>
      </c>
      <c r="M492" s="19">
        <v>0</v>
      </c>
      <c r="N492" s="19">
        <v>2</v>
      </c>
      <c r="O492" s="19"/>
      <c r="P492" s="19" t="s">
        <v>94</v>
      </c>
      <c r="Q492" s="78">
        <v>1740</v>
      </c>
      <c r="R492" s="19" t="s">
        <v>676</v>
      </c>
      <c r="S492" s="19">
        <v>2015</v>
      </c>
      <c r="T492" s="61">
        <v>0.25800000000000001</v>
      </c>
      <c r="U492" s="62">
        <f t="shared" si="38"/>
        <v>448.92</v>
      </c>
      <c r="V492" s="14">
        <f t="shared" si="29"/>
        <v>113.07808564231738</v>
      </c>
      <c r="W492" s="15">
        <f t="shared" si="8"/>
        <v>0</v>
      </c>
      <c r="X492" s="15">
        <f t="shared" si="9"/>
        <v>0</v>
      </c>
      <c r="Y492" s="15">
        <f t="shared" si="10"/>
        <v>0</v>
      </c>
      <c r="Z492" s="13">
        <f t="shared" si="11"/>
        <v>0</v>
      </c>
      <c r="AA492" s="16">
        <f>VLOOKUP(S492,[1]CPI!$A$2:$D$67,4,0)</f>
        <v>1.143251327963817</v>
      </c>
      <c r="AB492" s="17">
        <f t="shared" si="30"/>
        <v>513.22838614951672</v>
      </c>
      <c r="AC492" s="17">
        <f t="shared" si="31"/>
        <v>129.27667157418557</v>
      </c>
      <c r="AD492" s="19" t="s">
        <v>43</v>
      </c>
      <c r="AE492" s="66" t="s">
        <v>1002</v>
      </c>
      <c r="AF492" s="19"/>
      <c r="AG492" s="19"/>
      <c r="AH492" s="19"/>
      <c r="AI492" s="19"/>
      <c r="AJ492" s="20"/>
      <c r="AK492" s="20"/>
      <c r="AL492" s="20"/>
      <c r="AM492" s="20"/>
      <c r="AN492" s="20"/>
      <c r="AO492" s="20"/>
      <c r="AP492" s="20"/>
      <c r="AQ492" s="20"/>
    </row>
    <row r="493" spans="1:43" ht="15.75" customHeight="1" x14ac:dyDescent="0.2">
      <c r="A493" s="21">
        <v>8115</v>
      </c>
      <c r="B493" s="19" t="s">
        <v>672</v>
      </c>
      <c r="C493" s="19" t="s">
        <v>877</v>
      </c>
      <c r="D493" s="9"/>
      <c r="E493" s="19" t="s">
        <v>1003</v>
      </c>
      <c r="F493" s="19">
        <v>2019</v>
      </c>
      <c r="G493" s="19">
        <v>2025</v>
      </c>
      <c r="H493" s="19">
        <v>0</v>
      </c>
      <c r="I493" s="19">
        <v>28.2</v>
      </c>
      <c r="J493" s="64">
        <v>0.49290780140000001</v>
      </c>
      <c r="K493" s="19">
        <v>13.9</v>
      </c>
      <c r="L493" s="19">
        <v>0</v>
      </c>
      <c r="M493" s="19">
        <v>0</v>
      </c>
      <c r="N493" s="19">
        <v>8</v>
      </c>
      <c r="O493" s="19"/>
      <c r="P493" s="19" t="s">
        <v>35</v>
      </c>
      <c r="Q493" s="78">
        <v>12640</v>
      </c>
      <c r="R493" s="19" t="s">
        <v>676</v>
      </c>
      <c r="S493" s="19">
        <v>2018</v>
      </c>
      <c r="T493" s="61">
        <v>0.23699999999999999</v>
      </c>
      <c r="U493" s="62">
        <f t="shared" si="38"/>
        <v>2995.68</v>
      </c>
      <c r="V493" s="14">
        <f t="shared" si="29"/>
        <v>106.22978723404255</v>
      </c>
      <c r="W493" s="15">
        <f t="shared" si="8"/>
        <v>0</v>
      </c>
      <c r="X493" s="15">
        <f t="shared" si="9"/>
        <v>0</v>
      </c>
      <c r="Y493" s="15">
        <f t="shared" si="10"/>
        <v>0</v>
      </c>
      <c r="Z493" s="13">
        <f t="shared" si="11"/>
        <v>0</v>
      </c>
      <c r="AA493" s="16">
        <f>VLOOKUP(S493,[1]CPI!$A$2:$D$67,4,0)</f>
        <v>1.0791017375063221</v>
      </c>
      <c r="AB493" s="17">
        <f t="shared" si="30"/>
        <v>3232.643493012939</v>
      </c>
      <c r="AC493" s="17">
        <f t="shared" si="31"/>
        <v>114.63274797918223</v>
      </c>
      <c r="AD493" s="19" t="s">
        <v>35</v>
      </c>
      <c r="AE493" s="66" t="s">
        <v>951</v>
      </c>
      <c r="AF493" s="27"/>
      <c r="AG493" s="27"/>
      <c r="AH493" s="27"/>
      <c r="AI493" s="27"/>
      <c r="AJ493" s="28"/>
      <c r="AK493" s="28"/>
      <c r="AL493" s="28"/>
      <c r="AM493" s="28"/>
      <c r="AN493" s="28"/>
      <c r="AO493" s="28"/>
      <c r="AP493" s="28"/>
      <c r="AQ493" s="28"/>
    </row>
    <row r="494" spans="1:43" ht="15.75" customHeight="1" x14ac:dyDescent="0.2">
      <c r="A494" s="21">
        <v>8120</v>
      </c>
      <c r="B494" s="19" t="s">
        <v>672</v>
      </c>
      <c r="C494" s="19" t="s">
        <v>806</v>
      </c>
      <c r="D494" s="9"/>
      <c r="E494" s="19" t="s">
        <v>1004</v>
      </c>
      <c r="F494" s="19"/>
      <c r="G494" s="19"/>
      <c r="H494" s="19">
        <v>0</v>
      </c>
      <c r="I494" s="19">
        <v>3.9</v>
      </c>
      <c r="J494" s="64">
        <v>0</v>
      </c>
      <c r="K494" s="19">
        <v>0</v>
      </c>
      <c r="L494" s="19">
        <v>3.75</v>
      </c>
      <c r="M494" s="19">
        <v>0.15</v>
      </c>
      <c r="N494" s="19">
        <v>3</v>
      </c>
      <c r="O494" s="19"/>
      <c r="P494" s="19" t="s">
        <v>35</v>
      </c>
      <c r="Q494" s="78">
        <v>1704</v>
      </c>
      <c r="R494" s="19" t="s">
        <v>676</v>
      </c>
      <c r="S494" s="19">
        <v>2015</v>
      </c>
      <c r="T494" s="61">
        <v>0.25800000000000001</v>
      </c>
      <c r="U494" s="62">
        <f t="shared" si="38"/>
        <v>439.63200000000001</v>
      </c>
      <c r="V494" s="14">
        <f t="shared" si="29"/>
        <v>112.72615384615385</v>
      </c>
      <c r="W494" s="15">
        <f t="shared" si="8"/>
        <v>0</v>
      </c>
      <c r="X494" s="15">
        <f t="shared" si="9"/>
        <v>0</v>
      </c>
      <c r="Y494" s="15">
        <f t="shared" si="10"/>
        <v>0</v>
      </c>
      <c r="Z494" s="13">
        <f t="shared" si="11"/>
        <v>0</v>
      </c>
      <c r="AA494" s="16">
        <f>VLOOKUP(S494,[1]CPI!$A$2:$D$67,4,0)</f>
        <v>1.143251327963817</v>
      </c>
      <c r="AB494" s="17">
        <f t="shared" si="30"/>
        <v>502.60986781538878</v>
      </c>
      <c r="AC494" s="17">
        <f t="shared" si="31"/>
        <v>128.87432508086891</v>
      </c>
      <c r="AD494" s="19" t="s">
        <v>43</v>
      </c>
      <c r="AE494" s="66" t="s">
        <v>808</v>
      </c>
      <c r="AF494" s="54"/>
      <c r="AG494" s="54"/>
      <c r="AH494" s="54"/>
      <c r="AI494" s="54"/>
      <c r="AJ494" s="87"/>
      <c r="AK494" s="87"/>
      <c r="AL494" s="87"/>
      <c r="AM494" s="87"/>
      <c r="AN494" s="87"/>
      <c r="AO494" s="87"/>
      <c r="AP494" s="87"/>
    </row>
    <row r="495" spans="1:43" ht="15.75" customHeight="1" x14ac:dyDescent="0.2">
      <c r="A495" s="21">
        <v>8121</v>
      </c>
      <c r="B495" s="19" t="s">
        <v>672</v>
      </c>
      <c r="C495" s="19" t="s">
        <v>872</v>
      </c>
      <c r="D495" s="9" t="s">
        <v>281</v>
      </c>
      <c r="E495" s="54" t="s">
        <v>1005</v>
      </c>
      <c r="F495" s="72">
        <v>2013</v>
      </c>
      <c r="G495" s="54"/>
      <c r="H495" s="72">
        <v>0</v>
      </c>
      <c r="I495" s="72">
        <v>12.1</v>
      </c>
      <c r="J495" s="73">
        <v>0.98</v>
      </c>
      <c r="K495" s="72">
        <v>11.9</v>
      </c>
      <c r="L495" s="54"/>
      <c r="M495" s="54"/>
      <c r="N495" s="72">
        <v>5</v>
      </c>
      <c r="O495" s="72">
        <v>117</v>
      </c>
      <c r="P495" s="54"/>
      <c r="Q495" s="65">
        <v>5563</v>
      </c>
      <c r="R495" s="54" t="s">
        <v>676</v>
      </c>
      <c r="S495" s="19">
        <v>2013</v>
      </c>
      <c r="T495" s="61">
        <v>0.27300000000000002</v>
      </c>
      <c r="U495" s="62">
        <f t="shared" si="38"/>
        <v>1518.6990000000001</v>
      </c>
      <c r="V495" s="14">
        <f t="shared" si="29"/>
        <v>125.51231404958679</v>
      </c>
      <c r="W495" s="15">
        <f t="shared" si="8"/>
        <v>0</v>
      </c>
      <c r="X495" s="15">
        <f t="shared" si="9"/>
        <v>0</v>
      </c>
      <c r="Y495" s="15">
        <f t="shared" si="10"/>
        <v>0</v>
      </c>
      <c r="Z495" s="13">
        <f t="shared" si="11"/>
        <v>0</v>
      </c>
      <c r="AA495" s="16">
        <f>VLOOKUP(S495,[1]CPI!$A$2:$D$67,4,0)</f>
        <v>1.16317603677932</v>
      </c>
      <c r="AB495" s="17">
        <f t="shared" si="30"/>
        <v>1766.5142838807167</v>
      </c>
      <c r="AC495" s="17">
        <f t="shared" si="31"/>
        <v>145.99291602319974</v>
      </c>
      <c r="AD495" s="19" t="s">
        <v>43</v>
      </c>
      <c r="AE495" s="66" t="s">
        <v>989</v>
      </c>
      <c r="AF495" s="27"/>
      <c r="AG495" s="27"/>
      <c r="AH495" s="27"/>
      <c r="AI495" s="27"/>
      <c r="AJ495" s="28"/>
      <c r="AK495" s="28"/>
      <c r="AL495" s="28"/>
      <c r="AM495" s="28"/>
      <c r="AN495" s="28"/>
      <c r="AO495" s="28"/>
      <c r="AP495" s="28"/>
      <c r="AQ495" s="28"/>
    </row>
    <row r="496" spans="1:43" ht="15.75" customHeight="1" x14ac:dyDescent="0.2">
      <c r="A496" s="21">
        <v>8122</v>
      </c>
      <c r="B496" s="19" t="s">
        <v>672</v>
      </c>
      <c r="C496" s="19" t="s">
        <v>775</v>
      </c>
      <c r="D496" s="9"/>
      <c r="E496" s="19" t="s">
        <v>862</v>
      </c>
      <c r="F496" s="19">
        <v>2017</v>
      </c>
      <c r="G496" s="19">
        <v>2019</v>
      </c>
      <c r="H496" s="19">
        <v>0</v>
      </c>
      <c r="I496" s="19">
        <v>9.1999999999999993</v>
      </c>
      <c r="J496" s="64">
        <v>1</v>
      </c>
      <c r="K496" s="19">
        <v>9.1999999999999993</v>
      </c>
      <c r="L496" s="19">
        <v>0</v>
      </c>
      <c r="M496" s="19">
        <v>0</v>
      </c>
      <c r="N496" s="19">
        <v>8</v>
      </c>
      <c r="O496" s="19"/>
      <c r="P496" s="19" t="s">
        <v>35</v>
      </c>
      <c r="Q496" s="78">
        <v>5326</v>
      </c>
      <c r="R496" s="19" t="s">
        <v>676</v>
      </c>
      <c r="S496" s="19">
        <v>2013</v>
      </c>
      <c r="T496" s="61">
        <v>0.27300000000000002</v>
      </c>
      <c r="U496" s="62">
        <f t="shared" si="38"/>
        <v>1453.998</v>
      </c>
      <c r="V496" s="14">
        <f t="shared" si="29"/>
        <v>158.04326086956524</v>
      </c>
      <c r="W496" s="15">
        <f t="shared" si="8"/>
        <v>0</v>
      </c>
      <c r="X496" s="15">
        <f t="shared" si="9"/>
        <v>0</v>
      </c>
      <c r="Y496" s="15">
        <f t="shared" si="10"/>
        <v>0</v>
      </c>
      <c r="Z496" s="13">
        <f t="shared" si="11"/>
        <v>0</v>
      </c>
      <c r="AA496" s="16">
        <f>VLOOKUP(S496,[1]CPI!$A$2:$D$67,4,0)</f>
        <v>1.16317603677932</v>
      </c>
      <c r="AB496" s="17">
        <f t="shared" si="30"/>
        <v>1691.2556311250578</v>
      </c>
      <c r="AC496" s="17">
        <f t="shared" si="31"/>
        <v>183.8321338179411</v>
      </c>
      <c r="AD496" s="19" t="s">
        <v>35</v>
      </c>
      <c r="AE496" s="66" t="s">
        <v>960</v>
      </c>
      <c r="AF496" s="27"/>
      <c r="AG496" s="27"/>
      <c r="AH496" s="27"/>
      <c r="AI496" s="27"/>
      <c r="AJ496" s="28"/>
      <c r="AK496" s="28"/>
      <c r="AL496" s="28"/>
      <c r="AM496" s="28"/>
      <c r="AN496" s="28"/>
      <c r="AO496" s="28"/>
      <c r="AP496" s="28"/>
      <c r="AQ496" s="28"/>
    </row>
    <row r="497" spans="1:43" ht="15.75" customHeight="1" x14ac:dyDescent="0.2">
      <c r="A497" s="21">
        <v>8123</v>
      </c>
      <c r="B497" s="19" t="s">
        <v>672</v>
      </c>
      <c r="C497" s="19" t="s">
        <v>872</v>
      </c>
      <c r="D497" s="9" t="s">
        <v>119</v>
      </c>
      <c r="E497" s="19" t="s">
        <v>708</v>
      </c>
      <c r="F497" s="19">
        <v>2013</v>
      </c>
      <c r="G497" s="19">
        <v>2017</v>
      </c>
      <c r="H497" s="19">
        <v>0</v>
      </c>
      <c r="I497" s="19">
        <v>40</v>
      </c>
      <c r="J497" s="64"/>
      <c r="K497" s="19"/>
      <c r="L497" s="19" t="e">
        <v>#N/A</v>
      </c>
      <c r="M497" s="19" t="e">
        <v>#N/A</v>
      </c>
      <c r="N497" s="19">
        <v>25</v>
      </c>
      <c r="O497" s="19"/>
      <c r="P497" s="19" t="s">
        <v>43</v>
      </c>
      <c r="Q497" s="78">
        <v>20046</v>
      </c>
      <c r="R497" s="19" t="s">
        <v>676</v>
      </c>
      <c r="S497" s="19">
        <v>2013</v>
      </c>
      <c r="T497" s="61">
        <v>0.27300000000000002</v>
      </c>
      <c r="U497" s="62">
        <f t="shared" si="38"/>
        <v>5472.558</v>
      </c>
      <c r="V497" s="14">
        <f t="shared" si="29"/>
        <v>136.81395000000001</v>
      </c>
      <c r="W497" s="15">
        <f t="shared" si="8"/>
        <v>0</v>
      </c>
      <c r="X497" s="15">
        <f t="shared" si="9"/>
        <v>0</v>
      </c>
      <c r="Y497" s="15">
        <f t="shared" si="10"/>
        <v>0</v>
      </c>
      <c r="Z497" s="13">
        <f t="shared" si="11"/>
        <v>0</v>
      </c>
      <c r="AA497" s="16">
        <f>VLOOKUP(S497,[1]CPI!$A$2:$D$67,4,0)</f>
        <v>1.16317603677932</v>
      </c>
      <c r="AB497" s="17">
        <f t="shared" si="30"/>
        <v>6365.5483254849623</v>
      </c>
      <c r="AC497" s="17">
        <f t="shared" si="31"/>
        <v>159.13870813712407</v>
      </c>
      <c r="AD497" s="19" t="s">
        <v>43</v>
      </c>
      <c r="AE497" s="66" t="s">
        <v>989</v>
      </c>
      <c r="AF497" s="27"/>
      <c r="AG497" s="27"/>
      <c r="AH497" s="27"/>
      <c r="AI497" s="27"/>
      <c r="AJ497" s="28"/>
      <c r="AK497" s="28"/>
      <c r="AL497" s="28"/>
      <c r="AM497" s="28"/>
      <c r="AN497" s="28"/>
      <c r="AO497" s="28"/>
      <c r="AP497" s="28"/>
      <c r="AQ497" s="28"/>
    </row>
    <row r="498" spans="1:43" ht="15.75" customHeight="1" x14ac:dyDescent="0.2">
      <c r="A498" s="21">
        <v>8128</v>
      </c>
      <c r="B498" s="54" t="s">
        <v>672</v>
      </c>
      <c r="C498" s="54" t="s">
        <v>775</v>
      </c>
      <c r="D498" s="54"/>
      <c r="E498" s="54" t="s">
        <v>281</v>
      </c>
      <c r="F498" s="72">
        <v>2020</v>
      </c>
      <c r="G498" s="54"/>
      <c r="H498" s="72">
        <v>0</v>
      </c>
      <c r="I498" s="72">
        <v>25.61</v>
      </c>
      <c r="J498" s="73">
        <v>0.59</v>
      </c>
      <c r="K498" s="72">
        <v>15.01</v>
      </c>
      <c r="L498" s="54"/>
      <c r="M498" s="54"/>
      <c r="N498" s="72">
        <v>8</v>
      </c>
      <c r="O498" s="72">
        <v>117</v>
      </c>
      <c r="P498" s="54"/>
      <c r="Q498" s="65">
        <v>14171</v>
      </c>
      <c r="R498" s="54" t="s">
        <v>676</v>
      </c>
      <c r="S498" s="54">
        <v>2020</v>
      </c>
      <c r="T498" s="61">
        <v>0.23899999999999999</v>
      </c>
      <c r="U498" s="69">
        <f>Q498*T498</f>
        <v>3386.8689999999997</v>
      </c>
      <c r="V498" s="70">
        <f t="shared" si="29"/>
        <v>132.24791097227646</v>
      </c>
      <c r="W498" s="15">
        <f t="shared" si="8"/>
        <v>0</v>
      </c>
      <c r="X498" s="15">
        <f t="shared" si="9"/>
        <v>0</v>
      </c>
      <c r="Y498" s="15">
        <f t="shared" si="10"/>
        <v>0</v>
      </c>
      <c r="Z498" s="13">
        <f t="shared" si="11"/>
        <v>0</v>
      </c>
      <c r="AA498" s="16">
        <f>VLOOKUP(S498,[1]CPI!$A$2:$D$67,4,0)</f>
        <v>1.0469802288156225</v>
      </c>
      <c r="AB498" s="17">
        <f t="shared" si="30"/>
        <v>3545.9848805885381</v>
      </c>
      <c r="AC498" s="17">
        <f t="shared" si="31"/>
        <v>138.46094809014207</v>
      </c>
      <c r="AD498" s="54"/>
      <c r="AE498" s="46" t="s">
        <v>777</v>
      </c>
      <c r="AF498" s="80" t="s">
        <v>1006</v>
      </c>
      <c r="AG498" s="81"/>
      <c r="AH498" s="81"/>
      <c r="AI498" s="81"/>
      <c r="AJ498" s="82"/>
      <c r="AK498" s="82"/>
      <c r="AL498" s="82"/>
      <c r="AM498" s="82"/>
      <c r="AN498" s="82"/>
      <c r="AO498" s="82"/>
      <c r="AP498" s="82"/>
      <c r="AQ498" s="82"/>
    </row>
    <row r="499" spans="1:43" ht="15.75" customHeight="1" x14ac:dyDescent="0.2">
      <c r="A499" s="21">
        <v>8129</v>
      </c>
      <c r="B499" s="19" t="s">
        <v>672</v>
      </c>
      <c r="C499" s="19" t="s">
        <v>673</v>
      </c>
      <c r="D499" s="9" t="s">
        <v>688</v>
      </c>
      <c r="E499" s="19" t="s">
        <v>1007</v>
      </c>
      <c r="F499" s="19">
        <v>2019</v>
      </c>
      <c r="G499" s="19">
        <v>2022</v>
      </c>
      <c r="H499" s="19">
        <v>0</v>
      </c>
      <c r="I499" s="19">
        <v>32.200000000000003</v>
      </c>
      <c r="J499" s="64">
        <f>K499/I499</f>
        <v>0.31987577639751552</v>
      </c>
      <c r="K499" s="19">
        <v>10.3</v>
      </c>
      <c r="L499" s="19">
        <v>12.11</v>
      </c>
      <c r="M499" s="19">
        <v>10.108000000000001</v>
      </c>
      <c r="N499" s="19">
        <v>15</v>
      </c>
      <c r="O499" s="19"/>
      <c r="P499" s="19" t="s">
        <v>35</v>
      </c>
      <c r="Q499" s="78">
        <v>12640</v>
      </c>
      <c r="R499" s="19" t="s">
        <v>676</v>
      </c>
      <c r="S499" s="19">
        <v>2019</v>
      </c>
      <c r="T499" s="61">
        <v>0.23799999999999999</v>
      </c>
      <c r="U499" s="62">
        <f t="shared" ref="U499:U505" si="39">T499*Q499</f>
        <v>3008.3199999999997</v>
      </c>
      <c r="V499" s="14">
        <f t="shared" si="29"/>
        <v>93.426086956521715</v>
      </c>
      <c r="W499" s="15">
        <f t="shared" si="8"/>
        <v>0</v>
      </c>
      <c r="X499" s="15">
        <f t="shared" si="9"/>
        <v>0</v>
      </c>
      <c r="Y499" s="15">
        <f t="shared" si="10"/>
        <v>0</v>
      </c>
      <c r="Z499" s="13">
        <f t="shared" si="11"/>
        <v>0</v>
      </c>
      <c r="AA499" s="16">
        <f>VLOOKUP(S499,[1]CPI!$A$2:$D$67,4,0)</f>
        <v>1.0598966584134211</v>
      </c>
      <c r="AB499" s="17">
        <f t="shared" si="30"/>
        <v>3188.5083154382623</v>
      </c>
      <c r="AC499" s="17">
        <f t="shared" si="31"/>
        <v>99.021997373859065</v>
      </c>
      <c r="AD499" s="19" t="s">
        <v>35</v>
      </c>
      <c r="AE499" s="66" t="s">
        <v>858</v>
      </c>
      <c r="AF499" s="27"/>
      <c r="AG499" s="27"/>
      <c r="AH499" s="27"/>
      <c r="AI499" s="27"/>
      <c r="AJ499" s="28"/>
      <c r="AK499" s="28"/>
      <c r="AL499" s="28"/>
      <c r="AM499" s="28"/>
      <c r="AN499" s="28"/>
      <c r="AO499" s="28"/>
      <c r="AP499" s="28"/>
      <c r="AQ499" s="28"/>
    </row>
    <row r="500" spans="1:43" ht="15.75" customHeight="1" x14ac:dyDescent="0.2">
      <c r="A500" s="21">
        <v>8130</v>
      </c>
      <c r="B500" s="19" t="s">
        <v>672</v>
      </c>
      <c r="C500" s="19" t="s">
        <v>837</v>
      </c>
      <c r="D500" s="9" t="s">
        <v>119</v>
      </c>
      <c r="E500" s="19" t="s">
        <v>1008</v>
      </c>
      <c r="F500" s="19">
        <v>2019</v>
      </c>
      <c r="G500" s="19">
        <v>2022</v>
      </c>
      <c r="H500" s="19">
        <v>0</v>
      </c>
      <c r="I500" s="19">
        <v>3.65</v>
      </c>
      <c r="J500" s="64">
        <v>0.48493150680000002</v>
      </c>
      <c r="K500" s="19">
        <v>1.77</v>
      </c>
      <c r="L500" s="19">
        <v>0</v>
      </c>
      <c r="M500" s="19">
        <v>0</v>
      </c>
      <c r="N500" s="19">
        <v>2</v>
      </c>
      <c r="O500" s="19"/>
      <c r="P500" s="19" t="s">
        <v>35</v>
      </c>
      <c r="Q500" s="78">
        <v>1409</v>
      </c>
      <c r="R500" s="19" t="s">
        <v>676</v>
      </c>
      <c r="S500" s="19">
        <v>2017</v>
      </c>
      <c r="T500" s="61">
        <v>0.23899999999999999</v>
      </c>
      <c r="U500" s="62">
        <f t="shared" si="39"/>
        <v>336.75099999999998</v>
      </c>
      <c r="V500" s="14">
        <f t="shared" si="29"/>
        <v>92.260547945205474</v>
      </c>
      <c r="W500" s="15">
        <f t="shared" si="8"/>
        <v>0</v>
      </c>
      <c r="X500" s="15">
        <f t="shared" si="9"/>
        <v>0</v>
      </c>
      <c r="Y500" s="15">
        <f t="shared" si="10"/>
        <v>0</v>
      </c>
      <c r="Z500" s="13">
        <f t="shared" si="11"/>
        <v>0</v>
      </c>
      <c r="AA500" s="16">
        <f>VLOOKUP(S500,[1]CPI!$A$2:$D$67,4,0)</f>
        <v>1.1054585509138382</v>
      </c>
      <c r="AB500" s="17">
        <f t="shared" si="30"/>
        <v>372.26427247878587</v>
      </c>
      <c r="AC500" s="17">
        <f t="shared" si="31"/>
        <v>101.99021163802354</v>
      </c>
      <c r="AD500" s="19" t="s">
        <v>35</v>
      </c>
      <c r="AE500" s="66" t="s">
        <v>839</v>
      </c>
      <c r="AF500" s="27"/>
      <c r="AG500" s="27"/>
      <c r="AH500" s="27"/>
      <c r="AI500" s="27"/>
      <c r="AJ500" s="28"/>
      <c r="AK500" s="28"/>
      <c r="AL500" s="28"/>
      <c r="AM500" s="28"/>
      <c r="AN500" s="28"/>
      <c r="AO500" s="28"/>
      <c r="AP500" s="28"/>
      <c r="AQ500" s="28"/>
    </row>
    <row r="501" spans="1:43" ht="15.75" customHeight="1" x14ac:dyDescent="0.2">
      <c r="A501" s="21">
        <v>8131</v>
      </c>
      <c r="B501" s="19" t="s">
        <v>672</v>
      </c>
      <c r="C501" s="19" t="s">
        <v>673</v>
      </c>
      <c r="D501" s="9" t="s">
        <v>674</v>
      </c>
      <c r="E501" s="19" t="s">
        <v>892</v>
      </c>
      <c r="F501" s="19">
        <v>2011</v>
      </c>
      <c r="G501" s="19">
        <v>2013</v>
      </c>
      <c r="H501" s="19">
        <v>0</v>
      </c>
      <c r="I501" s="19">
        <v>6.3280000000000003</v>
      </c>
      <c r="J501" s="64">
        <v>0.73451327430000002</v>
      </c>
      <c r="K501" s="19">
        <v>4.6479999999999997</v>
      </c>
      <c r="L501" s="19">
        <v>1.7091000000000001</v>
      </c>
      <c r="M501" s="19">
        <v>0</v>
      </c>
      <c r="N501" s="19">
        <v>3</v>
      </c>
      <c r="O501" s="19"/>
      <c r="P501" s="19" t="s">
        <v>94</v>
      </c>
      <c r="Q501" s="78">
        <v>3212.2</v>
      </c>
      <c r="R501" s="19" t="s">
        <v>676</v>
      </c>
      <c r="S501" s="19">
        <v>2011</v>
      </c>
      <c r="T501" s="61">
        <v>0.28399999999999997</v>
      </c>
      <c r="U501" s="62">
        <f t="shared" si="39"/>
        <v>912.26479999999992</v>
      </c>
      <c r="V501" s="14">
        <f t="shared" si="29"/>
        <v>144.163211125158</v>
      </c>
      <c r="W501" s="15">
        <f t="shared" si="8"/>
        <v>0</v>
      </c>
      <c r="X501" s="15">
        <f t="shared" si="9"/>
        <v>0</v>
      </c>
      <c r="Y501" s="15">
        <f t="shared" si="10"/>
        <v>0</v>
      </c>
      <c r="Z501" s="13">
        <f t="shared" si="11"/>
        <v>0</v>
      </c>
      <c r="AA501" s="16">
        <f>VLOOKUP(S501,[1]CPI!$A$2:$D$67,4,0)</f>
        <v>1.2046377017769263</v>
      </c>
      <c r="AB501" s="17">
        <f t="shared" si="30"/>
        <v>1098.9485720839873</v>
      </c>
      <c r="AC501" s="17">
        <f t="shared" si="31"/>
        <v>173.66443933059216</v>
      </c>
      <c r="AD501" s="19" t="s">
        <v>43</v>
      </c>
      <c r="AE501" s="66" t="s">
        <v>1009</v>
      </c>
      <c r="AF501" s="27"/>
      <c r="AG501" s="27"/>
      <c r="AH501" s="27"/>
      <c r="AI501" s="27"/>
      <c r="AJ501" s="28"/>
      <c r="AK501" s="28"/>
      <c r="AL501" s="28"/>
      <c r="AM501" s="28"/>
      <c r="AN501" s="28"/>
      <c r="AO501" s="28"/>
      <c r="AP501" s="28"/>
      <c r="AQ501" s="28"/>
    </row>
    <row r="502" spans="1:43" ht="15.75" customHeight="1" x14ac:dyDescent="0.2">
      <c r="A502" s="21">
        <v>8136</v>
      </c>
      <c r="B502" s="19" t="s">
        <v>672</v>
      </c>
      <c r="C502" s="19" t="s">
        <v>695</v>
      </c>
      <c r="D502" s="9" t="s">
        <v>674</v>
      </c>
      <c r="E502" s="19" t="s">
        <v>1010</v>
      </c>
      <c r="F502" s="19">
        <v>2016</v>
      </c>
      <c r="G502" s="19">
        <v>2018</v>
      </c>
      <c r="H502" s="19">
        <v>0</v>
      </c>
      <c r="I502" s="19">
        <v>6.6890000000000001</v>
      </c>
      <c r="J502" s="64">
        <v>0</v>
      </c>
      <c r="K502" s="19">
        <v>0</v>
      </c>
      <c r="L502" s="19">
        <v>6.65</v>
      </c>
      <c r="M502" s="19">
        <v>0.04</v>
      </c>
      <c r="N502" s="19">
        <v>6</v>
      </c>
      <c r="O502" s="19"/>
      <c r="P502" s="19" t="s">
        <v>43</v>
      </c>
      <c r="Q502" s="78">
        <v>3177</v>
      </c>
      <c r="R502" s="19" t="s">
        <v>676</v>
      </c>
      <c r="S502" s="19">
        <v>2015</v>
      </c>
      <c r="T502" s="61">
        <v>0.25800000000000001</v>
      </c>
      <c r="U502" s="62">
        <f t="shared" si="39"/>
        <v>819.66600000000005</v>
      </c>
      <c r="V502" s="14">
        <f t="shared" si="29"/>
        <v>122.53939303333833</v>
      </c>
      <c r="W502" s="15">
        <f t="shared" si="8"/>
        <v>0</v>
      </c>
      <c r="X502" s="15">
        <f t="shared" si="9"/>
        <v>0</v>
      </c>
      <c r="Y502" s="15">
        <f t="shared" si="10"/>
        <v>0</v>
      </c>
      <c r="Z502" s="13">
        <f t="shared" si="11"/>
        <v>0</v>
      </c>
      <c r="AA502" s="16">
        <f>VLOOKUP(S502,[1]CPI!$A$2:$D$67,4,0)</f>
        <v>1.143251327963817</v>
      </c>
      <c r="AB502" s="17">
        <f t="shared" si="30"/>
        <v>937.08424298679006</v>
      </c>
      <c r="AC502" s="17">
        <f t="shared" si="31"/>
        <v>140.09332381324415</v>
      </c>
      <c r="AD502" s="19" t="s">
        <v>43</v>
      </c>
      <c r="AE502" s="66" t="s">
        <v>1011</v>
      </c>
      <c r="AF502" s="27"/>
      <c r="AG502" s="27"/>
      <c r="AH502" s="27"/>
      <c r="AI502" s="27"/>
      <c r="AJ502" s="28"/>
      <c r="AK502" s="28"/>
      <c r="AL502" s="28"/>
      <c r="AM502" s="28"/>
      <c r="AN502" s="28"/>
      <c r="AO502" s="28"/>
      <c r="AP502" s="28"/>
      <c r="AQ502" s="28"/>
    </row>
    <row r="503" spans="1:43" ht="15.75" customHeight="1" x14ac:dyDescent="0.2">
      <c r="A503" s="21">
        <v>8137</v>
      </c>
      <c r="B503" s="19" t="s">
        <v>672</v>
      </c>
      <c r="C503" s="19" t="s">
        <v>775</v>
      </c>
      <c r="D503" s="9" t="s">
        <v>92</v>
      </c>
      <c r="E503" s="19" t="s">
        <v>1012</v>
      </c>
      <c r="F503" s="19">
        <v>2013</v>
      </c>
      <c r="G503" s="19">
        <v>2015</v>
      </c>
      <c r="H503" s="19">
        <v>0</v>
      </c>
      <c r="I503" s="19">
        <v>7.3</v>
      </c>
      <c r="J503" s="64"/>
      <c r="K503" s="19"/>
      <c r="L503" s="19" t="e">
        <v>#N/A</v>
      </c>
      <c r="M503" s="19" t="e">
        <v>#N/A</v>
      </c>
      <c r="N503" s="19">
        <v>3</v>
      </c>
      <c r="O503" s="19"/>
      <c r="P503" s="19" t="s">
        <v>35</v>
      </c>
      <c r="Q503" s="78">
        <v>2395</v>
      </c>
      <c r="R503" s="19" t="s">
        <v>676</v>
      </c>
      <c r="S503" s="19">
        <v>2013</v>
      </c>
      <c r="T503" s="61">
        <v>0.27300000000000002</v>
      </c>
      <c r="U503" s="62">
        <f t="shared" si="39"/>
        <v>653.83500000000004</v>
      </c>
      <c r="V503" s="14">
        <f t="shared" si="29"/>
        <v>89.566438356164397</v>
      </c>
      <c r="W503" s="15">
        <f t="shared" si="8"/>
        <v>0</v>
      </c>
      <c r="X503" s="15">
        <f t="shared" si="9"/>
        <v>0</v>
      </c>
      <c r="Y503" s="15">
        <f t="shared" si="10"/>
        <v>0</v>
      </c>
      <c r="Z503" s="13">
        <f t="shared" si="11"/>
        <v>0</v>
      </c>
      <c r="AA503" s="16">
        <f>VLOOKUP(S503,[1]CPI!$A$2:$D$67,4,0)</f>
        <v>1.16317603677932</v>
      </c>
      <c r="AB503" s="17">
        <f t="shared" si="30"/>
        <v>760.5252040076067</v>
      </c>
      <c r="AC503" s="17">
        <f t="shared" si="31"/>
        <v>104.18153479556258</v>
      </c>
      <c r="AD503" s="19" t="s">
        <v>35</v>
      </c>
      <c r="AE503" s="66" t="s">
        <v>960</v>
      </c>
      <c r="AF503" s="27"/>
      <c r="AG503" s="27"/>
      <c r="AH503" s="27"/>
      <c r="AI503" s="27"/>
      <c r="AJ503" s="28"/>
      <c r="AK503" s="28"/>
      <c r="AL503" s="28"/>
      <c r="AM503" s="28"/>
      <c r="AN503" s="28"/>
      <c r="AO503" s="28"/>
      <c r="AP503" s="28"/>
      <c r="AQ503" s="28"/>
    </row>
    <row r="504" spans="1:43" ht="15.75" customHeight="1" x14ac:dyDescent="0.2">
      <c r="A504" s="21">
        <v>8138</v>
      </c>
      <c r="B504" s="19" t="s">
        <v>672</v>
      </c>
      <c r="C504" s="19" t="s">
        <v>877</v>
      </c>
      <c r="D504" s="9"/>
      <c r="E504" s="19" t="s">
        <v>768</v>
      </c>
      <c r="F504" s="19"/>
      <c r="G504" s="19"/>
      <c r="H504" s="19">
        <v>0</v>
      </c>
      <c r="I504" s="19">
        <v>3</v>
      </c>
      <c r="J504" s="64">
        <v>0.2666666667</v>
      </c>
      <c r="K504" s="19">
        <v>0.8</v>
      </c>
      <c r="L504" s="19">
        <v>0</v>
      </c>
      <c r="M504" s="19">
        <v>0</v>
      </c>
      <c r="N504" s="19">
        <v>2</v>
      </c>
      <c r="O504" s="19"/>
      <c r="P504" s="19" t="s">
        <v>35</v>
      </c>
      <c r="Q504" s="78">
        <v>839</v>
      </c>
      <c r="R504" s="19" t="s">
        <v>676</v>
      </c>
      <c r="S504" s="19">
        <v>2018</v>
      </c>
      <c r="T504" s="61">
        <v>0.23699999999999999</v>
      </c>
      <c r="U504" s="62">
        <f t="shared" si="39"/>
        <v>198.84299999999999</v>
      </c>
      <c r="V504" s="14">
        <f t="shared" si="29"/>
        <v>66.280999999999992</v>
      </c>
      <c r="W504" s="15">
        <f t="shared" si="8"/>
        <v>0</v>
      </c>
      <c r="X504" s="15">
        <f t="shared" si="9"/>
        <v>0</v>
      </c>
      <c r="Y504" s="15">
        <f t="shared" si="10"/>
        <v>0</v>
      </c>
      <c r="Z504" s="13">
        <f t="shared" si="11"/>
        <v>0</v>
      </c>
      <c r="AA504" s="16">
        <f>VLOOKUP(S504,[1]CPI!$A$2:$D$67,4,0)</f>
        <v>1.0791017375063221</v>
      </c>
      <c r="AB504" s="17">
        <f t="shared" si="30"/>
        <v>214.5718267909696</v>
      </c>
      <c r="AC504" s="17">
        <f t="shared" si="31"/>
        <v>71.523942263656522</v>
      </c>
      <c r="AD504" s="19" t="s">
        <v>35</v>
      </c>
      <c r="AE504" s="66" t="s">
        <v>951</v>
      </c>
      <c r="AF504" s="27"/>
      <c r="AG504" s="27"/>
      <c r="AH504" s="27"/>
      <c r="AI504" s="27"/>
      <c r="AJ504" s="28"/>
      <c r="AK504" s="28"/>
      <c r="AL504" s="28"/>
      <c r="AM504" s="28"/>
      <c r="AN504" s="28"/>
      <c r="AO504" s="28"/>
      <c r="AP504" s="28"/>
      <c r="AQ504" s="28"/>
    </row>
    <row r="505" spans="1:43" ht="15.75" customHeight="1" x14ac:dyDescent="0.2">
      <c r="A505" s="21">
        <v>8139</v>
      </c>
      <c r="B505" s="19" t="s">
        <v>672</v>
      </c>
      <c r="C505" s="19" t="s">
        <v>673</v>
      </c>
      <c r="D505" s="9" t="s">
        <v>685</v>
      </c>
      <c r="E505" s="19" t="s">
        <v>685</v>
      </c>
      <c r="F505" s="19">
        <v>2005</v>
      </c>
      <c r="G505" s="19">
        <v>2008</v>
      </c>
      <c r="H505" s="19">
        <v>0</v>
      </c>
      <c r="I505" s="19">
        <v>28.1</v>
      </c>
      <c r="J505" s="64">
        <v>0</v>
      </c>
      <c r="K505" s="19">
        <v>0</v>
      </c>
      <c r="L505" s="19">
        <v>17.315000000000001</v>
      </c>
      <c r="M505" s="19">
        <v>10.785</v>
      </c>
      <c r="N505" s="19">
        <v>4</v>
      </c>
      <c r="O505" s="19"/>
      <c r="P505" s="19" t="s">
        <v>94</v>
      </c>
      <c r="Q505" s="78">
        <v>622.29999999999995</v>
      </c>
      <c r="R505" s="19" t="s">
        <v>676</v>
      </c>
      <c r="S505" s="19">
        <v>2005</v>
      </c>
      <c r="T505" s="61">
        <v>0.35189999999999999</v>
      </c>
      <c r="U505" s="62">
        <f t="shared" si="39"/>
        <v>218.98736999999997</v>
      </c>
      <c r="V505" s="14">
        <f t="shared" si="29"/>
        <v>7.7931448398576499</v>
      </c>
      <c r="W505" s="15">
        <f t="shared" si="8"/>
        <v>0</v>
      </c>
      <c r="X505" s="15">
        <f t="shared" si="9"/>
        <v>0</v>
      </c>
      <c r="Y505" s="15">
        <f t="shared" si="10"/>
        <v>0</v>
      </c>
      <c r="Z505" s="13">
        <f t="shared" si="11"/>
        <v>0</v>
      </c>
      <c r="AA505" s="16">
        <f>VLOOKUP(S505,[1]CPI!$A$2:$D$67,4,0)</f>
        <v>1.3874551971326166</v>
      </c>
      <c r="AB505" s="17">
        <f t="shared" si="30"/>
        <v>303.83516461290321</v>
      </c>
      <c r="AC505" s="17">
        <f t="shared" si="31"/>
        <v>10.812639310067729</v>
      </c>
      <c r="AD505" s="19" t="s">
        <v>43</v>
      </c>
      <c r="AE505" s="66" t="s">
        <v>924</v>
      </c>
      <c r="AF505" s="27"/>
      <c r="AG505" s="27"/>
      <c r="AH505" s="27"/>
      <c r="AI505" s="27"/>
      <c r="AJ505" s="28"/>
      <c r="AK505" s="28"/>
      <c r="AL505" s="28"/>
      <c r="AM505" s="28"/>
      <c r="AN505" s="28"/>
      <c r="AO505" s="28"/>
      <c r="AP505" s="28"/>
      <c r="AQ505" s="28"/>
    </row>
    <row r="506" spans="1:43" ht="15.75" customHeight="1" x14ac:dyDescent="0.2">
      <c r="A506" s="21">
        <v>8144</v>
      </c>
      <c r="B506" s="57" t="s">
        <v>672</v>
      </c>
      <c r="C506" s="57" t="s">
        <v>673</v>
      </c>
      <c r="D506" s="9" t="s">
        <v>674</v>
      </c>
      <c r="E506" s="57" t="s">
        <v>1013</v>
      </c>
      <c r="F506" s="58">
        <v>2014</v>
      </c>
      <c r="G506" s="58">
        <v>2018</v>
      </c>
      <c r="H506" s="58">
        <v>0</v>
      </c>
      <c r="I506" s="58">
        <v>13</v>
      </c>
      <c r="J506" s="59">
        <v>1</v>
      </c>
      <c r="K506" s="96">
        <v>13</v>
      </c>
      <c r="L506" s="58">
        <v>0</v>
      </c>
      <c r="M506" s="58">
        <v>0</v>
      </c>
      <c r="N506" s="58">
        <v>11</v>
      </c>
      <c r="O506" s="57"/>
      <c r="P506" s="57" t="s">
        <v>94</v>
      </c>
      <c r="Q506" s="60"/>
      <c r="R506" s="57" t="s">
        <v>676</v>
      </c>
      <c r="S506" s="58">
        <v>2014</v>
      </c>
      <c r="T506" s="61">
        <v>0.26600000000000001</v>
      </c>
      <c r="U506" s="69"/>
      <c r="V506" s="70"/>
      <c r="W506" s="15">
        <f t="shared" si="8"/>
        <v>0</v>
      </c>
      <c r="X506" s="15">
        <f t="shared" si="9"/>
        <v>0</v>
      </c>
      <c r="Y506" s="15">
        <f t="shared" si="10"/>
        <v>0</v>
      </c>
      <c r="Z506" s="13">
        <f t="shared" si="11"/>
        <v>0</v>
      </c>
      <c r="AA506" s="16">
        <f>VLOOKUP(S506,[1]CPI!$A$2:$D$67,4,0)</f>
        <v>1.1446083400919169</v>
      </c>
      <c r="AB506" s="17"/>
      <c r="AC506" s="17"/>
      <c r="AD506" s="57" t="s">
        <v>43</v>
      </c>
      <c r="AE506" s="63" t="s">
        <v>677</v>
      </c>
      <c r="AF506" s="54"/>
      <c r="AG506" s="9"/>
      <c r="AH506" s="9"/>
      <c r="AI506" s="9"/>
      <c r="AJ506" s="9"/>
      <c r="AK506" s="9"/>
      <c r="AL506" s="9"/>
      <c r="AM506" s="9"/>
      <c r="AN506" s="9"/>
      <c r="AO506" s="9"/>
      <c r="AP506" s="9"/>
      <c r="AQ506" s="9"/>
    </row>
    <row r="507" spans="1:43" ht="15.75" customHeight="1" x14ac:dyDescent="0.2">
      <c r="A507" s="21">
        <v>8145</v>
      </c>
      <c r="B507" s="57" t="s">
        <v>672</v>
      </c>
      <c r="C507" s="57" t="s">
        <v>673</v>
      </c>
      <c r="D507" s="9" t="s">
        <v>287</v>
      </c>
      <c r="E507" s="57" t="s">
        <v>1014</v>
      </c>
      <c r="F507" s="58">
        <v>2007</v>
      </c>
      <c r="G507" s="58">
        <v>2012</v>
      </c>
      <c r="H507" s="58">
        <v>0</v>
      </c>
      <c r="I507" s="58">
        <v>32.46</v>
      </c>
      <c r="J507" s="59">
        <v>1</v>
      </c>
      <c r="K507" s="96">
        <v>32.46</v>
      </c>
      <c r="L507" s="58">
        <v>0</v>
      </c>
      <c r="M507" s="58">
        <v>0</v>
      </c>
      <c r="N507" s="58">
        <v>24</v>
      </c>
      <c r="O507" s="57"/>
      <c r="P507" s="57" t="s">
        <v>94</v>
      </c>
      <c r="Q507" s="60"/>
      <c r="R507" s="57" t="s">
        <v>676</v>
      </c>
      <c r="S507" s="58">
        <v>2007</v>
      </c>
      <c r="T507" s="61">
        <v>0.33300000000000002</v>
      </c>
      <c r="U507" s="69"/>
      <c r="V507" s="70"/>
      <c r="W507" s="15">
        <f t="shared" si="8"/>
        <v>0</v>
      </c>
      <c r="X507" s="15">
        <f t="shared" si="9"/>
        <v>0</v>
      </c>
      <c r="Y507" s="15">
        <f t="shared" si="10"/>
        <v>0</v>
      </c>
      <c r="Z507" s="13">
        <f t="shared" si="11"/>
        <v>0</v>
      </c>
      <c r="AA507" s="16">
        <f>VLOOKUP(S507,[1]CPI!$A$2:$D$67,4,0)</f>
        <v>1.3068746322500988</v>
      </c>
      <c r="AB507" s="17"/>
      <c r="AC507" s="17"/>
      <c r="AD507" s="57" t="s">
        <v>43</v>
      </c>
      <c r="AE507" s="63" t="s">
        <v>1015</v>
      </c>
      <c r="AF507" s="54"/>
      <c r="AG507" s="9"/>
      <c r="AH507" s="9"/>
      <c r="AI507" s="9"/>
      <c r="AJ507" s="9"/>
      <c r="AK507" s="9"/>
      <c r="AL507" s="9"/>
      <c r="AM507" s="9"/>
      <c r="AN507" s="9"/>
      <c r="AO507" s="9"/>
      <c r="AP507" s="9"/>
      <c r="AQ507" s="9"/>
    </row>
    <row r="508" spans="1:43" ht="15.75" customHeight="1" x14ac:dyDescent="0.2">
      <c r="A508" s="21">
        <v>8146</v>
      </c>
      <c r="B508" s="19" t="s">
        <v>672</v>
      </c>
      <c r="C508" s="19" t="s">
        <v>1016</v>
      </c>
      <c r="D508" s="9"/>
      <c r="E508" s="19" t="s">
        <v>978</v>
      </c>
      <c r="F508" s="97"/>
      <c r="G508" s="97"/>
      <c r="H508" s="97">
        <v>0</v>
      </c>
      <c r="I508" s="97">
        <v>53.5</v>
      </c>
      <c r="J508" s="98"/>
      <c r="K508" s="99"/>
      <c r="L508" s="97" t="e">
        <v>#N/A</v>
      </c>
      <c r="M508" s="97" t="e">
        <v>#N/A</v>
      </c>
      <c r="N508" s="97"/>
      <c r="O508" s="19"/>
      <c r="P508" s="19" t="s">
        <v>43</v>
      </c>
      <c r="Q508" s="100">
        <v>18606.830000000002</v>
      </c>
      <c r="R508" s="19" t="s">
        <v>676</v>
      </c>
      <c r="S508" s="97">
        <v>2014</v>
      </c>
      <c r="T508" s="61">
        <v>0.26600000000000001</v>
      </c>
      <c r="U508" s="101">
        <f t="shared" ref="U508:U509" si="40">T508*Q508</f>
        <v>4949.4167800000005</v>
      </c>
      <c r="V508" s="14">
        <f t="shared" ref="V508:V510" si="41">U508/I508</f>
        <v>92.512463177570098</v>
      </c>
      <c r="W508" s="15">
        <f t="shared" si="8"/>
        <v>0</v>
      </c>
      <c r="X508" s="15">
        <f t="shared" si="9"/>
        <v>0</v>
      </c>
      <c r="Y508" s="15">
        <f t="shared" si="10"/>
        <v>0</v>
      </c>
      <c r="Z508" s="13">
        <f t="shared" si="11"/>
        <v>0</v>
      </c>
      <c r="AA508" s="16">
        <f>VLOOKUP(S508,[1]CPI!$A$2:$D$67,4,0)</f>
        <v>1.1446083400919169</v>
      </c>
      <c r="AB508" s="17">
        <f t="shared" ref="AB508:AB510" si="42">U508*AA508</f>
        <v>5665.1437249788805</v>
      </c>
      <c r="AC508" s="17">
        <f t="shared" ref="AC508:AC510" si="43">V508*AA508</f>
        <v>105.8905369154931</v>
      </c>
      <c r="AD508" s="19" t="s">
        <v>43</v>
      </c>
      <c r="AE508" s="102" t="s">
        <v>1017</v>
      </c>
      <c r="AF508" s="54"/>
      <c r="AG508" s="9"/>
      <c r="AH508" s="9"/>
      <c r="AI508" s="9"/>
      <c r="AJ508" s="9"/>
      <c r="AK508" s="9"/>
      <c r="AL508" s="9"/>
      <c r="AM508" s="9"/>
      <c r="AN508" s="9"/>
      <c r="AO508" s="9"/>
      <c r="AP508" s="9"/>
      <c r="AQ508" s="9"/>
    </row>
    <row r="509" spans="1:43" ht="15.75" customHeight="1" x14ac:dyDescent="0.2">
      <c r="A509" s="21">
        <v>8147</v>
      </c>
      <c r="B509" s="19" t="s">
        <v>672</v>
      </c>
      <c r="C509" s="19" t="s">
        <v>1016</v>
      </c>
      <c r="D509" s="9"/>
      <c r="E509" s="19" t="s">
        <v>1018</v>
      </c>
      <c r="F509" s="97"/>
      <c r="G509" s="97"/>
      <c r="H509" s="97">
        <v>0</v>
      </c>
      <c r="I509" s="97">
        <v>70.299000000000007</v>
      </c>
      <c r="J509" s="98"/>
      <c r="K509" s="99"/>
      <c r="L509" s="97" t="e">
        <v>#N/A</v>
      </c>
      <c r="M509" s="97" t="e">
        <v>#N/A</v>
      </c>
      <c r="N509" s="97"/>
      <c r="O509" s="19"/>
      <c r="P509" s="19" t="s">
        <v>43</v>
      </c>
      <c r="Q509" s="100">
        <v>26200</v>
      </c>
      <c r="R509" s="19" t="s">
        <v>676</v>
      </c>
      <c r="S509" s="97">
        <v>2014</v>
      </c>
      <c r="T509" s="61">
        <v>0.26600000000000001</v>
      </c>
      <c r="U509" s="101">
        <f t="shared" si="40"/>
        <v>6969.2000000000007</v>
      </c>
      <c r="V509" s="14">
        <f t="shared" si="41"/>
        <v>99.136545327814048</v>
      </c>
      <c r="W509" s="15">
        <f t="shared" si="8"/>
        <v>0</v>
      </c>
      <c r="X509" s="15">
        <f t="shared" si="9"/>
        <v>0</v>
      </c>
      <c r="Y509" s="15">
        <f t="shared" si="10"/>
        <v>0</v>
      </c>
      <c r="Z509" s="13">
        <f t="shared" si="11"/>
        <v>0</v>
      </c>
      <c r="AA509" s="16">
        <f>VLOOKUP(S509,[1]CPI!$A$2:$D$67,4,0)</f>
        <v>1.1446083400919169</v>
      </c>
      <c r="AB509" s="17">
        <f t="shared" si="42"/>
        <v>7977.0044437685883</v>
      </c>
      <c r="AC509" s="17">
        <f t="shared" si="43"/>
        <v>113.47251659011631</v>
      </c>
      <c r="AD509" s="19" t="s">
        <v>43</v>
      </c>
      <c r="AE509" s="102" t="s">
        <v>1017</v>
      </c>
      <c r="AF509" s="54"/>
      <c r="AG509" s="54"/>
      <c r="AH509" s="54"/>
      <c r="AI509" s="54"/>
      <c r="AJ509" s="87"/>
      <c r="AK509" s="87"/>
      <c r="AL509" s="87"/>
      <c r="AM509" s="87"/>
      <c r="AN509" s="87"/>
      <c r="AO509" s="87"/>
      <c r="AP509" s="87"/>
    </row>
    <row r="510" spans="1:43" ht="15.75" customHeight="1" x14ac:dyDescent="0.2">
      <c r="A510" s="21">
        <v>8152</v>
      </c>
      <c r="B510" s="54" t="s">
        <v>672</v>
      </c>
      <c r="C510" s="54" t="s">
        <v>1016</v>
      </c>
      <c r="D510" s="54"/>
      <c r="E510" s="54" t="s">
        <v>660</v>
      </c>
      <c r="F510" s="72">
        <v>2022</v>
      </c>
      <c r="G510" s="54"/>
      <c r="H510" s="72">
        <v>0</v>
      </c>
      <c r="I510" s="72">
        <v>32.5</v>
      </c>
      <c r="J510" s="73">
        <v>1</v>
      </c>
      <c r="K510" s="103">
        <v>32.5</v>
      </c>
      <c r="L510" s="54"/>
      <c r="M510" s="54"/>
      <c r="N510" s="72">
        <v>23</v>
      </c>
      <c r="O510" s="72">
        <v>117</v>
      </c>
      <c r="P510" s="54"/>
      <c r="Q510" s="65">
        <v>26000</v>
      </c>
      <c r="R510" s="54" t="s">
        <v>676</v>
      </c>
      <c r="S510" s="54">
        <v>2021</v>
      </c>
      <c r="T510" s="61">
        <v>0.23899999999999999</v>
      </c>
      <c r="U510" s="69">
        <f>Q510*T510</f>
        <v>6214</v>
      </c>
      <c r="V510" s="70">
        <f t="shared" si="41"/>
        <v>191.2</v>
      </c>
      <c r="W510" s="15">
        <f t="shared" si="8"/>
        <v>0</v>
      </c>
      <c r="X510" s="15">
        <f t="shared" si="9"/>
        <v>0</v>
      </c>
      <c r="Y510" s="15">
        <f t="shared" si="10"/>
        <v>0</v>
      </c>
      <c r="Z510" s="13">
        <f t="shared" si="11"/>
        <v>0</v>
      </c>
      <c r="AA510" s="16">
        <f>VLOOKUP(S510,[1]CPI!$A$2:$D$67,4,0)</f>
        <v>1</v>
      </c>
      <c r="AB510" s="17">
        <f t="shared" si="42"/>
        <v>6214</v>
      </c>
      <c r="AC510" s="17">
        <f t="shared" si="43"/>
        <v>191.2</v>
      </c>
      <c r="AD510" s="54"/>
      <c r="AE510" s="84" t="s">
        <v>1019</v>
      </c>
      <c r="AF510" s="54"/>
      <c r="AG510" s="54"/>
      <c r="AH510" s="54"/>
      <c r="AI510" s="54"/>
      <c r="AJ510" s="82"/>
      <c r="AK510" s="82"/>
      <c r="AL510" s="82"/>
      <c r="AM510" s="82"/>
      <c r="AN510" s="82"/>
      <c r="AO510" s="82"/>
      <c r="AP510" s="82"/>
      <c r="AQ510" s="82"/>
    </row>
    <row r="511" spans="1:43" ht="15.75" customHeight="1" x14ac:dyDescent="0.2">
      <c r="A511" s="21">
        <v>8153</v>
      </c>
      <c r="B511" s="57" t="s">
        <v>672</v>
      </c>
      <c r="C511" s="57" t="s">
        <v>1016</v>
      </c>
      <c r="D511" s="9"/>
      <c r="E511" s="57" t="s">
        <v>643</v>
      </c>
      <c r="F511" s="58">
        <v>2020</v>
      </c>
      <c r="G511" s="57"/>
      <c r="H511" s="58">
        <v>0</v>
      </c>
      <c r="I511" s="58">
        <v>27.9</v>
      </c>
      <c r="J511" s="59">
        <f>K511/I511</f>
        <v>1</v>
      </c>
      <c r="K511" s="96">
        <v>27.9</v>
      </c>
      <c r="L511" s="58">
        <v>0</v>
      </c>
      <c r="M511" s="58">
        <v>0</v>
      </c>
      <c r="N511" s="58">
        <v>23</v>
      </c>
      <c r="O511" s="57"/>
      <c r="P511" s="57" t="s">
        <v>35</v>
      </c>
      <c r="Q511" s="60"/>
      <c r="R511" s="57" t="s">
        <v>676</v>
      </c>
      <c r="S511" s="58">
        <v>2020</v>
      </c>
      <c r="T511" s="61">
        <v>0.23899999999999999</v>
      </c>
      <c r="U511" s="69"/>
      <c r="V511" s="70"/>
      <c r="W511" s="15">
        <f t="shared" si="8"/>
        <v>0</v>
      </c>
      <c r="X511" s="15">
        <f t="shared" si="9"/>
        <v>0</v>
      </c>
      <c r="Y511" s="15">
        <f t="shared" si="10"/>
        <v>0</v>
      </c>
      <c r="Z511" s="13">
        <f t="shared" si="11"/>
        <v>0</v>
      </c>
      <c r="AA511" s="16">
        <f>VLOOKUP(S511,[1]CPI!$A$2:$D$67,4,0)</f>
        <v>1.0469802288156225</v>
      </c>
      <c r="AB511" s="17"/>
      <c r="AC511" s="17"/>
      <c r="AD511" s="57" t="s">
        <v>35</v>
      </c>
      <c r="AE511" s="102" t="s">
        <v>1020</v>
      </c>
      <c r="AF511" s="27"/>
      <c r="AG511" s="27"/>
      <c r="AH511" s="27"/>
      <c r="AI511" s="27"/>
      <c r="AJ511" s="28"/>
      <c r="AK511" s="28"/>
      <c r="AL511" s="28"/>
      <c r="AM511" s="28"/>
      <c r="AN511" s="28"/>
      <c r="AO511" s="28"/>
      <c r="AP511" s="28"/>
      <c r="AQ511" s="28"/>
    </row>
    <row r="512" spans="1:43" ht="15.75" customHeight="1" x14ac:dyDescent="0.2">
      <c r="A512" s="21">
        <v>8154</v>
      </c>
      <c r="B512" s="54" t="s">
        <v>672</v>
      </c>
      <c r="C512" s="54" t="s">
        <v>1021</v>
      </c>
      <c r="D512" s="54"/>
      <c r="E512" s="54" t="s">
        <v>698</v>
      </c>
      <c r="F512" s="72">
        <v>2021</v>
      </c>
      <c r="G512" s="54"/>
      <c r="H512" s="72">
        <v>0</v>
      </c>
      <c r="I512" s="72">
        <v>9.6</v>
      </c>
      <c r="J512" s="73">
        <v>1</v>
      </c>
      <c r="K512" s="103">
        <v>9.6</v>
      </c>
      <c r="L512" s="54"/>
      <c r="M512" s="54"/>
      <c r="N512" s="72">
        <v>9</v>
      </c>
      <c r="O512" s="72">
        <v>138</v>
      </c>
      <c r="P512" s="54"/>
      <c r="Q512" s="65">
        <v>8960</v>
      </c>
      <c r="R512" s="54" t="s">
        <v>676</v>
      </c>
      <c r="S512" s="54">
        <v>2021</v>
      </c>
      <c r="T512" s="61">
        <v>0.23899999999999999</v>
      </c>
      <c r="U512" s="69">
        <f t="shared" ref="U512:U513" si="44">Q512*T512</f>
        <v>2141.44</v>
      </c>
      <c r="V512" s="70">
        <f t="shared" ref="V512:V537" si="45">U512/I512</f>
        <v>223.06666666666669</v>
      </c>
      <c r="W512" s="15">
        <f t="shared" ref="W512:W766" si="46">IF(OR(B512 = "BG",B512 = "GR",B512 = "IT",B512 = "ES",B512 = "PT",B512 = "TR", B512 = "KR",B512 = "SE",B512 = "CH",B512 = "NO",B512 = "DK",B512 = "FI"), 1, 0)</f>
        <v>0</v>
      </c>
      <c r="X512" s="15">
        <f t="shared" ref="X512:X766" si="47">W512*I512</f>
        <v>0</v>
      </c>
      <c r="Y512" s="15">
        <f t="shared" ref="Y512:Y766" si="48">W512*K512</f>
        <v>0</v>
      </c>
      <c r="Z512" s="13">
        <f t="shared" ref="Z512:Z766" si="49">IF(OR(B512 = "US",B512 = "CA",B512 = "UK",B512 = "NZ",B512 = "AU",B512 = "SG"), 1, 0)</f>
        <v>0</v>
      </c>
      <c r="AA512" s="16">
        <f>VLOOKUP(S512,[1]CPI!$A$2:$D$67,4,0)</f>
        <v>1</v>
      </c>
      <c r="AB512" s="17">
        <f t="shared" ref="AB512:AB537" si="50">U512*AA512</f>
        <v>2141.44</v>
      </c>
      <c r="AC512" s="17">
        <f t="shared" ref="AC512:AC537" si="51">V512*AA512</f>
        <v>223.06666666666669</v>
      </c>
      <c r="AD512" s="54" t="s">
        <v>73</v>
      </c>
      <c r="AE512" s="46" t="s">
        <v>1022</v>
      </c>
      <c r="AF512" s="54"/>
      <c r="AG512" s="54"/>
      <c r="AH512" s="54"/>
      <c r="AI512" s="54"/>
      <c r="AJ512" s="82"/>
      <c r="AK512" s="82"/>
      <c r="AL512" s="82"/>
      <c r="AM512" s="82"/>
      <c r="AN512" s="82"/>
      <c r="AO512" s="82"/>
      <c r="AP512" s="82"/>
      <c r="AQ512" s="82"/>
    </row>
    <row r="513" spans="1:43" ht="15.75" customHeight="1" x14ac:dyDescent="0.2">
      <c r="A513" s="21">
        <v>8155</v>
      </c>
      <c r="B513" s="54" t="s">
        <v>672</v>
      </c>
      <c r="C513" s="54" t="s">
        <v>1021</v>
      </c>
      <c r="D513" s="54"/>
      <c r="E513" s="54" t="s">
        <v>679</v>
      </c>
      <c r="F513" s="54"/>
      <c r="G513" s="72">
        <v>2019</v>
      </c>
      <c r="H513" s="72">
        <v>0</v>
      </c>
      <c r="I513" s="72">
        <v>25.9</v>
      </c>
      <c r="J513" s="73">
        <v>1</v>
      </c>
      <c r="K513" s="103">
        <v>25.9</v>
      </c>
      <c r="L513" s="54"/>
      <c r="M513" s="54"/>
      <c r="N513" s="72">
        <v>20</v>
      </c>
      <c r="O513" s="72">
        <v>138</v>
      </c>
      <c r="P513" s="54"/>
      <c r="Q513" s="65">
        <v>19816</v>
      </c>
      <c r="R513" s="54" t="s">
        <v>676</v>
      </c>
      <c r="S513" s="54">
        <v>2019</v>
      </c>
      <c r="T513" s="61">
        <v>0.23799999999999999</v>
      </c>
      <c r="U513" s="69">
        <f t="shared" si="44"/>
        <v>4716.2079999999996</v>
      </c>
      <c r="V513" s="70">
        <f t="shared" si="45"/>
        <v>182.09297297297297</v>
      </c>
      <c r="W513" s="15">
        <f t="shared" si="46"/>
        <v>0</v>
      </c>
      <c r="X513" s="15">
        <f t="shared" si="47"/>
        <v>0</v>
      </c>
      <c r="Y513" s="15">
        <f t="shared" si="48"/>
        <v>0</v>
      </c>
      <c r="Z513" s="13">
        <f t="shared" si="49"/>
        <v>0</v>
      </c>
      <c r="AA513" s="16">
        <f>VLOOKUP(S513,[1]CPI!$A$2:$D$67,4,0)</f>
        <v>1.0598966584134211</v>
      </c>
      <c r="AB513" s="17">
        <f t="shared" si="50"/>
        <v>4998.6930995826433</v>
      </c>
      <c r="AC513" s="17">
        <f t="shared" si="51"/>
        <v>192.99973357461946</v>
      </c>
      <c r="AD513" s="54" t="s">
        <v>73</v>
      </c>
      <c r="AE513" s="46" t="s">
        <v>1023</v>
      </c>
      <c r="AF513" s="54"/>
      <c r="AG513" s="54"/>
      <c r="AH513" s="54"/>
      <c r="AI513" s="54"/>
      <c r="AJ513" s="82"/>
      <c r="AK513" s="82"/>
      <c r="AL513" s="82"/>
      <c r="AM513" s="82"/>
      <c r="AN513" s="82"/>
      <c r="AO513" s="82"/>
      <c r="AP513" s="82"/>
      <c r="AQ513" s="82"/>
    </row>
    <row r="514" spans="1:43" ht="15.75" customHeight="1" x14ac:dyDescent="0.2">
      <c r="A514" s="21">
        <v>8160</v>
      </c>
      <c r="B514" s="19" t="s">
        <v>672</v>
      </c>
      <c r="C514" s="19" t="s">
        <v>1024</v>
      </c>
      <c r="D514" s="9" t="s">
        <v>92</v>
      </c>
      <c r="E514" s="19" t="s">
        <v>679</v>
      </c>
      <c r="F514" s="72">
        <v>2021</v>
      </c>
      <c r="G514" s="72">
        <v>2026</v>
      </c>
      <c r="H514" s="72">
        <v>0</v>
      </c>
      <c r="I514" s="72">
        <v>57.46</v>
      </c>
      <c r="J514" s="73">
        <v>0.86</v>
      </c>
      <c r="K514" s="103">
        <v>49.4</v>
      </c>
      <c r="L514" s="54"/>
      <c r="M514" s="54"/>
      <c r="N514" s="72">
        <v>25</v>
      </c>
      <c r="O514" s="72">
        <v>117</v>
      </c>
      <c r="P514" s="54"/>
      <c r="Q514" s="104">
        <v>37976</v>
      </c>
      <c r="R514" s="54" t="s">
        <v>676</v>
      </c>
      <c r="S514" s="97">
        <v>2019</v>
      </c>
      <c r="T514" s="61">
        <v>0.23799999999999999</v>
      </c>
      <c r="U514" s="101">
        <f t="shared" ref="U514:U520" si="52">T514*Q514</f>
        <v>9038.2880000000005</v>
      </c>
      <c r="V514" s="14">
        <f t="shared" si="45"/>
        <v>157.29704142011835</v>
      </c>
      <c r="W514" s="15">
        <f t="shared" si="46"/>
        <v>0</v>
      </c>
      <c r="X514" s="15">
        <f t="shared" si="47"/>
        <v>0</v>
      </c>
      <c r="Y514" s="15">
        <f t="shared" si="48"/>
        <v>0</v>
      </c>
      <c r="Z514" s="13">
        <f t="shared" si="49"/>
        <v>0</v>
      </c>
      <c r="AA514" s="16">
        <f>VLOOKUP(S514,[1]CPI!$A$2:$D$67,4,0)</f>
        <v>1.0598966584134211</v>
      </c>
      <c r="AB514" s="17">
        <f t="shared" si="50"/>
        <v>9579.6512489781235</v>
      </c>
      <c r="AC514" s="17">
        <f t="shared" si="51"/>
        <v>166.71860857950091</v>
      </c>
      <c r="AD514" s="19" t="s">
        <v>35</v>
      </c>
      <c r="AE514" s="105" t="s">
        <v>1025</v>
      </c>
      <c r="AF514" s="27"/>
      <c r="AG514" s="27"/>
      <c r="AH514" s="27"/>
      <c r="AI514" s="27"/>
      <c r="AJ514" s="28"/>
      <c r="AK514" s="28"/>
      <c r="AL514" s="28"/>
      <c r="AM514" s="28"/>
      <c r="AN514" s="28"/>
      <c r="AO514" s="28"/>
      <c r="AP514" s="28"/>
      <c r="AQ514" s="28"/>
    </row>
    <row r="515" spans="1:43" ht="15.75" customHeight="1" x14ac:dyDescent="0.2">
      <c r="A515" s="21">
        <v>8161</v>
      </c>
      <c r="B515" s="19" t="s">
        <v>672</v>
      </c>
      <c r="C515" s="19" t="s">
        <v>1024</v>
      </c>
      <c r="D515" s="9" t="s">
        <v>92</v>
      </c>
      <c r="E515" s="19" t="s">
        <v>761</v>
      </c>
      <c r="F515" s="97">
        <v>2023</v>
      </c>
      <c r="G515" s="97">
        <v>2028</v>
      </c>
      <c r="H515" s="97">
        <v>0</v>
      </c>
      <c r="I515" s="97">
        <v>10.9</v>
      </c>
      <c r="J515" s="98">
        <f>K515/I515</f>
        <v>0.34862385321100914</v>
      </c>
      <c r="K515" s="99">
        <v>3.8</v>
      </c>
      <c r="L515" s="97">
        <v>0</v>
      </c>
      <c r="M515" s="97">
        <v>0</v>
      </c>
      <c r="N515" s="97">
        <v>4</v>
      </c>
      <c r="O515" s="19"/>
      <c r="P515" s="19" t="s">
        <v>35</v>
      </c>
      <c r="Q515" s="106">
        <v>6055</v>
      </c>
      <c r="R515" s="19" t="s">
        <v>676</v>
      </c>
      <c r="S515" s="97">
        <v>2019</v>
      </c>
      <c r="T515" s="61">
        <v>0.23799999999999999</v>
      </c>
      <c r="U515" s="101">
        <f t="shared" si="52"/>
        <v>1441.09</v>
      </c>
      <c r="V515" s="14">
        <f t="shared" si="45"/>
        <v>132.21009174311925</v>
      </c>
      <c r="W515" s="15">
        <f t="shared" si="46"/>
        <v>0</v>
      </c>
      <c r="X515" s="15">
        <f t="shared" si="47"/>
        <v>0</v>
      </c>
      <c r="Y515" s="15">
        <f t="shared" si="48"/>
        <v>0</v>
      </c>
      <c r="Z515" s="13">
        <f t="shared" si="49"/>
        <v>0</v>
      </c>
      <c r="AA515" s="16">
        <f>VLOOKUP(S515,[1]CPI!$A$2:$D$67,4,0)</f>
        <v>1.0598966584134211</v>
      </c>
      <c r="AB515" s="17">
        <f t="shared" si="50"/>
        <v>1527.4064754729968</v>
      </c>
      <c r="AC515" s="17">
        <f t="shared" si="51"/>
        <v>140.12903444706393</v>
      </c>
      <c r="AD515" s="19" t="s">
        <v>35</v>
      </c>
      <c r="AE515" s="102" t="s">
        <v>1026</v>
      </c>
      <c r="AF515" s="27"/>
      <c r="AG515" s="27"/>
      <c r="AH515" s="27"/>
      <c r="AI515" s="27"/>
      <c r="AJ515" s="28"/>
      <c r="AK515" s="28"/>
      <c r="AL515" s="28"/>
      <c r="AM515" s="28"/>
      <c r="AN515" s="28"/>
      <c r="AO515" s="28"/>
      <c r="AP515" s="28"/>
      <c r="AQ515" s="28"/>
    </row>
    <row r="516" spans="1:43" ht="15.75" customHeight="1" x14ac:dyDescent="0.2">
      <c r="A516" s="21">
        <v>8162</v>
      </c>
      <c r="B516" s="19" t="s">
        <v>672</v>
      </c>
      <c r="C516" s="19" t="s">
        <v>1024</v>
      </c>
      <c r="D516" s="9" t="s">
        <v>92</v>
      </c>
      <c r="E516" s="19" t="s">
        <v>944</v>
      </c>
      <c r="F516" s="72">
        <v>2021</v>
      </c>
      <c r="G516" s="72">
        <v>2026</v>
      </c>
      <c r="H516" s="72">
        <v>0</v>
      </c>
      <c r="I516" s="72">
        <v>51.5</v>
      </c>
      <c r="J516" s="73">
        <v>1</v>
      </c>
      <c r="K516" s="103">
        <v>51.5</v>
      </c>
      <c r="L516" s="54"/>
      <c r="M516" s="54"/>
      <c r="N516" s="72">
        <v>20</v>
      </c>
      <c r="O516" s="72">
        <v>117</v>
      </c>
      <c r="P516" s="54"/>
      <c r="Q516" s="104">
        <v>36807</v>
      </c>
      <c r="R516" s="19" t="s">
        <v>676</v>
      </c>
      <c r="S516" s="97">
        <v>2019</v>
      </c>
      <c r="T516" s="61">
        <v>0.23799999999999999</v>
      </c>
      <c r="U516" s="101">
        <f t="shared" si="52"/>
        <v>8760.0659999999989</v>
      </c>
      <c r="V516" s="14">
        <f t="shared" si="45"/>
        <v>170.09836893203882</v>
      </c>
      <c r="W516" s="15">
        <f t="shared" si="46"/>
        <v>0</v>
      </c>
      <c r="X516" s="15">
        <f t="shared" si="47"/>
        <v>0</v>
      </c>
      <c r="Y516" s="15">
        <f t="shared" si="48"/>
        <v>0</v>
      </c>
      <c r="Z516" s="13">
        <f t="shared" si="49"/>
        <v>0</v>
      </c>
      <c r="AA516" s="16">
        <f>VLOOKUP(S516,[1]CPI!$A$2:$D$67,4,0)</f>
        <v>1.0598966584134211</v>
      </c>
      <c r="AB516" s="17">
        <f t="shared" si="50"/>
        <v>9284.7646808810223</v>
      </c>
      <c r="AC516" s="17">
        <f t="shared" si="51"/>
        <v>180.28669283264122</v>
      </c>
      <c r="AD516" s="19" t="s">
        <v>35</v>
      </c>
      <c r="AE516" s="102" t="s">
        <v>1026</v>
      </c>
      <c r="AF516" s="27"/>
      <c r="AG516" s="27"/>
      <c r="AH516" s="27"/>
      <c r="AI516" s="27"/>
      <c r="AJ516" s="28"/>
      <c r="AK516" s="28"/>
      <c r="AL516" s="28"/>
      <c r="AM516" s="28"/>
      <c r="AN516" s="28"/>
      <c r="AO516" s="28"/>
      <c r="AP516" s="28"/>
      <c r="AQ516" s="28"/>
    </row>
    <row r="517" spans="1:43" ht="15.75" customHeight="1" x14ac:dyDescent="0.2">
      <c r="A517" s="21">
        <v>8163</v>
      </c>
      <c r="B517" s="19" t="s">
        <v>672</v>
      </c>
      <c r="C517" s="19" t="s">
        <v>1024</v>
      </c>
      <c r="D517" s="9" t="s">
        <v>92</v>
      </c>
      <c r="E517" s="19" t="s">
        <v>1027</v>
      </c>
      <c r="F517" s="97">
        <v>2022</v>
      </c>
      <c r="G517" s="97">
        <v>2027</v>
      </c>
      <c r="H517" s="97">
        <v>0</v>
      </c>
      <c r="I517" s="97">
        <v>25.56</v>
      </c>
      <c r="J517" s="98">
        <f>K517/I517</f>
        <v>1</v>
      </c>
      <c r="K517" s="99">
        <v>25.56</v>
      </c>
      <c r="L517" s="97">
        <v>0</v>
      </c>
      <c r="M517" s="97">
        <v>0</v>
      </c>
      <c r="N517" s="97">
        <v>10</v>
      </c>
      <c r="O517" s="19"/>
      <c r="P517" s="19" t="s">
        <v>35</v>
      </c>
      <c r="Q517" s="106">
        <v>17499</v>
      </c>
      <c r="R517" s="19" t="s">
        <v>676</v>
      </c>
      <c r="S517" s="97">
        <v>2019</v>
      </c>
      <c r="T517" s="61">
        <v>0.23799999999999999</v>
      </c>
      <c r="U517" s="101">
        <f t="shared" si="52"/>
        <v>4164.7619999999997</v>
      </c>
      <c r="V517" s="14">
        <f t="shared" si="45"/>
        <v>162.94061032863848</v>
      </c>
      <c r="W517" s="15">
        <f t="shared" si="46"/>
        <v>0</v>
      </c>
      <c r="X517" s="15">
        <f t="shared" si="47"/>
        <v>0</v>
      </c>
      <c r="Y517" s="15">
        <f t="shared" si="48"/>
        <v>0</v>
      </c>
      <c r="Z517" s="13">
        <f t="shared" si="49"/>
        <v>0</v>
      </c>
      <c r="AA517" s="16">
        <f>VLOOKUP(S517,[1]CPI!$A$2:$D$67,4,0)</f>
        <v>1.0598966584134211</v>
      </c>
      <c r="AB517" s="17">
        <f t="shared" si="50"/>
        <v>4414.2173268871957</v>
      </c>
      <c r="AC517" s="17">
        <f t="shared" si="51"/>
        <v>172.70020840716728</v>
      </c>
      <c r="AD517" s="19" t="s">
        <v>35</v>
      </c>
      <c r="AE517" s="102" t="s">
        <v>1026</v>
      </c>
      <c r="AF517" s="27"/>
      <c r="AG517" s="27"/>
      <c r="AH517" s="27"/>
      <c r="AI517" s="27"/>
      <c r="AJ517" s="28"/>
      <c r="AK517" s="28"/>
      <c r="AL517" s="28"/>
      <c r="AM517" s="28"/>
      <c r="AN517" s="28"/>
      <c r="AO517" s="28"/>
      <c r="AP517" s="28"/>
      <c r="AQ517" s="28"/>
    </row>
    <row r="518" spans="1:43" ht="15.75" customHeight="1" x14ac:dyDescent="0.2">
      <c r="A518" s="21">
        <v>8168</v>
      </c>
      <c r="B518" s="54" t="s">
        <v>672</v>
      </c>
      <c r="C518" s="54" t="s">
        <v>1024</v>
      </c>
      <c r="D518" s="54"/>
      <c r="E518" s="54" t="s">
        <v>961</v>
      </c>
      <c r="F518" s="72">
        <v>2022</v>
      </c>
      <c r="G518" s="72">
        <v>2027</v>
      </c>
      <c r="H518" s="72">
        <v>0</v>
      </c>
      <c r="I518" s="72">
        <v>17.5</v>
      </c>
      <c r="J518" s="73">
        <v>0.96</v>
      </c>
      <c r="K518" s="103">
        <v>16.8</v>
      </c>
      <c r="L518" s="54"/>
      <c r="M518" s="54"/>
      <c r="N518" s="72">
        <v>9</v>
      </c>
      <c r="O518" s="72">
        <v>117</v>
      </c>
      <c r="P518" s="54"/>
      <c r="Q518" s="104">
        <v>14690</v>
      </c>
      <c r="R518" s="54" t="s">
        <v>676</v>
      </c>
      <c r="S518" s="97">
        <v>2019</v>
      </c>
      <c r="T518" s="61">
        <v>0.23799999999999999</v>
      </c>
      <c r="U518" s="101">
        <f t="shared" si="52"/>
        <v>3496.22</v>
      </c>
      <c r="V518" s="14">
        <f t="shared" si="45"/>
        <v>199.78399999999999</v>
      </c>
      <c r="W518" s="15">
        <f t="shared" si="46"/>
        <v>0</v>
      </c>
      <c r="X518" s="15">
        <f t="shared" si="47"/>
        <v>0</v>
      </c>
      <c r="Y518" s="15">
        <f t="shared" si="48"/>
        <v>0</v>
      </c>
      <c r="Z518" s="13">
        <f t="shared" si="49"/>
        <v>0</v>
      </c>
      <c r="AA518" s="16">
        <f>VLOOKUP(S518,[1]CPI!$A$2:$D$67,4,0)</f>
        <v>1.0598966584134211</v>
      </c>
      <c r="AB518" s="17">
        <f t="shared" si="50"/>
        <v>3705.6318950781706</v>
      </c>
      <c r="AC518" s="17">
        <f t="shared" si="51"/>
        <v>211.7503940044669</v>
      </c>
      <c r="AD518" s="54" t="s">
        <v>73</v>
      </c>
      <c r="AE518" s="46" t="s">
        <v>1028</v>
      </c>
      <c r="AF518" s="27"/>
      <c r="AG518" s="27"/>
      <c r="AH518" s="27"/>
      <c r="AI518" s="27"/>
      <c r="AJ518" s="28"/>
      <c r="AK518" s="28"/>
      <c r="AL518" s="28"/>
      <c r="AM518" s="28"/>
      <c r="AN518" s="28"/>
      <c r="AO518" s="28"/>
      <c r="AP518" s="28"/>
      <c r="AQ518" s="28"/>
    </row>
    <row r="519" spans="1:43" ht="15.75" customHeight="1" x14ac:dyDescent="0.2">
      <c r="A519" s="21">
        <v>8169</v>
      </c>
      <c r="B519" s="19" t="s">
        <v>672</v>
      </c>
      <c r="C519" s="19" t="s">
        <v>1024</v>
      </c>
      <c r="D519" s="9" t="s">
        <v>103</v>
      </c>
      <c r="E519" s="19" t="s">
        <v>907</v>
      </c>
      <c r="F519" s="97">
        <v>2023</v>
      </c>
      <c r="G519" s="97">
        <v>2028</v>
      </c>
      <c r="H519" s="97">
        <v>0</v>
      </c>
      <c r="I519" s="97">
        <v>50.14</v>
      </c>
      <c r="J519" s="98">
        <f t="shared" ref="J519:J527" si="53">K519/I519</f>
        <v>1</v>
      </c>
      <c r="K519" s="99">
        <v>50.14</v>
      </c>
      <c r="L519" s="97">
        <v>0</v>
      </c>
      <c r="M519" s="97">
        <v>0</v>
      </c>
      <c r="N519" s="97">
        <v>18</v>
      </c>
      <c r="O519" s="19"/>
      <c r="P519" s="19" t="s">
        <v>35</v>
      </c>
      <c r="Q519" s="106">
        <v>32178</v>
      </c>
      <c r="R519" s="19" t="s">
        <v>676</v>
      </c>
      <c r="S519" s="97">
        <v>2019</v>
      </c>
      <c r="T519" s="61">
        <v>0.23799999999999999</v>
      </c>
      <c r="U519" s="101">
        <f t="shared" si="52"/>
        <v>7658.3639999999996</v>
      </c>
      <c r="V519" s="14">
        <f t="shared" si="45"/>
        <v>152.7396090945353</v>
      </c>
      <c r="W519" s="15">
        <f t="shared" si="46"/>
        <v>0</v>
      </c>
      <c r="X519" s="15">
        <f t="shared" si="47"/>
        <v>0</v>
      </c>
      <c r="Y519" s="15">
        <f t="shared" si="48"/>
        <v>0</v>
      </c>
      <c r="Z519" s="13">
        <f t="shared" si="49"/>
        <v>0</v>
      </c>
      <c r="AA519" s="16">
        <f>VLOOKUP(S519,[1]CPI!$A$2:$D$67,4,0)</f>
        <v>1.0598966584134211</v>
      </c>
      <c r="AB519" s="17">
        <f t="shared" si="50"/>
        <v>8117.0744125136407</v>
      </c>
      <c r="AC519" s="17">
        <f t="shared" si="51"/>
        <v>161.88820128667015</v>
      </c>
      <c r="AD519" s="19" t="s">
        <v>35</v>
      </c>
      <c r="AE519" s="76" t="s">
        <v>1025</v>
      </c>
      <c r="AF519" s="27"/>
      <c r="AG519" s="27"/>
      <c r="AH519" s="27"/>
      <c r="AI519" s="27"/>
      <c r="AJ519" s="28"/>
      <c r="AK519" s="28"/>
      <c r="AL519" s="28"/>
      <c r="AM519" s="28"/>
      <c r="AN519" s="28"/>
      <c r="AO519" s="28"/>
      <c r="AP519" s="28"/>
      <c r="AQ519" s="28"/>
    </row>
    <row r="520" spans="1:43" ht="15.75" customHeight="1" x14ac:dyDescent="0.2">
      <c r="A520" s="21">
        <v>8170</v>
      </c>
      <c r="B520" s="19" t="s">
        <v>672</v>
      </c>
      <c r="C520" s="19" t="s">
        <v>1024</v>
      </c>
      <c r="D520" s="9" t="s">
        <v>103</v>
      </c>
      <c r="E520" s="19" t="s">
        <v>1029</v>
      </c>
      <c r="F520" s="97">
        <v>2024</v>
      </c>
      <c r="G520" s="97">
        <v>2028</v>
      </c>
      <c r="H520" s="97">
        <v>0</v>
      </c>
      <c r="I520" s="97">
        <v>1.8</v>
      </c>
      <c r="J520" s="98">
        <f t="shared" si="53"/>
        <v>1</v>
      </c>
      <c r="K520" s="99">
        <v>1.8</v>
      </c>
      <c r="L520" s="97">
        <v>0</v>
      </c>
      <c r="M520" s="97">
        <v>0</v>
      </c>
      <c r="N520" s="97">
        <v>1</v>
      </c>
      <c r="O520" s="19"/>
      <c r="P520" s="19" t="s">
        <v>35</v>
      </c>
      <c r="Q520" s="106">
        <v>1297</v>
      </c>
      <c r="R520" s="19" t="s">
        <v>676</v>
      </c>
      <c r="S520" s="97">
        <v>2019</v>
      </c>
      <c r="T520" s="61">
        <v>0.23799999999999999</v>
      </c>
      <c r="U520" s="101">
        <f t="shared" si="52"/>
        <v>308.68599999999998</v>
      </c>
      <c r="V520" s="14">
        <f t="shared" si="45"/>
        <v>171.49222222222221</v>
      </c>
      <c r="W520" s="15">
        <f t="shared" si="46"/>
        <v>0</v>
      </c>
      <c r="X520" s="15">
        <f t="shared" si="47"/>
        <v>0</v>
      </c>
      <c r="Y520" s="15">
        <f t="shared" si="48"/>
        <v>0</v>
      </c>
      <c r="Z520" s="13">
        <f t="shared" si="49"/>
        <v>0</v>
      </c>
      <c r="AA520" s="16">
        <f>VLOOKUP(S520,[1]CPI!$A$2:$D$67,4,0)</f>
        <v>1.0598966584134211</v>
      </c>
      <c r="AB520" s="17">
        <f t="shared" si="50"/>
        <v>327.17525989900525</v>
      </c>
      <c r="AC520" s="17">
        <f t="shared" si="51"/>
        <v>181.76403327722514</v>
      </c>
      <c r="AD520" s="19" t="s">
        <v>35</v>
      </c>
      <c r="AE520" s="102" t="s">
        <v>1026</v>
      </c>
      <c r="AF520" s="27"/>
      <c r="AG520" s="27"/>
      <c r="AH520" s="27"/>
      <c r="AI520" s="27"/>
      <c r="AJ520" s="28"/>
      <c r="AK520" s="28"/>
      <c r="AL520" s="28"/>
      <c r="AM520" s="28"/>
      <c r="AN520" s="28"/>
      <c r="AO520" s="28"/>
      <c r="AP520" s="28"/>
      <c r="AQ520" s="28"/>
    </row>
    <row r="521" spans="1:43" ht="15.75" customHeight="1" x14ac:dyDescent="0.2">
      <c r="A521" s="107">
        <v>8171</v>
      </c>
      <c r="B521" s="51" t="s">
        <v>1030</v>
      </c>
      <c r="C521" s="51" t="s">
        <v>1031</v>
      </c>
      <c r="D521" s="9"/>
      <c r="E521" s="51" t="s">
        <v>1032</v>
      </c>
      <c r="F521" s="108">
        <v>2015</v>
      </c>
      <c r="G521" s="108">
        <v>2016</v>
      </c>
      <c r="H521" s="108">
        <v>0</v>
      </c>
      <c r="I521" s="37">
        <v>38</v>
      </c>
      <c r="J521" s="109">
        <f t="shared" si="53"/>
        <v>0.4263157894736842</v>
      </c>
      <c r="K521" s="110">
        <v>16.2</v>
      </c>
      <c r="L521" s="37">
        <v>0</v>
      </c>
      <c r="M521" s="37">
        <v>0</v>
      </c>
      <c r="N521" s="37">
        <v>22</v>
      </c>
      <c r="O521" s="111"/>
      <c r="P521" s="111" t="s">
        <v>73</v>
      </c>
      <c r="Q521" s="112">
        <v>6561</v>
      </c>
      <c r="R521" s="51" t="s">
        <v>66</v>
      </c>
      <c r="S521" s="37">
        <v>2013</v>
      </c>
      <c r="T521" s="37">
        <v>1.82</v>
      </c>
      <c r="U521" s="37">
        <f t="shared" ref="U521:U537" si="54">Q521*T521</f>
        <v>11941.02</v>
      </c>
      <c r="V521" s="14">
        <f t="shared" si="45"/>
        <v>314.23736842105262</v>
      </c>
      <c r="W521" s="15">
        <f t="shared" si="46"/>
        <v>0</v>
      </c>
      <c r="X521" s="15">
        <f t="shared" si="47"/>
        <v>0</v>
      </c>
      <c r="Y521" s="15">
        <f t="shared" si="48"/>
        <v>0</v>
      </c>
      <c r="Z521" s="13">
        <f t="shared" si="49"/>
        <v>0</v>
      </c>
      <c r="AA521" s="16">
        <f>VLOOKUP(S521,[1]CPI!$A$2:$D$67,4,0)</f>
        <v>1.16317603677932</v>
      </c>
      <c r="AB521" s="17">
        <f t="shared" si="50"/>
        <v>13889.508318702596</v>
      </c>
      <c r="AC521" s="17">
        <f t="shared" si="51"/>
        <v>365.51337680796303</v>
      </c>
      <c r="AD521" s="9" t="s">
        <v>35</v>
      </c>
      <c r="AE521" s="113" t="s">
        <v>1033</v>
      </c>
      <c r="AF521" s="19"/>
      <c r="AG521" s="19"/>
      <c r="AH521" s="19"/>
      <c r="AI521" s="19"/>
      <c r="AJ521" s="20"/>
      <c r="AK521" s="20"/>
      <c r="AL521" s="20"/>
      <c r="AM521" s="20"/>
      <c r="AN521" s="20"/>
      <c r="AO521" s="20"/>
      <c r="AP521" s="20"/>
      <c r="AQ521" s="20"/>
    </row>
    <row r="522" spans="1:43" ht="15.75" customHeight="1" x14ac:dyDescent="0.2">
      <c r="A522" s="107">
        <v>8176</v>
      </c>
      <c r="B522" s="51" t="s">
        <v>1030</v>
      </c>
      <c r="C522" s="51" t="s">
        <v>1031</v>
      </c>
      <c r="D522" s="9"/>
      <c r="E522" s="51" t="s">
        <v>1034</v>
      </c>
      <c r="F522" s="108">
        <v>2014</v>
      </c>
      <c r="G522" s="108">
        <v>2020</v>
      </c>
      <c r="H522" s="108">
        <v>0</v>
      </c>
      <c r="I522" s="37">
        <v>25.3</v>
      </c>
      <c r="J522" s="109">
        <f t="shared" si="53"/>
        <v>0</v>
      </c>
      <c r="K522" s="110">
        <v>0</v>
      </c>
      <c r="L522" s="37">
        <v>0</v>
      </c>
      <c r="M522" s="37">
        <v>0</v>
      </c>
      <c r="N522" s="37">
        <v>13</v>
      </c>
      <c r="O522" s="111"/>
      <c r="P522" s="111" t="s">
        <v>73</v>
      </c>
      <c r="Q522" s="112">
        <v>2880</v>
      </c>
      <c r="R522" s="51" t="s">
        <v>66</v>
      </c>
      <c r="S522" s="37">
        <v>2013</v>
      </c>
      <c r="T522" s="37">
        <v>1.82</v>
      </c>
      <c r="U522" s="37">
        <f t="shared" si="54"/>
        <v>5241.6000000000004</v>
      </c>
      <c r="V522" s="25">
        <f t="shared" si="45"/>
        <v>207.17786561264822</v>
      </c>
      <c r="W522" s="15">
        <f t="shared" si="46"/>
        <v>0</v>
      </c>
      <c r="X522" s="15">
        <f t="shared" si="47"/>
        <v>0</v>
      </c>
      <c r="Y522" s="15">
        <f t="shared" si="48"/>
        <v>0</v>
      </c>
      <c r="Z522" s="13">
        <f t="shared" si="49"/>
        <v>0</v>
      </c>
      <c r="AA522" s="16">
        <f>VLOOKUP(S522,[1]CPI!$A$2:$D$67,4,0)</f>
        <v>1.16317603677932</v>
      </c>
      <c r="AB522" s="17">
        <f t="shared" si="50"/>
        <v>6096.903514382484</v>
      </c>
      <c r="AC522" s="17">
        <f t="shared" si="51"/>
        <v>240.98432863171874</v>
      </c>
      <c r="AD522" s="9" t="s">
        <v>43</v>
      </c>
      <c r="AE522" s="9"/>
      <c r="AF522" s="19"/>
      <c r="AG522" s="19"/>
      <c r="AH522" s="19"/>
      <c r="AI522" s="19"/>
      <c r="AJ522" s="20"/>
      <c r="AK522" s="20"/>
      <c r="AL522" s="20"/>
      <c r="AM522" s="20"/>
      <c r="AN522" s="20"/>
      <c r="AO522" s="20"/>
      <c r="AP522" s="20"/>
      <c r="AQ522" s="20"/>
    </row>
    <row r="523" spans="1:43" ht="15.75" customHeight="1" x14ac:dyDescent="0.2">
      <c r="A523" s="107">
        <v>8177</v>
      </c>
      <c r="B523" s="51" t="s">
        <v>1030</v>
      </c>
      <c r="C523" s="51" t="s">
        <v>1031</v>
      </c>
      <c r="D523" s="9"/>
      <c r="E523" s="51" t="s">
        <v>1035</v>
      </c>
      <c r="F523" s="108">
        <v>2014</v>
      </c>
      <c r="G523" s="108">
        <v>2017</v>
      </c>
      <c r="H523" s="108">
        <v>0</v>
      </c>
      <c r="I523" s="37">
        <v>40.700000000000003</v>
      </c>
      <c r="J523" s="109">
        <f t="shared" si="53"/>
        <v>0.14004914004914004</v>
      </c>
      <c r="K523" s="110">
        <v>5.7</v>
      </c>
      <c r="L523" s="37">
        <v>0</v>
      </c>
      <c r="M523" s="37">
        <v>0</v>
      </c>
      <c r="N523" s="37">
        <v>20</v>
      </c>
      <c r="O523" s="111"/>
      <c r="P523" s="111" t="s">
        <v>73</v>
      </c>
      <c r="Q523" s="112">
        <v>5002</v>
      </c>
      <c r="R523" s="51" t="s">
        <v>66</v>
      </c>
      <c r="S523" s="37">
        <v>2013</v>
      </c>
      <c r="T523" s="37">
        <v>1.82</v>
      </c>
      <c r="U523" s="37">
        <f t="shared" si="54"/>
        <v>9103.64</v>
      </c>
      <c r="V523" s="25">
        <f t="shared" si="45"/>
        <v>223.67665847665845</v>
      </c>
      <c r="W523" s="15">
        <f t="shared" si="46"/>
        <v>0</v>
      </c>
      <c r="X523" s="15">
        <f t="shared" si="47"/>
        <v>0</v>
      </c>
      <c r="Y523" s="15">
        <f t="shared" si="48"/>
        <v>0</v>
      </c>
      <c r="Z523" s="13">
        <f t="shared" si="49"/>
        <v>0</v>
      </c>
      <c r="AA523" s="16">
        <f>VLOOKUP(S523,[1]CPI!$A$2:$D$67,4,0)</f>
        <v>1.16317603677932</v>
      </c>
      <c r="AB523" s="17">
        <f t="shared" si="50"/>
        <v>10589.135895465688</v>
      </c>
      <c r="AC523" s="17">
        <f t="shared" si="51"/>
        <v>260.17532912692104</v>
      </c>
      <c r="AD523" s="9" t="s">
        <v>43</v>
      </c>
      <c r="AE523" s="9"/>
      <c r="AF523" s="19"/>
      <c r="AG523" s="19"/>
      <c r="AH523" s="19"/>
      <c r="AI523" s="19"/>
      <c r="AJ523" s="20"/>
      <c r="AK523" s="20"/>
      <c r="AL523" s="20"/>
      <c r="AM523" s="20"/>
      <c r="AN523" s="20"/>
      <c r="AO523" s="20"/>
      <c r="AP523" s="20"/>
      <c r="AQ523" s="20"/>
    </row>
    <row r="524" spans="1:43" ht="15.75" customHeight="1" x14ac:dyDescent="0.2">
      <c r="A524" s="107">
        <v>8178</v>
      </c>
      <c r="B524" s="51" t="s">
        <v>1030</v>
      </c>
      <c r="C524" s="51" t="s">
        <v>1031</v>
      </c>
      <c r="D524" s="9"/>
      <c r="E524" s="51" t="s">
        <v>1036</v>
      </c>
      <c r="F524" s="108">
        <v>2014</v>
      </c>
      <c r="G524" s="108">
        <v>2020</v>
      </c>
      <c r="H524" s="108">
        <v>0</v>
      </c>
      <c r="I524" s="37">
        <v>29.6</v>
      </c>
      <c r="J524" s="109">
        <f t="shared" si="53"/>
        <v>0</v>
      </c>
      <c r="K524" s="110">
        <v>0</v>
      </c>
      <c r="L524" s="37">
        <v>0</v>
      </c>
      <c r="M524" s="37">
        <v>0</v>
      </c>
      <c r="N524" s="37">
        <v>8</v>
      </c>
      <c r="O524" s="111"/>
      <c r="P524" s="111" t="s">
        <v>73</v>
      </c>
      <c r="Q524" s="112">
        <v>2270</v>
      </c>
      <c r="R524" s="51" t="s">
        <v>66</v>
      </c>
      <c r="S524" s="37">
        <v>2013</v>
      </c>
      <c r="T524" s="37">
        <v>1.82</v>
      </c>
      <c r="U524" s="37">
        <f t="shared" si="54"/>
        <v>4131.4000000000005</v>
      </c>
      <c r="V524" s="25">
        <f t="shared" si="45"/>
        <v>139.57432432432432</v>
      </c>
      <c r="W524" s="15">
        <f t="shared" si="46"/>
        <v>0</v>
      </c>
      <c r="X524" s="15">
        <f t="shared" si="47"/>
        <v>0</v>
      </c>
      <c r="Y524" s="15">
        <f t="shared" si="48"/>
        <v>0</v>
      </c>
      <c r="Z524" s="13">
        <f t="shared" si="49"/>
        <v>0</v>
      </c>
      <c r="AA524" s="16">
        <f>VLOOKUP(S524,[1]CPI!$A$2:$D$67,4,0)</f>
        <v>1.16317603677932</v>
      </c>
      <c r="AB524" s="17">
        <f t="shared" si="50"/>
        <v>4805.5454783500836</v>
      </c>
      <c r="AC524" s="17">
        <f t="shared" si="51"/>
        <v>162.349509403719</v>
      </c>
      <c r="AD524" s="9" t="s">
        <v>73</v>
      </c>
      <c r="AE524" s="113" t="s">
        <v>1037</v>
      </c>
      <c r="AF524" s="19"/>
      <c r="AG524" s="19"/>
      <c r="AH524" s="19"/>
      <c r="AI524" s="19"/>
      <c r="AJ524" s="20"/>
      <c r="AK524" s="20"/>
      <c r="AL524" s="20"/>
      <c r="AM524" s="20"/>
      <c r="AN524" s="20"/>
      <c r="AO524" s="20"/>
      <c r="AP524" s="20"/>
      <c r="AQ524" s="20"/>
    </row>
    <row r="525" spans="1:43" ht="15.75" customHeight="1" x14ac:dyDescent="0.2">
      <c r="A525" s="107">
        <v>8179</v>
      </c>
      <c r="B525" s="51" t="s">
        <v>1030</v>
      </c>
      <c r="C525" s="51" t="s">
        <v>1031</v>
      </c>
      <c r="D525" s="9"/>
      <c r="E525" s="51" t="s">
        <v>1038</v>
      </c>
      <c r="F525" s="108">
        <v>2015</v>
      </c>
      <c r="G525" s="108">
        <v>2016</v>
      </c>
      <c r="H525" s="108">
        <v>0</v>
      </c>
      <c r="I525" s="37">
        <v>12.9</v>
      </c>
      <c r="J525" s="109">
        <f t="shared" si="53"/>
        <v>0.93023255813953487</v>
      </c>
      <c r="K525" s="110">
        <v>12</v>
      </c>
      <c r="L525" s="37">
        <v>0</v>
      </c>
      <c r="M525" s="37">
        <v>0</v>
      </c>
      <c r="N525" s="37">
        <v>11</v>
      </c>
      <c r="O525" s="111"/>
      <c r="P525" s="111" t="s">
        <v>73</v>
      </c>
      <c r="Q525" s="112">
        <v>2220</v>
      </c>
      <c r="R525" s="51" t="s">
        <v>66</v>
      </c>
      <c r="S525" s="37">
        <v>2013</v>
      </c>
      <c r="T525" s="37">
        <v>1.82</v>
      </c>
      <c r="U525" s="37">
        <f t="shared" si="54"/>
        <v>4040.4</v>
      </c>
      <c r="V525" s="25">
        <f t="shared" si="45"/>
        <v>313.2093023255814</v>
      </c>
      <c r="W525" s="15">
        <f t="shared" si="46"/>
        <v>0</v>
      </c>
      <c r="X525" s="15">
        <f t="shared" si="47"/>
        <v>0</v>
      </c>
      <c r="Y525" s="15">
        <f t="shared" si="48"/>
        <v>0</v>
      </c>
      <c r="Z525" s="13">
        <f t="shared" si="49"/>
        <v>0</v>
      </c>
      <c r="AA525" s="16">
        <f>VLOOKUP(S525,[1]CPI!$A$2:$D$67,4,0)</f>
        <v>1.16317603677932</v>
      </c>
      <c r="AB525" s="17">
        <f t="shared" si="50"/>
        <v>4699.6964590031648</v>
      </c>
      <c r="AC525" s="17">
        <f t="shared" si="51"/>
        <v>364.31755496148565</v>
      </c>
      <c r="AD525" s="9" t="s">
        <v>73</v>
      </c>
      <c r="AE525" s="113" t="s">
        <v>1039</v>
      </c>
      <c r="AF525" s="19"/>
      <c r="AG525" s="19"/>
      <c r="AH525" s="19"/>
      <c r="AI525" s="19"/>
      <c r="AJ525" s="20"/>
      <c r="AK525" s="20"/>
      <c r="AL525" s="20"/>
      <c r="AM525" s="20"/>
      <c r="AN525" s="20"/>
      <c r="AO525" s="20"/>
      <c r="AP525" s="20"/>
      <c r="AQ525" s="20"/>
    </row>
    <row r="526" spans="1:43" ht="15.75" customHeight="1" x14ac:dyDescent="0.2">
      <c r="A526" s="107">
        <v>8184</v>
      </c>
      <c r="B526" s="51" t="s">
        <v>1030</v>
      </c>
      <c r="C526" s="51" t="s">
        <v>1031</v>
      </c>
      <c r="D526" s="9"/>
      <c r="E526" s="51" t="s">
        <v>1040</v>
      </c>
      <c r="F526" s="108">
        <v>2014</v>
      </c>
      <c r="G526" s="108">
        <v>2019</v>
      </c>
      <c r="H526" s="108">
        <v>0</v>
      </c>
      <c r="I526" s="37">
        <v>29.9</v>
      </c>
      <c r="J526" s="109">
        <f t="shared" si="53"/>
        <v>0</v>
      </c>
      <c r="K526" s="110">
        <v>0</v>
      </c>
      <c r="L526" s="37">
        <v>0</v>
      </c>
      <c r="M526" s="37">
        <v>0</v>
      </c>
      <c r="N526" s="37">
        <v>6</v>
      </c>
      <c r="O526" s="111"/>
      <c r="P526" s="111" t="s">
        <v>73</v>
      </c>
      <c r="Q526" s="112">
        <v>3330</v>
      </c>
      <c r="R526" s="51" t="s">
        <v>66</v>
      </c>
      <c r="S526" s="37">
        <v>2013</v>
      </c>
      <c r="T526" s="37">
        <v>1.82</v>
      </c>
      <c r="U526" s="37">
        <f t="shared" si="54"/>
        <v>6060.6</v>
      </c>
      <c r="V526" s="25">
        <f t="shared" si="45"/>
        <v>202.69565217391306</v>
      </c>
      <c r="W526" s="15">
        <f t="shared" si="46"/>
        <v>0</v>
      </c>
      <c r="X526" s="15">
        <f t="shared" si="47"/>
        <v>0</v>
      </c>
      <c r="Y526" s="15">
        <f t="shared" si="48"/>
        <v>0</v>
      </c>
      <c r="Z526" s="13">
        <f t="shared" si="49"/>
        <v>0</v>
      </c>
      <c r="AA526" s="16">
        <f>VLOOKUP(S526,[1]CPI!$A$2:$D$67,4,0)</f>
        <v>1.16317603677932</v>
      </c>
      <c r="AB526" s="17">
        <f t="shared" si="50"/>
        <v>7049.5446885047477</v>
      </c>
      <c r="AC526" s="17">
        <f t="shared" si="51"/>
        <v>235.77072536805176</v>
      </c>
      <c r="AD526" s="9" t="s">
        <v>73</v>
      </c>
      <c r="AE526" s="113" t="s">
        <v>1037</v>
      </c>
      <c r="AF526" s="19"/>
      <c r="AG526" s="19"/>
      <c r="AH526" s="19"/>
      <c r="AI526" s="19"/>
      <c r="AJ526" s="20"/>
      <c r="AK526" s="20"/>
      <c r="AL526" s="20"/>
      <c r="AM526" s="20"/>
      <c r="AN526" s="20"/>
      <c r="AO526" s="20"/>
      <c r="AP526" s="20"/>
      <c r="AQ526" s="20"/>
    </row>
    <row r="527" spans="1:43" ht="15.75" customHeight="1" x14ac:dyDescent="0.2">
      <c r="A527" s="107">
        <v>8186</v>
      </c>
      <c r="B527" s="51" t="s">
        <v>1030</v>
      </c>
      <c r="C527" s="51" t="s">
        <v>1041</v>
      </c>
      <c r="D527" s="9"/>
      <c r="E527" s="51" t="s">
        <v>1042</v>
      </c>
      <c r="F527" s="108">
        <v>2014</v>
      </c>
      <c r="G527" s="108">
        <v>2025</v>
      </c>
      <c r="H527" s="108">
        <v>0</v>
      </c>
      <c r="I527" s="37">
        <v>161.1</v>
      </c>
      <c r="J527" s="109">
        <f t="shared" si="53"/>
        <v>0.12414649286157667</v>
      </c>
      <c r="K527" s="110">
        <v>20</v>
      </c>
      <c r="L527" s="37">
        <v>0</v>
      </c>
      <c r="M527" s="37">
        <v>0</v>
      </c>
      <c r="N527" s="37">
        <v>81</v>
      </c>
      <c r="O527" s="111"/>
      <c r="P527" s="111" t="s">
        <v>73</v>
      </c>
      <c r="Q527" s="112">
        <v>12000</v>
      </c>
      <c r="R527" s="51" t="s">
        <v>66</v>
      </c>
      <c r="S527" s="37">
        <v>2015</v>
      </c>
      <c r="T527" s="37">
        <v>1.4350000000000001</v>
      </c>
      <c r="U527" s="37">
        <f t="shared" si="54"/>
        <v>17220</v>
      </c>
      <c r="V527" s="25">
        <f t="shared" si="45"/>
        <v>106.89013035381751</v>
      </c>
      <c r="W527" s="15">
        <f t="shared" si="46"/>
        <v>0</v>
      </c>
      <c r="X527" s="15">
        <f t="shared" si="47"/>
        <v>0</v>
      </c>
      <c r="Y527" s="15">
        <f t="shared" si="48"/>
        <v>0</v>
      </c>
      <c r="Z527" s="13">
        <f t="shared" si="49"/>
        <v>0</v>
      </c>
      <c r="AA527" s="16">
        <f>VLOOKUP(S527,[1]CPI!$A$2:$D$67,4,0)</f>
        <v>1.143251327963817</v>
      </c>
      <c r="AB527" s="17">
        <f t="shared" si="50"/>
        <v>19686.787867536928</v>
      </c>
      <c r="AC527" s="17">
        <f t="shared" si="51"/>
        <v>122.20228347322738</v>
      </c>
      <c r="AD527" s="9" t="s">
        <v>35</v>
      </c>
      <c r="AE527" s="113" t="s">
        <v>1043</v>
      </c>
      <c r="AF527" s="19"/>
      <c r="AG527" s="19"/>
      <c r="AH527" s="19"/>
      <c r="AI527" s="19"/>
      <c r="AJ527" s="20"/>
      <c r="AK527" s="20"/>
      <c r="AL527" s="20"/>
      <c r="AM527" s="20"/>
      <c r="AN527" s="20"/>
      <c r="AO527" s="20"/>
      <c r="AP527" s="20"/>
      <c r="AQ527" s="20"/>
    </row>
    <row r="528" spans="1:43" ht="15.75" customHeight="1" x14ac:dyDescent="0.2">
      <c r="A528" s="107">
        <v>8187</v>
      </c>
      <c r="B528" s="51" t="s">
        <v>1030</v>
      </c>
      <c r="C528" s="51" t="s">
        <v>1044</v>
      </c>
      <c r="D528" s="9"/>
      <c r="E528" s="51" t="s">
        <v>1045</v>
      </c>
      <c r="F528" s="108">
        <v>2009</v>
      </c>
      <c r="G528" s="108"/>
      <c r="H528" s="108"/>
      <c r="I528" s="37">
        <v>188</v>
      </c>
      <c r="J528" s="109"/>
      <c r="K528" s="110"/>
      <c r="L528" s="37" t="e">
        <v>#N/A</v>
      </c>
      <c r="M528" s="37" t="e">
        <v>#N/A</v>
      </c>
      <c r="N528" s="37">
        <v>90</v>
      </c>
      <c r="O528" s="111"/>
      <c r="P528" s="111"/>
      <c r="Q528" s="112">
        <v>62000</v>
      </c>
      <c r="R528" s="51" t="s">
        <v>1046</v>
      </c>
      <c r="S528" s="37">
        <v>2010</v>
      </c>
      <c r="T528" s="37">
        <v>0.61599999999999999</v>
      </c>
      <c r="U528" s="37">
        <f t="shared" si="54"/>
        <v>38192</v>
      </c>
      <c r="V528" s="25">
        <f t="shared" si="45"/>
        <v>203.14893617021278</v>
      </c>
      <c r="W528" s="15">
        <f t="shared" si="46"/>
        <v>0</v>
      </c>
      <c r="X528" s="15">
        <f t="shared" si="47"/>
        <v>0</v>
      </c>
      <c r="Y528" s="15">
        <f t="shared" si="48"/>
        <v>0</v>
      </c>
      <c r="Z528" s="13">
        <f t="shared" si="49"/>
        <v>0</v>
      </c>
      <c r="AA528" s="16">
        <f>VLOOKUP(S528,[1]CPI!$A$2:$D$67,4,0)</f>
        <v>1.2426624353377114</v>
      </c>
      <c r="AB528" s="17">
        <f t="shared" si="50"/>
        <v>47459.763730417872</v>
      </c>
      <c r="AC528" s="17">
        <f t="shared" si="51"/>
        <v>252.44555175754189</v>
      </c>
      <c r="AD528" s="9"/>
      <c r="AE528" s="114"/>
      <c r="AF528" s="19"/>
      <c r="AG528" s="19"/>
      <c r="AH528" s="19"/>
      <c r="AI528" s="19"/>
      <c r="AJ528" s="20"/>
      <c r="AK528" s="20"/>
      <c r="AL528" s="20"/>
      <c r="AM528" s="20"/>
      <c r="AN528" s="20"/>
      <c r="AO528" s="20"/>
      <c r="AP528" s="20"/>
      <c r="AQ528" s="20"/>
    </row>
    <row r="529" spans="1:43" ht="15.75" customHeight="1" x14ac:dyDescent="0.2">
      <c r="A529" s="107">
        <v>8192</v>
      </c>
      <c r="B529" s="51" t="s">
        <v>1030</v>
      </c>
      <c r="C529" s="51" t="s">
        <v>1047</v>
      </c>
      <c r="D529" s="9"/>
      <c r="E529" s="51" t="s">
        <v>1048</v>
      </c>
      <c r="F529" s="108">
        <v>2014</v>
      </c>
      <c r="G529" s="108"/>
      <c r="H529" s="108">
        <v>0</v>
      </c>
      <c r="I529" s="37">
        <v>50</v>
      </c>
      <c r="J529" s="109">
        <f t="shared" ref="J529:J542" si="55">K529/I529</f>
        <v>0</v>
      </c>
      <c r="K529" s="110">
        <v>0</v>
      </c>
      <c r="L529" s="37">
        <v>0</v>
      </c>
      <c r="M529" s="37">
        <v>0</v>
      </c>
      <c r="N529" s="37"/>
      <c r="O529" s="111"/>
      <c r="P529" s="111"/>
      <c r="Q529" s="112">
        <v>16000</v>
      </c>
      <c r="R529" s="51" t="s">
        <v>66</v>
      </c>
      <c r="S529" s="37">
        <v>2010</v>
      </c>
      <c r="T529" s="37">
        <v>1.623</v>
      </c>
      <c r="U529" s="37">
        <f t="shared" si="54"/>
        <v>25968</v>
      </c>
      <c r="V529" s="25">
        <f t="shared" si="45"/>
        <v>519.36</v>
      </c>
      <c r="W529" s="15">
        <f t="shared" si="46"/>
        <v>0</v>
      </c>
      <c r="X529" s="15">
        <f t="shared" si="47"/>
        <v>0</v>
      </c>
      <c r="Y529" s="15">
        <f t="shared" si="48"/>
        <v>0</v>
      </c>
      <c r="Z529" s="13">
        <f t="shared" si="49"/>
        <v>0</v>
      </c>
      <c r="AA529" s="16">
        <f>VLOOKUP(S529,[1]CPI!$A$2:$D$67,4,0)</f>
        <v>1.2426624353377114</v>
      </c>
      <c r="AB529" s="17">
        <f t="shared" si="50"/>
        <v>32269.458120849689</v>
      </c>
      <c r="AC529" s="17">
        <f t="shared" si="51"/>
        <v>645.38916241699383</v>
      </c>
      <c r="AD529" s="9" t="s">
        <v>43</v>
      </c>
      <c r="AE529" s="113" t="s">
        <v>1049</v>
      </c>
      <c r="AF529" s="19"/>
      <c r="AG529" s="19"/>
      <c r="AH529" s="19"/>
      <c r="AI529" s="19"/>
      <c r="AJ529" s="20"/>
      <c r="AK529" s="20"/>
      <c r="AL529" s="20"/>
      <c r="AM529" s="20"/>
      <c r="AN529" s="20"/>
      <c r="AO529" s="20"/>
      <c r="AP529" s="20"/>
      <c r="AQ529" s="20"/>
    </row>
    <row r="530" spans="1:43" ht="15.75" customHeight="1" x14ac:dyDescent="0.2">
      <c r="A530" s="107">
        <v>8193</v>
      </c>
      <c r="B530" s="51" t="s">
        <v>1050</v>
      </c>
      <c r="C530" s="51" t="s">
        <v>1051</v>
      </c>
      <c r="D530" s="9"/>
      <c r="E530" s="51" t="s">
        <v>1052</v>
      </c>
      <c r="F530" s="108">
        <v>2013</v>
      </c>
      <c r="G530" s="108">
        <v>2026</v>
      </c>
      <c r="H530" s="108">
        <v>0</v>
      </c>
      <c r="I530" s="37">
        <v>124</v>
      </c>
      <c r="J530" s="109">
        <f t="shared" si="55"/>
        <v>0.89919354838709675</v>
      </c>
      <c r="K530" s="110">
        <v>111.5</v>
      </c>
      <c r="L530" s="37">
        <v>0</v>
      </c>
      <c r="M530" s="37">
        <v>0</v>
      </c>
      <c r="N530" s="37"/>
      <c r="O530" s="111"/>
      <c r="P530" s="111" t="s">
        <v>73</v>
      </c>
      <c r="Q530" s="112">
        <v>36000</v>
      </c>
      <c r="R530" s="51" t="s">
        <v>66</v>
      </c>
      <c r="S530" s="37">
        <v>2013</v>
      </c>
      <c r="T530" s="37">
        <v>2.5</v>
      </c>
      <c r="U530" s="37">
        <f t="shared" si="54"/>
        <v>90000</v>
      </c>
      <c r="V530" s="25">
        <f t="shared" si="45"/>
        <v>725.80645161290317</v>
      </c>
      <c r="W530" s="15">
        <f t="shared" si="46"/>
        <v>0</v>
      </c>
      <c r="X530" s="15">
        <f t="shared" si="47"/>
        <v>0</v>
      </c>
      <c r="Y530" s="15">
        <f t="shared" si="48"/>
        <v>0</v>
      </c>
      <c r="Z530" s="13">
        <f t="shared" si="49"/>
        <v>0</v>
      </c>
      <c r="AA530" s="16">
        <f>VLOOKUP(S530,[1]CPI!$A$2:$D$67,4,0)</f>
        <v>1.16317603677932</v>
      </c>
      <c r="AB530" s="17">
        <f t="shared" si="50"/>
        <v>104685.84331013881</v>
      </c>
      <c r="AC530" s="17">
        <f t="shared" si="51"/>
        <v>844.240671855958</v>
      </c>
      <c r="AD530" s="9" t="s">
        <v>43</v>
      </c>
      <c r="AE530" s="113" t="s">
        <v>1053</v>
      </c>
      <c r="AF530" s="19"/>
      <c r="AG530" s="19"/>
      <c r="AH530" s="19"/>
      <c r="AI530" s="19"/>
      <c r="AJ530" s="20"/>
      <c r="AK530" s="20"/>
      <c r="AL530" s="20"/>
      <c r="AM530" s="20"/>
      <c r="AN530" s="20"/>
      <c r="AO530" s="20"/>
      <c r="AP530" s="20"/>
      <c r="AQ530" s="20"/>
    </row>
    <row r="531" spans="1:43" ht="15.75" customHeight="1" x14ac:dyDescent="0.2">
      <c r="A531" s="107">
        <v>8194</v>
      </c>
      <c r="B531" s="51" t="s">
        <v>1054</v>
      </c>
      <c r="C531" s="51" t="s">
        <v>1055</v>
      </c>
      <c r="D531" s="9"/>
      <c r="E531" s="51" t="s">
        <v>1056</v>
      </c>
      <c r="F531" s="108">
        <v>2018</v>
      </c>
      <c r="G531" s="108">
        <v>2023</v>
      </c>
      <c r="H531" s="108">
        <v>1</v>
      </c>
      <c r="I531" s="37">
        <v>28.6</v>
      </c>
      <c r="J531" s="109">
        <f t="shared" si="55"/>
        <v>0</v>
      </c>
      <c r="K531" s="110">
        <v>0</v>
      </c>
      <c r="L531" s="37">
        <v>0</v>
      </c>
      <c r="M531" s="37">
        <v>0</v>
      </c>
      <c r="N531" s="37">
        <v>20</v>
      </c>
      <c r="O531" s="111"/>
      <c r="P531" s="111"/>
      <c r="Q531" s="112">
        <v>453</v>
      </c>
      <c r="R531" s="51" t="s">
        <v>462</v>
      </c>
      <c r="S531" s="37">
        <v>2019</v>
      </c>
      <c r="T531" s="37">
        <f t="shared" ref="T531:T532" si="56">1/0.2</f>
        <v>5</v>
      </c>
      <c r="U531" s="37">
        <f t="shared" si="54"/>
        <v>2265</v>
      </c>
      <c r="V531" s="25">
        <f t="shared" si="45"/>
        <v>79.195804195804186</v>
      </c>
      <c r="W531" s="15">
        <f t="shared" si="46"/>
        <v>0</v>
      </c>
      <c r="X531" s="15">
        <f t="shared" si="47"/>
        <v>0</v>
      </c>
      <c r="Y531" s="15">
        <f t="shared" si="48"/>
        <v>0</v>
      </c>
      <c r="Z531" s="13">
        <f t="shared" si="49"/>
        <v>0</v>
      </c>
      <c r="AA531" s="16">
        <f>VLOOKUP(S531,[1]CPI!$A$2:$D$67,4,0)</f>
        <v>1.0598966584134211</v>
      </c>
      <c r="AB531" s="17">
        <f t="shared" si="50"/>
        <v>2400.6659313063988</v>
      </c>
      <c r="AC531" s="17">
        <f t="shared" si="51"/>
        <v>83.939368227496445</v>
      </c>
      <c r="AD531" s="9" t="s">
        <v>43</v>
      </c>
      <c r="AE531" s="113" t="s">
        <v>1057</v>
      </c>
      <c r="AF531" s="27"/>
      <c r="AG531" s="27"/>
      <c r="AH531" s="27"/>
      <c r="AI531" s="27"/>
      <c r="AJ531" s="28"/>
      <c r="AK531" s="28"/>
      <c r="AL531" s="28"/>
      <c r="AM531" s="28"/>
      <c r="AN531" s="28"/>
      <c r="AO531" s="28"/>
      <c r="AP531" s="28"/>
      <c r="AQ531" s="28"/>
    </row>
    <row r="532" spans="1:43" ht="15.75" customHeight="1" x14ac:dyDescent="0.2">
      <c r="A532" s="107">
        <v>8195</v>
      </c>
      <c r="B532" s="51" t="s">
        <v>1054</v>
      </c>
      <c r="C532" s="51" t="s">
        <v>1055</v>
      </c>
      <c r="D532" s="9"/>
      <c r="E532" s="51" t="s">
        <v>551</v>
      </c>
      <c r="F532" s="108">
        <v>2020</v>
      </c>
      <c r="G532" s="108" t="s">
        <v>1058</v>
      </c>
      <c r="H532" s="108">
        <v>1</v>
      </c>
      <c r="I532" s="37">
        <v>72.7</v>
      </c>
      <c r="J532" s="109">
        <f t="shared" si="55"/>
        <v>0</v>
      </c>
      <c r="K532" s="110">
        <v>0</v>
      </c>
      <c r="L532" s="37">
        <v>0</v>
      </c>
      <c r="M532" s="37">
        <v>0</v>
      </c>
      <c r="N532" s="37"/>
      <c r="O532" s="111"/>
      <c r="P532" s="111"/>
      <c r="Q532" s="112">
        <v>1500</v>
      </c>
      <c r="R532" s="51" t="s">
        <v>462</v>
      </c>
      <c r="S532" s="37">
        <v>2010</v>
      </c>
      <c r="T532" s="37">
        <f t="shared" si="56"/>
        <v>5</v>
      </c>
      <c r="U532" s="37">
        <f t="shared" si="54"/>
        <v>7500</v>
      </c>
      <c r="V532" s="25">
        <f t="shared" si="45"/>
        <v>103.16368638239339</v>
      </c>
      <c r="W532" s="15">
        <f t="shared" si="46"/>
        <v>0</v>
      </c>
      <c r="X532" s="15">
        <f t="shared" si="47"/>
        <v>0</v>
      </c>
      <c r="Y532" s="15">
        <f t="shared" si="48"/>
        <v>0</v>
      </c>
      <c r="Z532" s="13">
        <f t="shared" si="49"/>
        <v>0</v>
      </c>
      <c r="AA532" s="16">
        <f>VLOOKUP(S532,[1]CPI!$A$2:$D$67,4,0)</f>
        <v>1.2426624353377114</v>
      </c>
      <c r="AB532" s="17">
        <f t="shared" si="50"/>
        <v>9319.9682650328359</v>
      </c>
      <c r="AC532" s="17">
        <f t="shared" si="51"/>
        <v>128.19763775836086</v>
      </c>
      <c r="AD532" s="9" t="s">
        <v>43</v>
      </c>
      <c r="AE532" s="113" t="s">
        <v>1059</v>
      </c>
      <c r="AF532" s="27"/>
      <c r="AG532" s="27"/>
      <c r="AH532" s="27"/>
      <c r="AI532" s="27"/>
      <c r="AJ532" s="28"/>
      <c r="AK532" s="28"/>
      <c r="AL532" s="28"/>
      <c r="AM532" s="28"/>
      <c r="AN532" s="28"/>
      <c r="AO532" s="28"/>
      <c r="AP532" s="28"/>
      <c r="AQ532" s="28"/>
    </row>
    <row r="533" spans="1:43" ht="15.75" customHeight="1" x14ac:dyDescent="0.2">
      <c r="A533" s="107">
        <v>8200</v>
      </c>
      <c r="B533" s="51" t="s">
        <v>1060</v>
      </c>
      <c r="C533" s="51" t="s">
        <v>1061</v>
      </c>
      <c r="D533" s="9" t="s">
        <v>427</v>
      </c>
      <c r="E533" s="51" t="s">
        <v>1062</v>
      </c>
      <c r="F533" s="108">
        <v>2005</v>
      </c>
      <c r="G533" s="108">
        <v>2010</v>
      </c>
      <c r="H533" s="108">
        <v>0</v>
      </c>
      <c r="I533" s="37">
        <v>35</v>
      </c>
      <c r="J533" s="109">
        <f t="shared" si="55"/>
        <v>0.13428571428571429</v>
      </c>
      <c r="K533" s="110">
        <v>4.7</v>
      </c>
      <c r="L533" s="37">
        <v>0</v>
      </c>
      <c r="M533" s="37">
        <v>0</v>
      </c>
      <c r="N533" s="37">
        <v>29</v>
      </c>
      <c r="O533" s="111"/>
      <c r="P533" s="111" t="s">
        <v>73</v>
      </c>
      <c r="Q533" s="112">
        <v>4200</v>
      </c>
      <c r="R533" s="51" t="s">
        <v>66</v>
      </c>
      <c r="S533" s="37">
        <v>2005</v>
      </c>
      <c r="T533" s="37">
        <v>1.8</v>
      </c>
      <c r="U533" s="37">
        <f t="shared" si="54"/>
        <v>7560</v>
      </c>
      <c r="V533" s="25">
        <f t="shared" si="45"/>
        <v>216</v>
      </c>
      <c r="W533" s="15">
        <f t="shared" si="46"/>
        <v>0</v>
      </c>
      <c r="X533" s="15">
        <f t="shared" si="47"/>
        <v>0</v>
      </c>
      <c r="Y533" s="15">
        <f t="shared" si="48"/>
        <v>0</v>
      </c>
      <c r="Z533" s="13">
        <f t="shared" si="49"/>
        <v>0</v>
      </c>
      <c r="AA533" s="16">
        <f>VLOOKUP(S533,[1]CPI!$A$2:$D$67,4,0)</f>
        <v>1.3874551971326166</v>
      </c>
      <c r="AB533" s="17">
        <f t="shared" si="50"/>
        <v>10489.161290322581</v>
      </c>
      <c r="AC533" s="17">
        <f t="shared" si="51"/>
        <v>299.69032258064516</v>
      </c>
      <c r="AD533" s="9"/>
      <c r="AE533" s="114"/>
      <c r="AF533" s="27"/>
      <c r="AG533" s="27"/>
      <c r="AH533" s="27"/>
      <c r="AI533" s="27"/>
      <c r="AJ533" s="28"/>
      <c r="AK533" s="28"/>
      <c r="AL533" s="28"/>
      <c r="AM533" s="28"/>
      <c r="AN533" s="28"/>
      <c r="AO533" s="28"/>
      <c r="AP533" s="28"/>
      <c r="AQ533" s="28"/>
    </row>
    <row r="534" spans="1:43" ht="15.75" customHeight="1" x14ac:dyDescent="0.2">
      <c r="A534" s="107">
        <v>8201</v>
      </c>
      <c r="B534" s="51" t="s">
        <v>1060</v>
      </c>
      <c r="C534" s="51" t="s">
        <v>1061</v>
      </c>
      <c r="D534" s="9"/>
      <c r="E534" s="51" t="s">
        <v>1063</v>
      </c>
      <c r="F534" s="108">
        <v>2006</v>
      </c>
      <c r="G534" s="108">
        <v>2010</v>
      </c>
      <c r="H534" s="108">
        <v>0</v>
      </c>
      <c r="I534" s="37">
        <v>22.5</v>
      </c>
      <c r="J534" s="109">
        <f t="shared" si="55"/>
        <v>0.35111111111111115</v>
      </c>
      <c r="K534" s="110">
        <v>7.9</v>
      </c>
      <c r="L534" s="37">
        <v>0</v>
      </c>
      <c r="M534" s="37">
        <v>0</v>
      </c>
      <c r="N534" s="37">
        <v>20</v>
      </c>
      <c r="O534" s="111"/>
      <c r="P534" s="111"/>
      <c r="Q534" s="112">
        <v>3600</v>
      </c>
      <c r="R534" s="51" t="s">
        <v>66</v>
      </c>
      <c r="S534" s="37">
        <v>2006</v>
      </c>
      <c r="T534" s="37">
        <v>1.9</v>
      </c>
      <c r="U534" s="37">
        <f t="shared" si="54"/>
        <v>6840</v>
      </c>
      <c r="V534" s="25">
        <f t="shared" si="45"/>
        <v>304</v>
      </c>
      <c r="W534" s="15">
        <f t="shared" si="46"/>
        <v>0</v>
      </c>
      <c r="X534" s="15">
        <f t="shared" si="47"/>
        <v>0</v>
      </c>
      <c r="Y534" s="15">
        <f t="shared" si="48"/>
        <v>0</v>
      </c>
      <c r="Z534" s="13">
        <f t="shared" si="49"/>
        <v>0</v>
      </c>
      <c r="AA534" s="16">
        <f>VLOOKUP(S534,[1]CPI!$A$2:$D$67,4,0)</f>
        <v>1.3440972222222225</v>
      </c>
      <c r="AB534" s="17">
        <f t="shared" si="50"/>
        <v>9193.6250000000018</v>
      </c>
      <c r="AC534" s="17">
        <f t="shared" si="51"/>
        <v>408.60555555555561</v>
      </c>
      <c r="AD534" s="9"/>
      <c r="AE534" s="9"/>
      <c r="AF534" s="27"/>
      <c r="AG534" s="27"/>
      <c r="AH534" s="27"/>
      <c r="AI534" s="27"/>
      <c r="AJ534" s="28"/>
      <c r="AK534" s="28"/>
      <c r="AL534" s="28"/>
      <c r="AM534" s="28"/>
      <c r="AN534" s="28"/>
      <c r="AO534" s="28"/>
      <c r="AP534" s="28"/>
      <c r="AQ534" s="28"/>
    </row>
    <row r="535" spans="1:43" ht="15.75" customHeight="1" x14ac:dyDescent="0.2">
      <c r="A535" s="107">
        <v>8202</v>
      </c>
      <c r="B535" s="51" t="s">
        <v>1060</v>
      </c>
      <c r="C535" s="51" t="s">
        <v>1061</v>
      </c>
      <c r="D535" s="9" t="s">
        <v>427</v>
      </c>
      <c r="E535" s="51" t="s">
        <v>1064</v>
      </c>
      <c r="F535" s="108">
        <v>2016</v>
      </c>
      <c r="G535" s="108">
        <v>2020</v>
      </c>
      <c r="H535" s="108">
        <v>0</v>
      </c>
      <c r="I535" s="37">
        <v>15</v>
      </c>
      <c r="J535" s="109">
        <f t="shared" si="55"/>
        <v>0.21333333333333335</v>
      </c>
      <c r="K535" s="110">
        <v>3.2</v>
      </c>
      <c r="L535" s="37">
        <v>0</v>
      </c>
      <c r="M535" s="37">
        <v>0</v>
      </c>
      <c r="N535" s="37">
        <v>7</v>
      </c>
      <c r="O535" s="111"/>
      <c r="P535" s="111" t="s">
        <v>73</v>
      </c>
      <c r="Q535" s="112">
        <v>2900</v>
      </c>
      <c r="R535" s="51" t="s">
        <v>66</v>
      </c>
      <c r="S535" s="37">
        <v>2016</v>
      </c>
      <c r="T535" s="37">
        <v>1.9</v>
      </c>
      <c r="U535" s="37">
        <f t="shared" si="54"/>
        <v>5510</v>
      </c>
      <c r="V535" s="25">
        <f t="shared" si="45"/>
        <v>367.33333333333331</v>
      </c>
      <c r="W535" s="15">
        <f t="shared" si="46"/>
        <v>0</v>
      </c>
      <c r="X535" s="15">
        <f t="shared" si="47"/>
        <v>0</v>
      </c>
      <c r="Y535" s="15">
        <f t="shared" si="48"/>
        <v>0</v>
      </c>
      <c r="Z535" s="13">
        <f t="shared" si="49"/>
        <v>0</v>
      </c>
      <c r="AA535" s="16">
        <f>VLOOKUP(S535,[1]CPI!$A$2:$D$67,4,0)</f>
        <v>1.1290087372451638</v>
      </c>
      <c r="AB535" s="17">
        <f t="shared" si="50"/>
        <v>6220.8381422208522</v>
      </c>
      <c r="AC535" s="17">
        <f t="shared" si="51"/>
        <v>414.72254281472351</v>
      </c>
      <c r="AD535" s="9" t="s">
        <v>43</v>
      </c>
      <c r="AE535" s="113" t="s">
        <v>1065</v>
      </c>
      <c r="AF535" s="27"/>
      <c r="AG535" s="27"/>
      <c r="AH535" s="27"/>
      <c r="AI535" s="27"/>
      <c r="AJ535" s="28"/>
      <c r="AK535" s="28"/>
      <c r="AL535" s="28"/>
      <c r="AM535" s="28"/>
      <c r="AN535" s="28"/>
      <c r="AO535" s="28"/>
      <c r="AP535" s="28"/>
      <c r="AQ535" s="28"/>
    </row>
    <row r="536" spans="1:43" ht="15.75" customHeight="1" x14ac:dyDescent="0.2">
      <c r="A536" s="107">
        <v>8203</v>
      </c>
      <c r="B536" s="51" t="s">
        <v>1066</v>
      </c>
      <c r="C536" s="51" t="s">
        <v>1067</v>
      </c>
      <c r="D536" s="9"/>
      <c r="E536" s="51" t="s">
        <v>92</v>
      </c>
      <c r="F536" s="108">
        <v>1982</v>
      </c>
      <c r="G536" s="108">
        <v>1987</v>
      </c>
      <c r="H536" s="108">
        <v>1</v>
      </c>
      <c r="I536" s="37">
        <v>44</v>
      </c>
      <c r="J536" s="109">
        <f t="shared" si="55"/>
        <v>0.14318181818181819</v>
      </c>
      <c r="K536" s="110">
        <f>4.8+1.5</f>
        <v>6.3</v>
      </c>
      <c r="L536" s="37">
        <v>0</v>
      </c>
      <c r="M536" s="37">
        <v>0</v>
      </c>
      <c r="N536" s="37">
        <v>35</v>
      </c>
      <c r="O536" s="111"/>
      <c r="P536" s="111" t="s">
        <v>73</v>
      </c>
      <c r="Q536" s="112">
        <v>973</v>
      </c>
      <c r="R536" s="51" t="s">
        <v>1068</v>
      </c>
      <c r="S536" s="37">
        <v>1987</v>
      </c>
      <c r="T536" s="37">
        <f>1/0.4</f>
        <v>2.5</v>
      </c>
      <c r="U536" s="37">
        <f t="shared" si="54"/>
        <v>2432.5</v>
      </c>
      <c r="V536" s="25">
        <f t="shared" si="45"/>
        <v>55.284090909090907</v>
      </c>
      <c r="W536" s="15">
        <f t="shared" si="46"/>
        <v>0</v>
      </c>
      <c r="X536" s="15">
        <f t="shared" si="47"/>
        <v>0</v>
      </c>
      <c r="Y536" s="15">
        <f t="shared" si="48"/>
        <v>0</v>
      </c>
      <c r="Z536" s="13">
        <f t="shared" si="49"/>
        <v>0</v>
      </c>
      <c r="AA536" s="16">
        <f>VLOOKUP(S536,[1]CPI!$A$2:$D$67,4,0)</f>
        <v>2.3852992957746482</v>
      </c>
      <c r="AB536" s="17">
        <f t="shared" si="50"/>
        <v>5802.2405369718317</v>
      </c>
      <c r="AC536" s="17">
        <f t="shared" si="51"/>
        <v>131.86910311299616</v>
      </c>
      <c r="AD536" s="9" t="s">
        <v>43</v>
      </c>
      <c r="AE536" s="9"/>
      <c r="AF536" s="19"/>
      <c r="AG536" s="19"/>
      <c r="AH536" s="19"/>
      <c r="AI536" s="19"/>
      <c r="AJ536" s="20"/>
      <c r="AK536" s="20"/>
      <c r="AL536" s="20"/>
      <c r="AM536" s="20"/>
      <c r="AN536" s="20"/>
      <c r="AO536" s="20"/>
      <c r="AP536" s="20"/>
      <c r="AQ536" s="20"/>
    </row>
    <row r="537" spans="1:43" ht="15.75" customHeight="1" x14ac:dyDescent="0.2">
      <c r="A537" s="107">
        <v>8208</v>
      </c>
      <c r="B537" s="51" t="s">
        <v>1066</v>
      </c>
      <c r="C537" s="51" t="s">
        <v>1067</v>
      </c>
      <c r="D537" s="9" t="s">
        <v>99</v>
      </c>
      <c r="E537" s="51" t="s">
        <v>99</v>
      </c>
      <c r="F537" s="108">
        <v>1993</v>
      </c>
      <c r="G537" s="108">
        <v>2005</v>
      </c>
      <c r="H537" s="108">
        <v>0</v>
      </c>
      <c r="I537" s="37">
        <v>22</v>
      </c>
      <c r="J537" s="109">
        <f t="shared" si="55"/>
        <v>0.43181818181818182</v>
      </c>
      <c r="K537" s="110">
        <v>9.5</v>
      </c>
      <c r="L537" s="37">
        <v>0</v>
      </c>
      <c r="M537" s="37">
        <v>0</v>
      </c>
      <c r="N537" s="37">
        <v>20</v>
      </c>
      <c r="O537" s="111"/>
      <c r="P537" s="111" t="s">
        <v>73</v>
      </c>
      <c r="Q537" s="112">
        <v>9700</v>
      </c>
      <c r="R537" s="51" t="s">
        <v>1068</v>
      </c>
      <c r="S537" s="37">
        <v>2005</v>
      </c>
      <c r="T537" s="37">
        <f>1/1</f>
        <v>1</v>
      </c>
      <c r="U537" s="37">
        <f t="shared" si="54"/>
        <v>9700</v>
      </c>
      <c r="V537" s="25">
        <f t="shared" si="45"/>
        <v>440.90909090909093</v>
      </c>
      <c r="W537" s="15">
        <f t="shared" si="46"/>
        <v>0</v>
      </c>
      <c r="X537" s="15">
        <f t="shared" si="47"/>
        <v>0</v>
      </c>
      <c r="Y537" s="15">
        <f t="shared" si="48"/>
        <v>0</v>
      </c>
      <c r="Z537" s="13">
        <f t="shared" si="49"/>
        <v>0</v>
      </c>
      <c r="AA537" s="16">
        <f>VLOOKUP(S537,[1]CPI!$A$2:$D$67,4,0)</f>
        <v>1.3874551971326166</v>
      </c>
      <c r="AB537" s="17">
        <f t="shared" si="50"/>
        <v>13458.315412186381</v>
      </c>
      <c r="AC537" s="17">
        <f t="shared" si="51"/>
        <v>611.74160964483553</v>
      </c>
      <c r="AD537" s="9" t="s">
        <v>43</v>
      </c>
      <c r="AE537" s="9"/>
      <c r="AF537" s="19"/>
      <c r="AG537" s="19"/>
      <c r="AH537" s="19"/>
      <c r="AI537" s="19"/>
      <c r="AJ537" s="20"/>
      <c r="AK537" s="20"/>
      <c r="AL537" s="20"/>
      <c r="AM537" s="20"/>
      <c r="AN537" s="20"/>
      <c r="AO537" s="20"/>
      <c r="AP537" s="20"/>
      <c r="AQ537" s="20"/>
    </row>
    <row r="538" spans="1:43" ht="15.75" customHeight="1" x14ac:dyDescent="0.2">
      <c r="A538" s="107">
        <v>8209</v>
      </c>
      <c r="B538" s="111" t="s">
        <v>1066</v>
      </c>
      <c r="C538" s="111" t="s">
        <v>1067</v>
      </c>
      <c r="D538" s="9" t="s">
        <v>99</v>
      </c>
      <c r="E538" s="111" t="s">
        <v>1069</v>
      </c>
      <c r="F538" s="108">
        <v>2018</v>
      </c>
      <c r="G538" s="108" t="s">
        <v>1058</v>
      </c>
      <c r="H538" s="108">
        <v>1</v>
      </c>
      <c r="I538" s="37">
        <v>7</v>
      </c>
      <c r="J538" s="109">
        <f t="shared" si="55"/>
        <v>0</v>
      </c>
      <c r="K538" s="110">
        <v>0</v>
      </c>
      <c r="L538" s="37">
        <v>0</v>
      </c>
      <c r="M538" s="37">
        <v>0</v>
      </c>
      <c r="N538" s="37">
        <v>5</v>
      </c>
      <c r="O538" s="111"/>
      <c r="P538" s="111"/>
      <c r="Q538" s="112"/>
      <c r="R538" s="111"/>
      <c r="S538" s="111"/>
      <c r="T538" s="111"/>
      <c r="U538" s="69"/>
      <c r="V538" s="70"/>
      <c r="W538" s="15">
        <f t="shared" si="46"/>
        <v>0</v>
      </c>
      <c r="X538" s="15">
        <f t="shared" si="47"/>
        <v>0</v>
      </c>
      <c r="Y538" s="15">
        <f t="shared" si="48"/>
        <v>0</v>
      </c>
      <c r="Z538" s="13">
        <f t="shared" si="49"/>
        <v>0</v>
      </c>
      <c r="AA538" s="16"/>
      <c r="AB538" s="17"/>
      <c r="AC538" s="17"/>
      <c r="AD538" s="9"/>
      <c r="AE538" s="114"/>
      <c r="AF538" s="19"/>
      <c r="AG538" s="19"/>
      <c r="AH538" s="19"/>
      <c r="AI538" s="19"/>
      <c r="AJ538" s="20"/>
      <c r="AK538" s="20"/>
      <c r="AL538" s="20"/>
      <c r="AM538" s="20"/>
      <c r="AN538" s="20"/>
      <c r="AO538" s="20"/>
      <c r="AP538" s="20"/>
      <c r="AQ538" s="20"/>
    </row>
    <row r="539" spans="1:43" ht="15.75" customHeight="1" x14ac:dyDescent="0.2">
      <c r="A539" s="107">
        <v>8210</v>
      </c>
      <c r="B539" s="51" t="s">
        <v>1066</v>
      </c>
      <c r="C539" s="51" t="s">
        <v>1067</v>
      </c>
      <c r="D539" s="9" t="s">
        <v>103</v>
      </c>
      <c r="E539" s="51" t="s">
        <v>907</v>
      </c>
      <c r="F539" s="108">
        <v>2006</v>
      </c>
      <c r="G539" s="108">
        <v>2012</v>
      </c>
      <c r="H539" s="108">
        <v>0</v>
      </c>
      <c r="I539" s="37">
        <v>4.3</v>
      </c>
      <c r="J539" s="109">
        <f t="shared" si="55"/>
        <v>1</v>
      </c>
      <c r="K539" s="110">
        <v>4.3</v>
      </c>
      <c r="L539" s="37">
        <v>0</v>
      </c>
      <c r="M539" s="37">
        <v>0</v>
      </c>
      <c r="N539" s="37">
        <v>5</v>
      </c>
      <c r="O539" s="111"/>
      <c r="P539" s="111" t="s">
        <v>73</v>
      </c>
      <c r="Q539" s="112">
        <v>4200</v>
      </c>
      <c r="R539" s="51" t="s">
        <v>1068</v>
      </c>
      <c r="S539" s="37">
        <v>2009</v>
      </c>
      <c r="T539" s="37">
        <f>1/1.4</f>
        <v>0.7142857142857143</v>
      </c>
      <c r="U539" s="37">
        <f>Q539*T539</f>
        <v>3000</v>
      </c>
      <c r="V539" s="25">
        <f>U539/I539</f>
        <v>697.67441860465124</v>
      </c>
      <c r="W539" s="15">
        <f t="shared" si="46"/>
        <v>0</v>
      </c>
      <c r="X539" s="15">
        <f t="shared" si="47"/>
        <v>0</v>
      </c>
      <c r="Y539" s="15">
        <f t="shared" si="48"/>
        <v>0</v>
      </c>
      <c r="Z539" s="13">
        <f t="shared" si="49"/>
        <v>0</v>
      </c>
      <c r="AA539" s="16">
        <f>VLOOKUP(S539,[1]CPI!$A$2:$D$67,4,0)</f>
        <v>1.2630455352689747</v>
      </c>
      <c r="AB539" s="17">
        <f>U539*AA539</f>
        <v>3789.1366058069239</v>
      </c>
      <c r="AC539" s="17">
        <f>V539*AA539</f>
        <v>881.19455948998245</v>
      </c>
      <c r="AD539" s="9" t="s">
        <v>43</v>
      </c>
      <c r="AE539" s="113" t="s">
        <v>1070</v>
      </c>
      <c r="AF539" s="19"/>
      <c r="AG539" s="19"/>
      <c r="AH539" s="19"/>
      <c r="AI539" s="19"/>
      <c r="AJ539" s="20"/>
      <c r="AK539" s="20"/>
      <c r="AL539" s="20"/>
      <c r="AM539" s="20"/>
      <c r="AN539" s="20"/>
      <c r="AO539" s="20"/>
      <c r="AP539" s="20"/>
      <c r="AQ539" s="20"/>
    </row>
    <row r="540" spans="1:43" ht="15.75" customHeight="1" x14ac:dyDescent="0.2">
      <c r="A540" s="107">
        <v>8211</v>
      </c>
      <c r="B540" s="111" t="s">
        <v>1066</v>
      </c>
      <c r="C540" s="111" t="s">
        <v>1067</v>
      </c>
      <c r="D540" s="9" t="s">
        <v>103</v>
      </c>
      <c r="E540" s="111" t="s">
        <v>730</v>
      </c>
      <c r="F540" s="108">
        <v>2009</v>
      </c>
      <c r="G540" s="108">
        <v>2014</v>
      </c>
      <c r="H540" s="108">
        <v>0</v>
      </c>
      <c r="I540" s="37">
        <v>7.2</v>
      </c>
      <c r="J540" s="109">
        <f t="shared" si="55"/>
        <v>1</v>
      </c>
      <c r="K540" s="110">
        <v>7.2</v>
      </c>
      <c r="L540" s="37">
        <v>0</v>
      </c>
      <c r="M540" s="37">
        <v>0</v>
      </c>
      <c r="N540" s="37">
        <v>4</v>
      </c>
      <c r="O540" s="111"/>
      <c r="P540" s="111" t="s">
        <v>73</v>
      </c>
      <c r="Q540" s="112">
        <v>498</v>
      </c>
      <c r="R540" s="51" t="s">
        <v>1071</v>
      </c>
      <c r="S540" s="108">
        <v>2009</v>
      </c>
      <c r="T540" s="111"/>
      <c r="U540" s="69"/>
      <c r="V540" s="70"/>
      <c r="W540" s="15">
        <f t="shared" si="46"/>
        <v>0</v>
      </c>
      <c r="X540" s="15">
        <f t="shared" si="47"/>
        <v>0</v>
      </c>
      <c r="Y540" s="15">
        <f t="shared" si="48"/>
        <v>0</v>
      </c>
      <c r="Z540" s="13">
        <f t="shared" si="49"/>
        <v>0</v>
      </c>
      <c r="AA540" s="16">
        <f>VLOOKUP(S540,[1]CPI!$A$2:$D$67,4,0)</f>
        <v>1.2630455352689747</v>
      </c>
      <c r="AB540" s="17"/>
      <c r="AC540" s="17"/>
      <c r="AD540" s="9"/>
      <c r="AE540" s="9"/>
      <c r="AF540" s="19"/>
      <c r="AG540" s="19"/>
      <c r="AH540" s="19"/>
      <c r="AI540" s="19"/>
      <c r="AJ540" s="20"/>
      <c r="AK540" s="20"/>
      <c r="AL540" s="20"/>
      <c r="AM540" s="20"/>
      <c r="AN540" s="20"/>
      <c r="AO540" s="20"/>
      <c r="AP540" s="20"/>
      <c r="AQ540" s="20"/>
    </row>
    <row r="541" spans="1:43" ht="15.75" customHeight="1" x14ac:dyDescent="0.2">
      <c r="A541" s="107">
        <v>8216</v>
      </c>
      <c r="B541" s="111" t="s">
        <v>1066</v>
      </c>
      <c r="C541" s="111" t="s">
        <v>1067</v>
      </c>
      <c r="D541" s="9" t="s">
        <v>103</v>
      </c>
      <c r="E541" s="111" t="s">
        <v>988</v>
      </c>
      <c r="F541" s="108">
        <v>2017</v>
      </c>
      <c r="G541" s="108">
        <v>2022</v>
      </c>
      <c r="H541" s="108">
        <v>0</v>
      </c>
      <c r="I541" s="37">
        <v>11.6</v>
      </c>
      <c r="J541" s="109">
        <f t="shared" si="55"/>
        <v>1</v>
      </c>
      <c r="K541" s="110">
        <v>11.6</v>
      </c>
      <c r="L541" s="37">
        <v>0</v>
      </c>
      <c r="M541" s="37">
        <v>0</v>
      </c>
      <c r="N541" s="37">
        <v>12</v>
      </c>
      <c r="O541" s="111"/>
      <c r="P541" s="111" t="s">
        <v>73</v>
      </c>
      <c r="Q541" s="112">
        <v>0.27</v>
      </c>
      <c r="R541" s="51" t="s">
        <v>1071</v>
      </c>
      <c r="S541" s="108">
        <v>2016</v>
      </c>
      <c r="T541" s="111"/>
      <c r="U541" s="69"/>
      <c r="V541" s="70"/>
      <c r="W541" s="15">
        <f t="shared" si="46"/>
        <v>0</v>
      </c>
      <c r="X541" s="15">
        <f t="shared" si="47"/>
        <v>0</v>
      </c>
      <c r="Y541" s="15">
        <f t="shared" si="48"/>
        <v>0</v>
      </c>
      <c r="Z541" s="13">
        <f t="shared" si="49"/>
        <v>0</v>
      </c>
      <c r="AA541" s="16">
        <f>VLOOKUP(S541,[1]CPI!$A$2:$D$67,4,0)</f>
        <v>1.1290087372451638</v>
      </c>
      <c r="AB541" s="17"/>
      <c r="AC541" s="17"/>
      <c r="AD541" s="9"/>
      <c r="AE541" s="9"/>
      <c r="AF541" s="19"/>
      <c r="AG541" s="19"/>
      <c r="AH541" s="19"/>
      <c r="AI541" s="19"/>
      <c r="AJ541" s="20"/>
      <c r="AK541" s="20"/>
      <c r="AL541" s="20"/>
      <c r="AM541" s="20"/>
      <c r="AN541" s="20"/>
      <c r="AO541" s="20"/>
      <c r="AP541" s="20"/>
      <c r="AQ541" s="20"/>
    </row>
    <row r="542" spans="1:43" ht="15.75" customHeight="1" x14ac:dyDescent="0.2">
      <c r="A542" s="107">
        <v>8217</v>
      </c>
      <c r="B542" s="111" t="s">
        <v>1066</v>
      </c>
      <c r="C542" s="111" t="s">
        <v>1067</v>
      </c>
      <c r="D542" s="9" t="s">
        <v>103</v>
      </c>
      <c r="E542" s="111" t="s">
        <v>741</v>
      </c>
      <c r="F542" s="108">
        <v>2015</v>
      </c>
      <c r="G542" s="108">
        <v>2022</v>
      </c>
      <c r="H542" s="108">
        <v>0</v>
      </c>
      <c r="I542" s="37">
        <v>12.1</v>
      </c>
      <c r="J542" s="109">
        <f t="shared" si="55"/>
        <v>0.79338842975206614</v>
      </c>
      <c r="K542" s="110">
        <v>9.6</v>
      </c>
      <c r="L542" s="37">
        <v>0</v>
      </c>
      <c r="M542" s="37">
        <v>0</v>
      </c>
      <c r="N542" s="37">
        <v>8</v>
      </c>
      <c r="O542" s="111"/>
      <c r="P542" s="111" t="s">
        <v>73</v>
      </c>
      <c r="Q542" s="112"/>
      <c r="R542" s="111"/>
      <c r="S542" s="111"/>
      <c r="T542" s="111"/>
      <c r="U542" s="69"/>
      <c r="V542" s="70"/>
      <c r="W542" s="15">
        <f t="shared" si="46"/>
        <v>0</v>
      </c>
      <c r="X542" s="15">
        <f t="shared" si="47"/>
        <v>0</v>
      </c>
      <c r="Y542" s="15">
        <f t="shared" si="48"/>
        <v>0</v>
      </c>
      <c r="Z542" s="13">
        <f t="shared" si="49"/>
        <v>0</v>
      </c>
      <c r="AA542" s="16"/>
      <c r="AB542" s="17"/>
      <c r="AC542" s="17"/>
      <c r="AD542" s="9"/>
      <c r="AE542" s="9"/>
      <c r="AF542" s="19"/>
      <c r="AG542" s="19"/>
      <c r="AH542" s="19"/>
      <c r="AI542" s="19"/>
      <c r="AJ542" s="20"/>
      <c r="AK542" s="20"/>
      <c r="AL542" s="20"/>
      <c r="AM542" s="20"/>
      <c r="AN542" s="20"/>
      <c r="AO542" s="20"/>
      <c r="AP542" s="20"/>
      <c r="AQ542" s="20"/>
    </row>
    <row r="543" spans="1:43" ht="15.75" customHeight="1" x14ac:dyDescent="0.2">
      <c r="A543" s="107">
        <v>8218</v>
      </c>
      <c r="B543" s="51" t="s">
        <v>1066</v>
      </c>
      <c r="C543" s="51" t="s">
        <v>1067</v>
      </c>
      <c r="D543" s="9"/>
      <c r="E543" s="51" t="s">
        <v>1072</v>
      </c>
      <c r="F543" s="108">
        <v>2019</v>
      </c>
      <c r="G543" s="108" t="s">
        <v>1058</v>
      </c>
      <c r="H543" s="108">
        <v>0</v>
      </c>
      <c r="I543" s="37">
        <v>19</v>
      </c>
      <c r="J543" s="109"/>
      <c r="K543" s="110"/>
      <c r="L543" s="37" t="e">
        <v>#N/A</v>
      </c>
      <c r="M543" s="37" t="e">
        <v>#N/A</v>
      </c>
      <c r="N543" s="37">
        <v>17</v>
      </c>
      <c r="O543" s="111"/>
      <c r="P543" s="111"/>
      <c r="Q543" s="112">
        <v>3600</v>
      </c>
      <c r="R543" s="51" t="s">
        <v>66</v>
      </c>
      <c r="S543" s="37">
        <v>2019</v>
      </c>
      <c r="T543" s="37">
        <v>3.6</v>
      </c>
      <c r="U543" s="37">
        <f>Q543*T543</f>
        <v>12960</v>
      </c>
      <c r="V543" s="25">
        <f>U543/I543</f>
        <v>682.10526315789468</v>
      </c>
      <c r="W543" s="15">
        <f t="shared" si="46"/>
        <v>0</v>
      </c>
      <c r="X543" s="15">
        <f t="shared" si="47"/>
        <v>0</v>
      </c>
      <c r="Y543" s="15">
        <f t="shared" si="48"/>
        <v>0</v>
      </c>
      <c r="Z543" s="13">
        <f t="shared" si="49"/>
        <v>0</v>
      </c>
      <c r="AA543" s="16">
        <f>VLOOKUP(S543,[1]CPI!$A$2:$D$67,4,0)</f>
        <v>1.0598966584134211</v>
      </c>
      <c r="AB543" s="17">
        <f>U543*AA543</f>
        <v>13736.260693037937</v>
      </c>
      <c r="AC543" s="17">
        <f>V543*AA543</f>
        <v>722.9610891072598</v>
      </c>
      <c r="AD543" s="9"/>
      <c r="AE543" s="9"/>
      <c r="AF543" s="19"/>
      <c r="AG543" s="19"/>
      <c r="AH543" s="19"/>
      <c r="AI543" s="19"/>
      <c r="AJ543" s="20"/>
      <c r="AK543" s="20"/>
      <c r="AL543" s="20"/>
      <c r="AM543" s="20"/>
      <c r="AN543" s="20"/>
      <c r="AO543" s="20"/>
      <c r="AP543" s="20"/>
      <c r="AQ543" s="20"/>
    </row>
    <row r="544" spans="1:43" ht="15.75" customHeight="1" x14ac:dyDescent="0.2">
      <c r="A544" s="107">
        <v>8219</v>
      </c>
      <c r="B544" s="111" t="s">
        <v>1066</v>
      </c>
      <c r="C544" s="111" t="s">
        <v>1067</v>
      </c>
      <c r="D544" s="9"/>
      <c r="E544" s="111" t="s">
        <v>119</v>
      </c>
      <c r="F544" s="108" t="s">
        <v>1058</v>
      </c>
      <c r="G544" s="108" t="s">
        <v>1058</v>
      </c>
      <c r="H544" s="108">
        <v>0</v>
      </c>
      <c r="I544" s="37">
        <v>19</v>
      </c>
      <c r="J544" s="109"/>
      <c r="K544" s="110"/>
      <c r="L544" s="37" t="e">
        <v>#N/A</v>
      </c>
      <c r="M544" s="37" t="e">
        <v>#N/A</v>
      </c>
      <c r="N544" s="37"/>
      <c r="O544" s="111"/>
      <c r="P544" s="111"/>
      <c r="Q544" s="112"/>
      <c r="R544" s="111"/>
      <c r="S544" s="111"/>
      <c r="T544" s="111"/>
      <c r="U544" s="69"/>
      <c r="V544" s="70"/>
      <c r="W544" s="15">
        <f t="shared" si="46"/>
        <v>0</v>
      </c>
      <c r="X544" s="15">
        <f t="shared" si="47"/>
        <v>0</v>
      </c>
      <c r="Y544" s="15">
        <f t="shared" si="48"/>
        <v>0</v>
      </c>
      <c r="Z544" s="13">
        <f t="shared" si="49"/>
        <v>0</v>
      </c>
      <c r="AA544" s="16"/>
      <c r="AB544" s="17"/>
      <c r="AC544" s="17"/>
      <c r="AD544" s="9"/>
      <c r="AE544" s="114"/>
      <c r="AF544" s="19"/>
      <c r="AG544" s="19"/>
      <c r="AH544" s="19"/>
      <c r="AI544" s="19"/>
      <c r="AJ544" s="20"/>
      <c r="AK544" s="20"/>
      <c r="AL544" s="20"/>
      <c r="AM544" s="20"/>
      <c r="AN544" s="20"/>
      <c r="AO544" s="20"/>
      <c r="AP544" s="20"/>
      <c r="AQ544" s="20"/>
    </row>
    <row r="545" spans="1:43" ht="15.75" customHeight="1" x14ac:dyDescent="0.2">
      <c r="A545" s="107">
        <v>8224</v>
      </c>
      <c r="B545" s="9" t="s">
        <v>1066</v>
      </c>
      <c r="C545" s="9" t="s">
        <v>1067</v>
      </c>
      <c r="D545" s="9"/>
      <c r="E545" s="9" t="s">
        <v>281</v>
      </c>
      <c r="F545" s="108">
        <v>2017</v>
      </c>
      <c r="G545" s="108" t="s">
        <v>1058</v>
      </c>
      <c r="H545" s="108">
        <v>0</v>
      </c>
      <c r="I545" s="37">
        <v>21</v>
      </c>
      <c r="J545" s="109">
        <f>K545/I545</f>
        <v>0.65238095238095239</v>
      </c>
      <c r="K545" s="110">
        <v>13.7</v>
      </c>
      <c r="L545" s="37">
        <v>0</v>
      </c>
      <c r="M545" s="37">
        <v>0</v>
      </c>
      <c r="N545" s="37">
        <v>24</v>
      </c>
      <c r="O545" s="111"/>
      <c r="P545" s="111" t="s">
        <v>73</v>
      </c>
      <c r="Q545" s="112">
        <v>4000</v>
      </c>
      <c r="R545" s="9" t="s">
        <v>66</v>
      </c>
      <c r="S545" s="15">
        <v>2017</v>
      </c>
      <c r="T545" s="15">
        <v>3.1</v>
      </c>
      <c r="U545" s="15">
        <f t="shared" ref="U545:U548" si="57">Q545*T545</f>
        <v>12400</v>
      </c>
      <c r="V545" s="25">
        <f t="shared" ref="V545:V556" si="58">U545/I545</f>
        <v>590.47619047619048</v>
      </c>
      <c r="W545" s="15">
        <f t="shared" si="46"/>
        <v>0</v>
      </c>
      <c r="X545" s="15">
        <f t="shared" si="47"/>
        <v>0</v>
      </c>
      <c r="Y545" s="15">
        <f t="shared" si="48"/>
        <v>0</v>
      </c>
      <c r="Z545" s="13">
        <f t="shared" si="49"/>
        <v>0</v>
      </c>
      <c r="AA545" s="16">
        <f>VLOOKUP(S545,[1]CPI!$A$2:$D$67,4,0)</f>
        <v>1.1054585509138382</v>
      </c>
      <c r="AB545" s="17">
        <f t="shared" ref="AB545:AB556" si="59">U545*AA545</f>
        <v>13707.686031331594</v>
      </c>
      <c r="AC545" s="17">
        <f t="shared" ref="AC545:AC556" si="60">V545*AA545</f>
        <v>652.74695387293298</v>
      </c>
      <c r="AD545" s="9" t="s">
        <v>43</v>
      </c>
      <c r="AE545" s="113" t="s">
        <v>1073</v>
      </c>
      <c r="AF545" s="19"/>
      <c r="AG545" s="19"/>
      <c r="AH545" s="19"/>
      <c r="AI545" s="19"/>
      <c r="AJ545" s="20"/>
      <c r="AK545" s="20"/>
      <c r="AL545" s="20"/>
      <c r="AM545" s="20"/>
      <c r="AN545" s="20"/>
      <c r="AO545" s="20"/>
      <c r="AP545" s="20"/>
      <c r="AQ545" s="20"/>
    </row>
    <row r="546" spans="1:43" ht="15.75" customHeight="1" x14ac:dyDescent="0.2">
      <c r="A546" s="21">
        <v>8225</v>
      </c>
      <c r="B546" s="27" t="s">
        <v>1074</v>
      </c>
      <c r="C546" s="27" t="s">
        <v>1075</v>
      </c>
      <c r="D546" s="9"/>
      <c r="E546" s="27" t="s">
        <v>1076</v>
      </c>
      <c r="F546" s="13">
        <v>2020</v>
      </c>
      <c r="G546" s="13">
        <v>2025</v>
      </c>
      <c r="H546" s="13">
        <v>0</v>
      </c>
      <c r="I546" s="13">
        <v>160</v>
      </c>
      <c r="J546" s="23">
        <v>0.35</v>
      </c>
      <c r="K546" s="115">
        <f>I546*J546</f>
        <v>56</v>
      </c>
      <c r="L546" s="13">
        <v>0</v>
      </c>
      <c r="M546" s="13">
        <v>0</v>
      </c>
      <c r="N546" s="13">
        <v>68</v>
      </c>
      <c r="O546" s="16"/>
      <c r="P546" s="16" t="s">
        <v>73</v>
      </c>
      <c r="Q546" s="24">
        <v>20000</v>
      </c>
      <c r="R546" s="27" t="s">
        <v>66</v>
      </c>
      <c r="S546" s="13">
        <v>2020</v>
      </c>
      <c r="T546" s="13">
        <v>1.52</v>
      </c>
      <c r="U546" s="13">
        <f t="shared" si="57"/>
        <v>30400</v>
      </c>
      <c r="V546" s="25">
        <f t="shared" si="58"/>
        <v>190</v>
      </c>
      <c r="W546" s="15">
        <f t="shared" si="46"/>
        <v>0</v>
      </c>
      <c r="X546" s="15">
        <f t="shared" si="47"/>
        <v>0</v>
      </c>
      <c r="Y546" s="15">
        <f t="shared" si="48"/>
        <v>0</v>
      </c>
      <c r="Z546" s="13">
        <f t="shared" si="49"/>
        <v>0</v>
      </c>
      <c r="AA546" s="16">
        <f>VLOOKUP(S546,[1]CPI!$A$2:$D$67,4,0)</f>
        <v>1.0469802288156225</v>
      </c>
      <c r="AB546" s="17">
        <f t="shared" si="59"/>
        <v>31828.198955994922</v>
      </c>
      <c r="AC546" s="17">
        <f t="shared" si="60"/>
        <v>198.92624347496826</v>
      </c>
      <c r="AD546" s="16" t="s">
        <v>43</v>
      </c>
      <c r="AE546" s="34" t="s">
        <v>1077</v>
      </c>
      <c r="AF546" s="19"/>
      <c r="AG546" s="19"/>
      <c r="AH546" s="19"/>
      <c r="AI546" s="19"/>
      <c r="AJ546" s="20"/>
      <c r="AK546" s="20"/>
      <c r="AL546" s="20"/>
      <c r="AM546" s="20"/>
      <c r="AN546" s="20"/>
      <c r="AO546" s="20"/>
      <c r="AP546" s="20"/>
      <c r="AQ546" s="20"/>
    </row>
    <row r="547" spans="1:43" ht="15.75" customHeight="1" x14ac:dyDescent="0.2">
      <c r="A547" s="107">
        <v>9461</v>
      </c>
      <c r="B547" s="54" t="s">
        <v>672</v>
      </c>
      <c r="C547" s="54" t="s">
        <v>695</v>
      </c>
      <c r="D547" s="54"/>
      <c r="E547" s="54" t="s">
        <v>1078</v>
      </c>
      <c r="F547" s="72">
        <v>2016</v>
      </c>
      <c r="G547" s="72">
        <v>2021</v>
      </c>
      <c r="H547" s="72">
        <v>0</v>
      </c>
      <c r="I547" s="72">
        <v>42.3</v>
      </c>
      <c r="J547" s="73">
        <v>1</v>
      </c>
      <c r="K547" s="72">
        <v>42.3</v>
      </c>
      <c r="L547" s="54"/>
      <c r="M547" s="54"/>
      <c r="N547" s="72">
        <v>30</v>
      </c>
      <c r="O547" s="72">
        <v>138</v>
      </c>
      <c r="P547" s="54"/>
      <c r="Q547" s="65">
        <v>47683</v>
      </c>
      <c r="R547" s="54" t="s">
        <v>676</v>
      </c>
      <c r="S547" s="54">
        <v>2019</v>
      </c>
      <c r="T547" s="61">
        <v>0.23799999999999999</v>
      </c>
      <c r="U547" s="69">
        <f t="shared" si="57"/>
        <v>11348.554</v>
      </c>
      <c r="V547" s="70">
        <f t="shared" si="58"/>
        <v>268.28732860520097</v>
      </c>
      <c r="W547" s="15">
        <f t="shared" si="46"/>
        <v>0</v>
      </c>
      <c r="X547" s="15">
        <f t="shared" si="47"/>
        <v>0</v>
      </c>
      <c r="Y547" s="15">
        <f t="shared" si="48"/>
        <v>0</v>
      </c>
      <c r="Z547" s="13">
        <f t="shared" si="49"/>
        <v>0</v>
      </c>
      <c r="AA547" s="16">
        <f>VLOOKUP(S547,[1]CPI!$A$2:$D$67,4,0)</f>
        <v>1.0598966584134211</v>
      </c>
      <c r="AB547" s="17">
        <f t="shared" si="59"/>
        <v>12028.294462424263</v>
      </c>
      <c r="AC547" s="17">
        <f t="shared" si="60"/>
        <v>284.35684308331594</v>
      </c>
      <c r="AD547" s="54" t="s">
        <v>73</v>
      </c>
      <c r="AE547" s="46" t="s">
        <v>1079</v>
      </c>
      <c r="AF547" s="54"/>
      <c r="AG547" s="54"/>
      <c r="AH547" s="54"/>
      <c r="AI547" s="54"/>
      <c r="AJ547" s="82"/>
      <c r="AK547" s="82"/>
      <c r="AL547" s="82"/>
      <c r="AM547" s="82"/>
      <c r="AN547" s="82"/>
      <c r="AO547" s="82"/>
      <c r="AP547" s="82"/>
      <c r="AQ547" s="82"/>
    </row>
    <row r="548" spans="1:43" ht="15.75" customHeight="1" x14ac:dyDescent="0.2">
      <c r="A548" s="107">
        <v>9462</v>
      </c>
      <c r="B548" s="54" t="s">
        <v>672</v>
      </c>
      <c r="C548" s="54" t="s">
        <v>695</v>
      </c>
      <c r="D548" s="54"/>
      <c r="E548" s="54" t="s">
        <v>386</v>
      </c>
      <c r="F548" s="72">
        <v>2014</v>
      </c>
      <c r="G548" s="72">
        <v>2021</v>
      </c>
      <c r="H548" s="72">
        <v>0</v>
      </c>
      <c r="I548" s="72">
        <v>38.15</v>
      </c>
      <c r="J548" s="73">
        <v>1</v>
      </c>
      <c r="K548" s="72">
        <v>38.15</v>
      </c>
      <c r="L548" s="54"/>
      <c r="M548" s="54"/>
      <c r="N548" s="72">
        <v>31</v>
      </c>
      <c r="O548" s="72">
        <v>184</v>
      </c>
      <c r="P548" s="54"/>
      <c r="Q548" s="65">
        <v>58073</v>
      </c>
      <c r="R548" s="54" t="s">
        <v>676</v>
      </c>
      <c r="S548" s="54">
        <v>2021</v>
      </c>
      <c r="T548" s="61">
        <v>0.23899999999999999</v>
      </c>
      <c r="U548" s="69">
        <f t="shared" si="57"/>
        <v>13879.447</v>
      </c>
      <c r="V548" s="70">
        <f t="shared" si="58"/>
        <v>363.81250327653999</v>
      </c>
      <c r="W548" s="15">
        <f t="shared" si="46"/>
        <v>0</v>
      </c>
      <c r="X548" s="15">
        <f t="shared" si="47"/>
        <v>0</v>
      </c>
      <c r="Y548" s="15">
        <f t="shared" si="48"/>
        <v>0</v>
      </c>
      <c r="Z548" s="13">
        <f t="shared" si="49"/>
        <v>0</v>
      </c>
      <c r="AA548" s="16">
        <f>VLOOKUP(S548,[1]CPI!$A$2:$D$67,4,0)</f>
        <v>1</v>
      </c>
      <c r="AB548" s="17">
        <f t="shared" si="59"/>
        <v>13879.447</v>
      </c>
      <c r="AC548" s="17">
        <f t="shared" si="60"/>
        <v>363.81250327653999</v>
      </c>
      <c r="AD548" s="54" t="s">
        <v>73</v>
      </c>
      <c r="AE548" s="46" t="s">
        <v>1080</v>
      </c>
      <c r="AF548" s="54"/>
      <c r="AG548" s="54"/>
      <c r="AH548" s="54"/>
      <c r="AI548" s="54"/>
      <c r="AJ548" s="82"/>
      <c r="AK548" s="82"/>
      <c r="AL548" s="82"/>
      <c r="AM548" s="82"/>
      <c r="AN548" s="82"/>
      <c r="AO548" s="82"/>
      <c r="AP548" s="82"/>
      <c r="AQ548" s="82"/>
    </row>
    <row r="549" spans="1:43" ht="15.75" customHeight="1" x14ac:dyDescent="0.2">
      <c r="A549" s="107">
        <v>9467</v>
      </c>
      <c r="B549" s="111" t="s">
        <v>672</v>
      </c>
      <c r="C549" s="111" t="s">
        <v>695</v>
      </c>
      <c r="D549" s="9"/>
      <c r="E549" s="111" t="s">
        <v>747</v>
      </c>
      <c r="F549" s="108">
        <v>2010</v>
      </c>
      <c r="G549" s="108">
        <v>2014</v>
      </c>
      <c r="H549" s="108">
        <v>0</v>
      </c>
      <c r="I549" s="108">
        <v>58.96</v>
      </c>
      <c r="J549" s="109">
        <f t="shared" ref="J549:J558" si="61">K549/I549</f>
        <v>0.23219131614654001</v>
      </c>
      <c r="K549" s="108">
        <v>13.69</v>
      </c>
      <c r="L549" s="111">
        <v>45.3992</v>
      </c>
      <c r="M549" s="111">
        <v>0</v>
      </c>
      <c r="N549" s="111"/>
      <c r="O549" s="111"/>
      <c r="P549" s="111" t="s">
        <v>43</v>
      </c>
      <c r="Q549" s="112">
        <v>18160</v>
      </c>
      <c r="R549" s="111" t="s">
        <v>676</v>
      </c>
      <c r="S549" s="108">
        <v>2010</v>
      </c>
      <c r="T549" s="61">
        <v>0.3</v>
      </c>
      <c r="U549" s="15">
        <f>T549*Q549</f>
        <v>5448</v>
      </c>
      <c r="V549" s="14">
        <f t="shared" si="58"/>
        <v>92.40162822252374</v>
      </c>
      <c r="W549" s="15">
        <f t="shared" si="46"/>
        <v>0</v>
      </c>
      <c r="X549" s="15">
        <f t="shared" si="47"/>
        <v>0</v>
      </c>
      <c r="Y549" s="15">
        <f t="shared" si="48"/>
        <v>0</v>
      </c>
      <c r="Z549" s="13">
        <f t="shared" si="49"/>
        <v>0</v>
      </c>
      <c r="AA549" s="16">
        <f>VLOOKUP(S549,[1]CPI!$A$2:$D$67,4,0)</f>
        <v>1.2426624353377114</v>
      </c>
      <c r="AB549" s="17">
        <f t="shared" si="59"/>
        <v>6770.0249477198513</v>
      </c>
      <c r="AC549" s="17">
        <f t="shared" si="60"/>
        <v>114.82403235617116</v>
      </c>
      <c r="AD549" s="16" t="s">
        <v>43</v>
      </c>
      <c r="AE549" s="57" t="s">
        <v>1081</v>
      </c>
      <c r="AF549" s="19"/>
      <c r="AG549" s="19"/>
      <c r="AH549" s="19"/>
      <c r="AI549" s="19"/>
      <c r="AJ549" s="20"/>
      <c r="AK549" s="20"/>
      <c r="AL549" s="20"/>
      <c r="AM549" s="20"/>
      <c r="AN549" s="20"/>
      <c r="AO549" s="20"/>
      <c r="AP549" s="20"/>
      <c r="AQ549" s="20"/>
    </row>
    <row r="550" spans="1:43" ht="15.75" customHeight="1" x14ac:dyDescent="0.2">
      <c r="A550" s="107">
        <v>9468</v>
      </c>
      <c r="B550" s="111" t="s">
        <v>672</v>
      </c>
      <c r="C550" s="111" t="s">
        <v>737</v>
      </c>
      <c r="D550" s="9"/>
      <c r="E550" s="111" t="s">
        <v>761</v>
      </c>
      <c r="F550" s="111"/>
      <c r="G550" s="111"/>
      <c r="H550" s="108">
        <v>0</v>
      </c>
      <c r="I550" s="108">
        <v>23.5</v>
      </c>
      <c r="J550" s="109">
        <f t="shared" si="61"/>
        <v>0.77872340425531916</v>
      </c>
      <c r="K550" s="108">
        <v>18.3</v>
      </c>
      <c r="L550" s="108">
        <v>3.43</v>
      </c>
      <c r="M550" s="108">
        <v>1.9750000000000001</v>
      </c>
      <c r="N550" s="108">
        <v>15</v>
      </c>
      <c r="O550" s="111"/>
      <c r="P550" s="111" t="s">
        <v>35</v>
      </c>
      <c r="Q550" s="112">
        <v>12126</v>
      </c>
      <c r="R550" s="111" t="s">
        <v>676</v>
      </c>
      <c r="S550" s="19">
        <v>2019</v>
      </c>
      <c r="T550" s="61">
        <v>0.23799999999999999</v>
      </c>
      <c r="U550" s="69">
        <f t="shared" ref="U550:U556" si="62">Q550*T550</f>
        <v>2885.9879999999998</v>
      </c>
      <c r="V550" s="70">
        <f t="shared" si="58"/>
        <v>122.80799999999999</v>
      </c>
      <c r="W550" s="15">
        <f t="shared" si="46"/>
        <v>0</v>
      </c>
      <c r="X550" s="15">
        <f t="shared" si="47"/>
        <v>0</v>
      </c>
      <c r="Y550" s="15">
        <f t="shared" si="48"/>
        <v>0</v>
      </c>
      <c r="Z550" s="13">
        <f t="shared" si="49"/>
        <v>0</v>
      </c>
      <c r="AA550" s="16">
        <f>VLOOKUP(S550,[1]CPI!$A$2:$D$67,4,0)</f>
        <v>1.0598966584134211</v>
      </c>
      <c r="AB550" s="17">
        <f t="shared" si="59"/>
        <v>3058.849037421232</v>
      </c>
      <c r="AC550" s="17">
        <f t="shared" si="60"/>
        <v>130.16378882643539</v>
      </c>
      <c r="AD550" s="16" t="s">
        <v>35</v>
      </c>
      <c r="AE550" s="63" t="s">
        <v>1082</v>
      </c>
      <c r="AF550" s="19"/>
      <c r="AG550" s="19"/>
      <c r="AH550" s="19"/>
      <c r="AI550" s="19"/>
      <c r="AJ550" s="20"/>
      <c r="AK550" s="20"/>
      <c r="AL550" s="20"/>
      <c r="AM550" s="20"/>
      <c r="AN550" s="20"/>
      <c r="AO550" s="20"/>
      <c r="AP550" s="20"/>
      <c r="AQ550" s="20"/>
    </row>
    <row r="551" spans="1:43" ht="15.75" customHeight="1" x14ac:dyDescent="0.2">
      <c r="A551" s="107">
        <v>9469</v>
      </c>
      <c r="B551" s="111" t="s">
        <v>672</v>
      </c>
      <c r="C551" s="111" t="s">
        <v>737</v>
      </c>
      <c r="D551" s="9"/>
      <c r="E551" s="111" t="s">
        <v>99</v>
      </c>
      <c r="F551" s="111"/>
      <c r="G551" s="111"/>
      <c r="H551" s="108">
        <v>0</v>
      </c>
      <c r="I551" s="108">
        <v>35.799999999999997</v>
      </c>
      <c r="J551" s="109">
        <f t="shared" si="61"/>
        <v>1</v>
      </c>
      <c r="K551" s="108">
        <f>I551</f>
        <v>35.799999999999997</v>
      </c>
      <c r="L551" s="108">
        <v>0</v>
      </c>
      <c r="M551" s="108">
        <v>0</v>
      </c>
      <c r="N551" s="108">
        <v>29</v>
      </c>
      <c r="O551" s="111"/>
      <c r="P551" s="111" t="s">
        <v>35</v>
      </c>
      <c r="Q551" s="112">
        <v>17787</v>
      </c>
      <c r="R551" s="111" t="s">
        <v>676</v>
      </c>
      <c r="S551" s="19">
        <v>2019</v>
      </c>
      <c r="T551" s="61">
        <v>0.23799999999999999</v>
      </c>
      <c r="U551" s="69">
        <f t="shared" si="62"/>
        <v>4233.3059999999996</v>
      </c>
      <c r="V551" s="70">
        <f t="shared" si="58"/>
        <v>118.24877094972067</v>
      </c>
      <c r="W551" s="15">
        <f t="shared" si="46"/>
        <v>0</v>
      </c>
      <c r="X551" s="15">
        <f t="shared" si="47"/>
        <v>0</v>
      </c>
      <c r="Y551" s="15">
        <f t="shared" si="48"/>
        <v>0</v>
      </c>
      <c r="Z551" s="13">
        <f t="shared" si="49"/>
        <v>0</v>
      </c>
      <c r="AA551" s="16">
        <f>VLOOKUP(S551,[1]CPI!$A$2:$D$67,4,0)</f>
        <v>1.0598966584134211</v>
      </c>
      <c r="AB551" s="17">
        <f t="shared" si="59"/>
        <v>4486.8668834414857</v>
      </c>
      <c r="AC551" s="17">
        <f t="shared" si="60"/>
        <v>125.33147719110295</v>
      </c>
      <c r="AD551" s="16" t="s">
        <v>35</v>
      </c>
      <c r="AE551" s="63" t="s">
        <v>1082</v>
      </c>
      <c r="AF551" s="19"/>
      <c r="AG551" s="19"/>
      <c r="AH551" s="19"/>
      <c r="AI551" s="19"/>
      <c r="AJ551" s="20"/>
      <c r="AK551" s="20"/>
      <c r="AL551" s="20"/>
      <c r="AM551" s="20"/>
      <c r="AN551" s="20"/>
      <c r="AO551" s="20"/>
      <c r="AP551" s="20"/>
      <c r="AQ551" s="20"/>
    </row>
    <row r="552" spans="1:43" ht="15.75" customHeight="1" x14ac:dyDescent="0.2">
      <c r="A552" s="107">
        <v>9470</v>
      </c>
      <c r="B552" s="111" t="s">
        <v>672</v>
      </c>
      <c r="C552" s="111" t="s">
        <v>737</v>
      </c>
      <c r="D552" s="9" t="s">
        <v>103</v>
      </c>
      <c r="E552" s="111" t="s">
        <v>103</v>
      </c>
      <c r="F552" s="111"/>
      <c r="G552" s="111"/>
      <c r="H552" s="108">
        <v>0</v>
      </c>
      <c r="I552" s="108">
        <v>41.5</v>
      </c>
      <c r="J552" s="109">
        <f t="shared" si="61"/>
        <v>0.44626506024096385</v>
      </c>
      <c r="K552" s="108">
        <v>18.52</v>
      </c>
      <c r="L552" s="108">
        <v>23.24</v>
      </c>
      <c r="M552" s="108">
        <v>0</v>
      </c>
      <c r="N552" s="108">
        <v>30</v>
      </c>
      <c r="O552" s="111"/>
      <c r="P552" s="111" t="s">
        <v>35</v>
      </c>
      <c r="Q552" s="112">
        <v>16858</v>
      </c>
      <c r="R552" s="111" t="s">
        <v>676</v>
      </c>
      <c r="S552" s="19">
        <v>2019</v>
      </c>
      <c r="T552" s="61">
        <v>0.23799999999999999</v>
      </c>
      <c r="U552" s="69">
        <f t="shared" si="62"/>
        <v>4012.2039999999997</v>
      </c>
      <c r="V552" s="70">
        <f t="shared" si="58"/>
        <v>96.67961445783132</v>
      </c>
      <c r="W552" s="15">
        <f t="shared" si="46"/>
        <v>0</v>
      </c>
      <c r="X552" s="15">
        <f t="shared" si="47"/>
        <v>0</v>
      </c>
      <c r="Y552" s="15">
        <f t="shared" si="48"/>
        <v>0</v>
      </c>
      <c r="Z552" s="13">
        <f t="shared" si="49"/>
        <v>0</v>
      </c>
      <c r="AA552" s="16">
        <f>VLOOKUP(S552,[1]CPI!$A$2:$D$67,4,0)</f>
        <v>1.0598966584134211</v>
      </c>
      <c r="AB552" s="17">
        <f t="shared" si="59"/>
        <v>4252.5216124729614</v>
      </c>
      <c r="AC552" s="17">
        <f t="shared" si="60"/>
        <v>102.47040030055329</v>
      </c>
      <c r="AD552" s="16" t="s">
        <v>35</v>
      </c>
      <c r="AE552" s="63" t="s">
        <v>1082</v>
      </c>
      <c r="AF552" s="19"/>
      <c r="AG552" s="19"/>
      <c r="AH552" s="19"/>
      <c r="AI552" s="19"/>
      <c r="AJ552" s="20"/>
      <c r="AK552" s="20"/>
      <c r="AL552" s="20"/>
      <c r="AM552" s="20"/>
      <c r="AN552" s="20"/>
      <c r="AO552" s="20"/>
      <c r="AP552" s="20"/>
      <c r="AQ552" s="20"/>
    </row>
    <row r="553" spans="1:43" ht="15.75" customHeight="1" x14ac:dyDescent="0.2">
      <c r="A553" s="107">
        <v>9475</v>
      </c>
      <c r="B553" s="111" t="s">
        <v>672</v>
      </c>
      <c r="C553" s="111" t="s">
        <v>737</v>
      </c>
      <c r="D553" s="9"/>
      <c r="E553" s="111" t="s">
        <v>847</v>
      </c>
      <c r="F553" s="111"/>
      <c r="G553" s="111"/>
      <c r="H553" s="108">
        <v>0</v>
      </c>
      <c r="I553" s="108">
        <v>15.94</v>
      </c>
      <c r="J553" s="109">
        <f t="shared" si="61"/>
        <v>0.3193224592220828</v>
      </c>
      <c r="K553" s="108">
        <v>5.09</v>
      </c>
      <c r="L553" s="108">
        <v>10.9986</v>
      </c>
      <c r="M553" s="108">
        <v>0</v>
      </c>
      <c r="N553" s="108">
        <v>10</v>
      </c>
      <c r="O553" s="111"/>
      <c r="P553" s="111" t="s">
        <v>35</v>
      </c>
      <c r="Q553" s="112">
        <v>5799</v>
      </c>
      <c r="R553" s="111" t="s">
        <v>676</v>
      </c>
      <c r="S553" s="19">
        <v>2019</v>
      </c>
      <c r="T553" s="61">
        <v>0.23799999999999999</v>
      </c>
      <c r="U553" s="69">
        <f t="shared" si="62"/>
        <v>1380.162</v>
      </c>
      <c r="V553" s="70">
        <f t="shared" si="58"/>
        <v>86.584818067754085</v>
      </c>
      <c r="W553" s="15">
        <f t="shared" si="46"/>
        <v>0</v>
      </c>
      <c r="X553" s="15">
        <f t="shared" si="47"/>
        <v>0</v>
      </c>
      <c r="Y553" s="15">
        <f t="shared" si="48"/>
        <v>0</v>
      </c>
      <c r="Z553" s="13">
        <f t="shared" si="49"/>
        <v>0</v>
      </c>
      <c r="AA553" s="16">
        <f>VLOOKUP(S553,[1]CPI!$A$2:$D$67,4,0)</f>
        <v>1.0598966584134211</v>
      </c>
      <c r="AB553" s="17">
        <f t="shared" si="59"/>
        <v>1462.8290918691841</v>
      </c>
      <c r="AC553" s="17">
        <f t="shared" si="60"/>
        <v>91.770959339346561</v>
      </c>
      <c r="AD553" s="16" t="s">
        <v>35</v>
      </c>
      <c r="AE553" s="63" t="s">
        <v>1082</v>
      </c>
      <c r="AF553" s="19"/>
      <c r="AG553" s="19"/>
      <c r="AH553" s="19"/>
      <c r="AI553" s="19"/>
      <c r="AJ553" s="20"/>
      <c r="AK553" s="20"/>
      <c r="AL553" s="20"/>
      <c r="AM553" s="20"/>
      <c r="AN553" s="20"/>
      <c r="AO553" s="20"/>
      <c r="AP553" s="20"/>
      <c r="AQ553" s="20"/>
    </row>
    <row r="554" spans="1:43" ht="15.75" customHeight="1" x14ac:dyDescent="0.2">
      <c r="A554" s="107">
        <v>9476</v>
      </c>
      <c r="B554" s="111" t="s">
        <v>672</v>
      </c>
      <c r="C554" s="111" t="s">
        <v>737</v>
      </c>
      <c r="D554" s="9" t="s">
        <v>119</v>
      </c>
      <c r="E554" s="111" t="s">
        <v>119</v>
      </c>
      <c r="F554" s="111"/>
      <c r="G554" s="111"/>
      <c r="H554" s="108">
        <v>0</v>
      </c>
      <c r="I554" s="108">
        <v>40.1</v>
      </c>
      <c r="J554" s="109">
        <f t="shared" si="61"/>
        <v>0.89276807980049866</v>
      </c>
      <c r="K554" s="108">
        <v>35.799999999999997</v>
      </c>
      <c r="L554" s="108">
        <v>4.4109999999999996</v>
      </c>
      <c r="M554" s="108">
        <v>0</v>
      </c>
      <c r="N554" s="108">
        <v>27</v>
      </c>
      <c r="O554" s="111"/>
      <c r="P554" s="111" t="s">
        <v>35</v>
      </c>
      <c r="Q554" s="112">
        <v>20558</v>
      </c>
      <c r="R554" s="111" t="s">
        <v>676</v>
      </c>
      <c r="S554" s="19">
        <v>2019</v>
      </c>
      <c r="T554" s="61">
        <v>0.23799999999999999</v>
      </c>
      <c r="U554" s="69">
        <f t="shared" si="62"/>
        <v>4892.8040000000001</v>
      </c>
      <c r="V554" s="70">
        <f t="shared" si="58"/>
        <v>122.01506234413965</v>
      </c>
      <c r="W554" s="15">
        <f t="shared" si="46"/>
        <v>0</v>
      </c>
      <c r="X554" s="15">
        <f t="shared" si="47"/>
        <v>0</v>
      </c>
      <c r="Y554" s="15">
        <f t="shared" si="48"/>
        <v>0</v>
      </c>
      <c r="Z554" s="13">
        <f t="shared" si="49"/>
        <v>0</v>
      </c>
      <c r="AA554" s="16">
        <f>VLOOKUP(S554,[1]CPI!$A$2:$D$67,4,0)</f>
        <v>1.0598966584134211</v>
      </c>
      <c r="AB554" s="17">
        <f t="shared" si="59"/>
        <v>5185.8666098718204</v>
      </c>
      <c r="AC554" s="17">
        <f t="shared" si="60"/>
        <v>129.32335685465887</v>
      </c>
      <c r="AD554" s="16" t="s">
        <v>35</v>
      </c>
      <c r="AE554" s="63" t="s">
        <v>1082</v>
      </c>
      <c r="AF554" s="19"/>
      <c r="AG554" s="19"/>
      <c r="AH554" s="19"/>
      <c r="AI554" s="19"/>
      <c r="AJ554" s="20"/>
      <c r="AK554" s="20"/>
      <c r="AL554" s="20"/>
      <c r="AM554" s="20"/>
      <c r="AN554" s="20"/>
      <c r="AO554" s="20"/>
      <c r="AP554" s="20"/>
      <c r="AQ554" s="20"/>
    </row>
    <row r="555" spans="1:43" ht="15.75" customHeight="1" x14ac:dyDescent="0.2">
      <c r="A555" s="107">
        <v>9477</v>
      </c>
      <c r="B555" s="111" t="s">
        <v>672</v>
      </c>
      <c r="C555" s="111" t="s">
        <v>737</v>
      </c>
      <c r="D555" s="9" t="s">
        <v>283</v>
      </c>
      <c r="E555" s="111" t="s">
        <v>283</v>
      </c>
      <c r="F555" s="111"/>
      <c r="G555" s="108">
        <v>2016</v>
      </c>
      <c r="H555" s="108">
        <v>0</v>
      </c>
      <c r="I555" s="108">
        <v>30.2</v>
      </c>
      <c r="J555" s="109">
        <f t="shared" si="61"/>
        <v>1</v>
      </c>
      <c r="K555" s="108">
        <v>30.2</v>
      </c>
      <c r="L555" s="108">
        <v>0</v>
      </c>
      <c r="M555" s="108">
        <v>0</v>
      </c>
      <c r="N555" s="108">
        <v>28</v>
      </c>
      <c r="O555" s="111"/>
      <c r="P555" s="111" t="s">
        <v>35</v>
      </c>
      <c r="Q555" s="112">
        <v>26876</v>
      </c>
      <c r="R555" s="111" t="s">
        <v>676</v>
      </c>
      <c r="S555" s="108">
        <v>2013</v>
      </c>
      <c r="T555" s="61">
        <v>0.27300000000000002</v>
      </c>
      <c r="U555" s="69">
        <f t="shared" si="62"/>
        <v>7337.1480000000001</v>
      </c>
      <c r="V555" s="70">
        <f t="shared" si="58"/>
        <v>242.95192052980133</v>
      </c>
      <c r="W555" s="15">
        <f t="shared" si="46"/>
        <v>0</v>
      </c>
      <c r="X555" s="15">
        <f t="shared" si="47"/>
        <v>0</v>
      </c>
      <c r="Y555" s="15">
        <f t="shared" si="48"/>
        <v>0</v>
      </c>
      <c r="Z555" s="13">
        <f t="shared" si="49"/>
        <v>0</v>
      </c>
      <c r="AA555" s="16">
        <f>VLOOKUP(S555,[1]CPI!$A$2:$D$67,4,0)</f>
        <v>1.16317603677932</v>
      </c>
      <c r="AB555" s="17">
        <f t="shared" si="59"/>
        <v>8534.3947319033141</v>
      </c>
      <c r="AC555" s="17">
        <f t="shared" si="60"/>
        <v>282.59585204977861</v>
      </c>
      <c r="AD555" s="16" t="s">
        <v>35</v>
      </c>
      <c r="AE555" s="63" t="s">
        <v>1082</v>
      </c>
      <c r="AF555" s="19"/>
      <c r="AG555" s="19"/>
      <c r="AH555" s="19"/>
      <c r="AI555" s="19"/>
      <c r="AJ555" s="20"/>
      <c r="AK555" s="20"/>
      <c r="AL555" s="20"/>
      <c r="AM555" s="20"/>
      <c r="AN555" s="20"/>
      <c r="AO555" s="20"/>
      <c r="AP555" s="20"/>
      <c r="AQ555" s="20"/>
    </row>
    <row r="556" spans="1:43" ht="15.75" customHeight="1" x14ac:dyDescent="0.2">
      <c r="A556" s="107">
        <v>9478</v>
      </c>
      <c r="B556" s="111" t="s">
        <v>672</v>
      </c>
      <c r="C556" s="111" t="s">
        <v>737</v>
      </c>
      <c r="D556" s="9"/>
      <c r="E556" s="111" t="s">
        <v>335</v>
      </c>
      <c r="F556" s="111"/>
      <c r="G556" s="111"/>
      <c r="H556" s="108">
        <v>0</v>
      </c>
      <c r="I556" s="108">
        <v>25.33</v>
      </c>
      <c r="J556" s="109">
        <f t="shared" si="61"/>
        <v>1</v>
      </c>
      <c r="K556" s="108">
        <f>I556</f>
        <v>25.33</v>
      </c>
      <c r="L556" s="108">
        <v>0</v>
      </c>
      <c r="M556" s="108">
        <v>0</v>
      </c>
      <c r="N556" s="108">
        <v>22</v>
      </c>
      <c r="O556" s="111"/>
      <c r="P556" s="111" t="s">
        <v>35</v>
      </c>
      <c r="Q556" s="112">
        <v>22371</v>
      </c>
      <c r="R556" s="111" t="s">
        <v>676</v>
      </c>
      <c r="S556" s="19">
        <v>2019</v>
      </c>
      <c r="T556" s="61">
        <v>0.23799999999999999</v>
      </c>
      <c r="U556" s="69">
        <f t="shared" si="62"/>
        <v>5324.2979999999998</v>
      </c>
      <c r="V556" s="70">
        <f t="shared" si="58"/>
        <v>210.19731543624161</v>
      </c>
      <c r="W556" s="15">
        <f t="shared" si="46"/>
        <v>0</v>
      </c>
      <c r="X556" s="15">
        <f t="shared" si="47"/>
        <v>0</v>
      </c>
      <c r="Y556" s="15">
        <f t="shared" si="48"/>
        <v>0</v>
      </c>
      <c r="Z556" s="13">
        <f t="shared" si="49"/>
        <v>0</v>
      </c>
      <c r="AA556" s="16">
        <f>VLOOKUP(S556,[1]CPI!$A$2:$D$67,4,0)</f>
        <v>1.0598966584134211</v>
      </c>
      <c r="AB556" s="17">
        <f t="shared" si="59"/>
        <v>5643.2056585972605</v>
      </c>
      <c r="AC556" s="17">
        <f t="shared" si="60"/>
        <v>222.78743223834428</v>
      </c>
      <c r="AD556" s="16" t="s">
        <v>35</v>
      </c>
      <c r="AE556" s="63" t="s">
        <v>1082</v>
      </c>
      <c r="AF556" s="19"/>
      <c r="AG556" s="19"/>
      <c r="AH556" s="19"/>
      <c r="AI556" s="19"/>
      <c r="AJ556" s="20"/>
      <c r="AK556" s="20"/>
      <c r="AL556" s="20"/>
      <c r="AM556" s="20"/>
      <c r="AN556" s="20"/>
      <c r="AO556" s="20"/>
      <c r="AP556" s="20"/>
      <c r="AQ556" s="20"/>
    </row>
    <row r="557" spans="1:43" ht="15.75" customHeight="1" x14ac:dyDescent="0.2">
      <c r="A557" s="107">
        <v>9483</v>
      </c>
      <c r="B557" s="111" t="s">
        <v>672</v>
      </c>
      <c r="C557" s="111" t="s">
        <v>737</v>
      </c>
      <c r="D557" s="9" t="s">
        <v>124</v>
      </c>
      <c r="E557" s="111" t="s">
        <v>725</v>
      </c>
      <c r="F557" s="111"/>
      <c r="G557" s="108">
        <v>2016</v>
      </c>
      <c r="H557" s="108">
        <v>0</v>
      </c>
      <c r="I557" s="108">
        <v>49.7</v>
      </c>
      <c r="J557" s="109">
        <f t="shared" si="61"/>
        <v>0.676056338028169</v>
      </c>
      <c r="K557" s="108">
        <v>33.6</v>
      </c>
      <c r="L557" s="108">
        <v>11.635</v>
      </c>
      <c r="M557" s="108">
        <v>4.766</v>
      </c>
      <c r="N557" s="108">
        <v>11</v>
      </c>
      <c r="O557" s="111"/>
      <c r="P557" s="111" t="s">
        <v>35</v>
      </c>
      <c r="Q557" s="116"/>
      <c r="R557" s="111" t="s">
        <v>676</v>
      </c>
      <c r="S557" s="108">
        <v>2013</v>
      </c>
      <c r="T557" s="61">
        <v>0.27300000000000002</v>
      </c>
      <c r="U557" s="69"/>
      <c r="V557" s="70"/>
      <c r="W557" s="15">
        <f t="shared" si="46"/>
        <v>0</v>
      </c>
      <c r="X557" s="15">
        <f t="shared" si="47"/>
        <v>0</v>
      </c>
      <c r="Y557" s="15">
        <f t="shared" si="48"/>
        <v>0</v>
      </c>
      <c r="Z557" s="13">
        <f t="shared" si="49"/>
        <v>0</v>
      </c>
      <c r="AA557" s="16">
        <f>VLOOKUP(S557,[1]CPI!$A$2:$D$67,4,0)</f>
        <v>1.16317603677932</v>
      </c>
      <c r="AB557" s="17"/>
      <c r="AC557" s="17"/>
      <c r="AD557" s="16" t="s">
        <v>35</v>
      </c>
      <c r="AE557" s="63" t="s">
        <v>1082</v>
      </c>
      <c r="AF557" s="19"/>
      <c r="AG557" s="19"/>
      <c r="AH557" s="19"/>
      <c r="AI557" s="19"/>
      <c r="AJ557" s="20"/>
      <c r="AK557" s="20"/>
      <c r="AL557" s="20"/>
      <c r="AM557" s="20"/>
      <c r="AN557" s="20"/>
      <c r="AO557" s="20"/>
      <c r="AP557" s="20"/>
      <c r="AQ557" s="20"/>
    </row>
    <row r="558" spans="1:43" ht="15.75" customHeight="1" x14ac:dyDescent="0.2">
      <c r="A558" s="107">
        <v>9484</v>
      </c>
      <c r="B558" s="111" t="s">
        <v>672</v>
      </c>
      <c r="C558" s="111" t="s">
        <v>737</v>
      </c>
      <c r="D558" s="9" t="s">
        <v>674</v>
      </c>
      <c r="E558" s="111" t="s">
        <v>774</v>
      </c>
      <c r="F558" s="108">
        <v>2015</v>
      </c>
      <c r="G558" s="108">
        <v>2020</v>
      </c>
      <c r="H558" s="108">
        <v>0</v>
      </c>
      <c r="I558" s="108">
        <v>12.340999999999999</v>
      </c>
      <c r="J558" s="109">
        <f t="shared" si="61"/>
        <v>1</v>
      </c>
      <c r="K558" s="108">
        <f>I558</f>
        <v>12.340999999999999</v>
      </c>
      <c r="L558" s="108">
        <v>0</v>
      </c>
      <c r="M558" s="108">
        <v>0</v>
      </c>
      <c r="N558" s="108">
        <v>6</v>
      </c>
      <c r="O558" s="111"/>
      <c r="P558" s="111" t="s">
        <v>35</v>
      </c>
      <c r="Q558" s="116"/>
      <c r="R558" s="111" t="s">
        <v>676</v>
      </c>
      <c r="S558" s="19">
        <v>2019</v>
      </c>
      <c r="T558" s="61">
        <v>0.23799999999999999</v>
      </c>
      <c r="U558" s="69"/>
      <c r="V558" s="70"/>
      <c r="W558" s="15">
        <f t="shared" si="46"/>
        <v>0</v>
      </c>
      <c r="X558" s="15">
        <f t="shared" si="47"/>
        <v>0</v>
      </c>
      <c r="Y558" s="15">
        <f t="shared" si="48"/>
        <v>0</v>
      </c>
      <c r="Z558" s="13">
        <f t="shared" si="49"/>
        <v>0</v>
      </c>
      <c r="AA558" s="16">
        <f>VLOOKUP(S558,[1]CPI!$A$2:$D$67,4,0)</f>
        <v>1.0598966584134211</v>
      </c>
      <c r="AB558" s="17"/>
      <c r="AC558" s="17"/>
      <c r="AD558" s="16" t="s">
        <v>35</v>
      </c>
      <c r="AE558" s="63" t="s">
        <v>1082</v>
      </c>
      <c r="AF558" s="19"/>
      <c r="AG558" s="19"/>
      <c r="AH558" s="19"/>
      <c r="AI558" s="19"/>
      <c r="AJ558" s="20"/>
      <c r="AK558" s="20"/>
      <c r="AL558" s="20"/>
      <c r="AM558" s="20"/>
      <c r="AN558" s="20"/>
      <c r="AO558" s="20"/>
      <c r="AP558" s="20"/>
      <c r="AQ558" s="20"/>
    </row>
    <row r="559" spans="1:43" ht="15.75" customHeight="1" x14ac:dyDescent="0.2">
      <c r="A559" s="107">
        <v>9485</v>
      </c>
      <c r="B559" s="54" t="s">
        <v>672</v>
      </c>
      <c r="C559" s="54" t="s">
        <v>737</v>
      </c>
      <c r="D559" s="54" t="s">
        <v>674</v>
      </c>
      <c r="E559" s="54" t="s">
        <v>714</v>
      </c>
      <c r="F559" s="72">
        <v>2019</v>
      </c>
      <c r="G559" s="72">
        <v>2024</v>
      </c>
      <c r="H559" s="72">
        <v>0</v>
      </c>
      <c r="I559" s="72">
        <v>8.0229999999999997</v>
      </c>
      <c r="J559" s="73">
        <v>1</v>
      </c>
      <c r="K559" s="72">
        <v>8.0229999999999997</v>
      </c>
      <c r="L559" s="54"/>
      <c r="M559" s="54"/>
      <c r="N559" s="72">
        <v>4</v>
      </c>
      <c r="O559" s="72">
        <v>138</v>
      </c>
      <c r="P559" s="54"/>
      <c r="Q559" s="65">
        <v>6316</v>
      </c>
      <c r="R559" s="54" t="s">
        <v>676</v>
      </c>
      <c r="S559" s="54">
        <v>2021</v>
      </c>
      <c r="T559" s="61">
        <v>0.23899999999999999</v>
      </c>
      <c r="U559" s="69">
        <f t="shared" ref="U559:U601" si="63">Q559*T559</f>
        <v>1509.5239999999999</v>
      </c>
      <c r="V559" s="70">
        <f t="shared" ref="V559:V601" si="64">U559/I559</f>
        <v>188.14956998628941</v>
      </c>
      <c r="W559" s="15">
        <f t="shared" si="46"/>
        <v>0</v>
      </c>
      <c r="X559" s="15">
        <f t="shared" si="47"/>
        <v>0</v>
      </c>
      <c r="Y559" s="15">
        <f t="shared" si="48"/>
        <v>0</v>
      </c>
      <c r="Z559" s="13">
        <f t="shared" si="49"/>
        <v>0</v>
      </c>
      <c r="AA559" s="16">
        <f>VLOOKUP(S559,[1]CPI!$A$2:$D$67,4,0)</f>
        <v>1</v>
      </c>
      <c r="AB559" s="17">
        <f t="shared" ref="AB559:AB601" si="65">U559*AA559</f>
        <v>1509.5239999999999</v>
      </c>
      <c r="AC559" s="17">
        <f t="shared" ref="AC559:AC601" si="66">V559*AA559</f>
        <v>188.14956998628941</v>
      </c>
      <c r="AD559" s="54" t="s">
        <v>73</v>
      </c>
      <c r="AE559" s="46" t="s">
        <v>1083</v>
      </c>
      <c r="AF559" s="54"/>
      <c r="AG559" s="54"/>
      <c r="AH559" s="54"/>
      <c r="AI559" s="54"/>
      <c r="AJ559" s="82"/>
      <c r="AK559" s="82"/>
      <c r="AL559" s="82"/>
      <c r="AM559" s="82"/>
      <c r="AN559" s="82"/>
      <c r="AO559" s="82"/>
      <c r="AP559" s="82"/>
      <c r="AQ559" s="82"/>
    </row>
    <row r="560" spans="1:43" ht="15.75" customHeight="1" x14ac:dyDescent="0.2">
      <c r="A560" s="107">
        <v>9486</v>
      </c>
      <c r="B560" s="111" t="s">
        <v>672</v>
      </c>
      <c r="C560" s="111" t="s">
        <v>796</v>
      </c>
      <c r="D560" s="9" t="s">
        <v>688</v>
      </c>
      <c r="E560" s="111" t="s">
        <v>853</v>
      </c>
      <c r="F560" s="108">
        <v>2013</v>
      </c>
      <c r="G560" s="108">
        <v>2017</v>
      </c>
      <c r="H560" s="108">
        <v>0</v>
      </c>
      <c r="I560" s="108">
        <v>27.03</v>
      </c>
      <c r="J560" s="109">
        <f t="shared" ref="J560:J562" si="67">K560/I560</f>
        <v>1</v>
      </c>
      <c r="K560" s="108">
        <f>I560</f>
        <v>27.03</v>
      </c>
      <c r="L560" s="108">
        <v>0</v>
      </c>
      <c r="M560" s="108">
        <v>0</v>
      </c>
      <c r="N560" s="108">
        <v>11</v>
      </c>
      <c r="O560" s="111"/>
      <c r="P560" s="111" t="s">
        <v>43</v>
      </c>
      <c r="Q560" s="112">
        <v>19038</v>
      </c>
      <c r="R560" s="111" t="s">
        <v>676</v>
      </c>
      <c r="S560" s="108">
        <v>2013</v>
      </c>
      <c r="T560" s="61">
        <v>0.27300000000000002</v>
      </c>
      <c r="U560" s="15">
        <f t="shared" si="63"/>
        <v>5197.3740000000007</v>
      </c>
      <c r="V560" s="14">
        <f t="shared" si="64"/>
        <v>192.28168701442843</v>
      </c>
      <c r="W560" s="15">
        <f t="shared" si="46"/>
        <v>0</v>
      </c>
      <c r="X560" s="15">
        <f t="shared" si="47"/>
        <v>0</v>
      </c>
      <c r="Y560" s="15">
        <f t="shared" si="48"/>
        <v>0</v>
      </c>
      <c r="Z560" s="13">
        <f t="shared" si="49"/>
        <v>0</v>
      </c>
      <c r="AA560" s="16">
        <f>VLOOKUP(S560,[1]CPI!$A$2:$D$67,4,0)</f>
        <v>1.16317603677932</v>
      </c>
      <c r="AB560" s="17">
        <f t="shared" si="65"/>
        <v>6045.4608909798826</v>
      </c>
      <c r="AC560" s="17">
        <f t="shared" si="66"/>
        <v>223.65745064668451</v>
      </c>
      <c r="AD560" s="16" t="s">
        <v>43</v>
      </c>
      <c r="AE560" s="63" t="s">
        <v>1084</v>
      </c>
      <c r="AF560" s="19"/>
      <c r="AG560" s="19"/>
      <c r="AH560" s="19"/>
      <c r="AI560" s="19"/>
      <c r="AJ560" s="20"/>
      <c r="AK560" s="20"/>
      <c r="AL560" s="20"/>
      <c r="AM560" s="20"/>
      <c r="AN560" s="20"/>
      <c r="AO560" s="20"/>
      <c r="AP560" s="20"/>
      <c r="AQ560" s="20"/>
    </row>
    <row r="561" spans="1:43" ht="15.75" customHeight="1" x14ac:dyDescent="0.2">
      <c r="A561" s="107">
        <v>9491</v>
      </c>
      <c r="B561" s="111" t="s">
        <v>672</v>
      </c>
      <c r="C561" s="111" t="s">
        <v>906</v>
      </c>
      <c r="D561" s="9"/>
      <c r="E561" s="111" t="s">
        <v>679</v>
      </c>
      <c r="F561" s="108">
        <v>2013</v>
      </c>
      <c r="G561" s="108">
        <v>2017</v>
      </c>
      <c r="H561" s="108">
        <v>0</v>
      </c>
      <c r="I561" s="108">
        <v>34.299999999999997</v>
      </c>
      <c r="J561" s="109">
        <f t="shared" si="67"/>
        <v>0.84548104956268233</v>
      </c>
      <c r="K561" s="108">
        <v>29</v>
      </c>
      <c r="L561" s="108">
        <v>5.14</v>
      </c>
      <c r="M561" s="108">
        <v>0.34799999999999998</v>
      </c>
      <c r="N561" s="108">
        <v>25</v>
      </c>
      <c r="O561" s="111"/>
      <c r="P561" s="111" t="s">
        <v>43</v>
      </c>
      <c r="Q561" s="112">
        <v>19370</v>
      </c>
      <c r="R561" s="111" t="s">
        <v>676</v>
      </c>
      <c r="S561" s="108">
        <v>2010</v>
      </c>
      <c r="T561" s="61">
        <v>0.3</v>
      </c>
      <c r="U561" s="15">
        <f t="shared" si="63"/>
        <v>5811</v>
      </c>
      <c r="V561" s="14">
        <f t="shared" si="64"/>
        <v>169.41690962099128</v>
      </c>
      <c r="W561" s="15">
        <f t="shared" si="46"/>
        <v>0</v>
      </c>
      <c r="X561" s="15">
        <f t="shared" si="47"/>
        <v>0</v>
      </c>
      <c r="Y561" s="15">
        <f t="shared" si="48"/>
        <v>0</v>
      </c>
      <c r="Z561" s="13">
        <f t="shared" si="49"/>
        <v>0</v>
      </c>
      <c r="AA561" s="16">
        <f>VLOOKUP(S561,[1]CPI!$A$2:$D$67,4,0)</f>
        <v>1.2426624353377114</v>
      </c>
      <c r="AB561" s="17">
        <f t="shared" si="65"/>
        <v>7221.1114117474408</v>
      </c>
      <c r="AC561" s="17">
        <f t="shared" si="66"/>
        <v>210.52802949700995</v>
      </c>
      <c r="AD561" s="16" t="s">
        <v>43</v>
      </c>
      <c r="AE561" s="63" t="s">
        <v>1085</v>
      </c>
      <c r="AF561" s="19"/>
      <c r="AG561" s="19"/>
      <c r="AH561" s="19"/>
      <c r="AI561" s="19"/>
      <c r="AJ561" s="20"/>
      <c r="AK561" s="20"/>
      <c r="AL561" s="20"/>
      <c r="AM561" s="20"/>
      <c r="AN561" s="20"/>
      <c r="AO561" s="20"/>
      <c r="AP561" s="20"/>
      <c r="AQ561" s="20"/>
    </row>
    <row r="562" spans="1:43" ht="15.75" customHeight="1" x14ac:dyDescent="0.2">
      <c r="A562" s="107">
        <v>9492</v>
      </c>
      <c r="B562" s="111" t="s">
        <v>672</v>
      </c>
      <c r="C562" s="111" t="s">
        <v>759</v>
      </c>
      <c r="D562" s="9" t="s">
        <v>142</v>
      </c>
      <c r="E562" s="111" t="s">
        <v>706</v>
      </c>
      <c r="F562" s="108">
        <v>2009</v>
      </c>
      <c r="G562" s="108"/>
      <c r="H562" s="108">
        <v>0</v>
      </c>
      <c r="I562" s="108">
        <v>15.4</v>
      </c>
      <c r="J562" s="109">
        <f t="shared" si="67"/>
        <v>1</v>
      </c>
      <c r="K562" s="108">
        <v>15.4</v>
      </c>
      <c r="L562" s="108">
        <v>0</v>
      </c>
      <c r="M562" s="108">
        <v>0</v>
      </c>
      <c r="N562" s="108">
        <v>15</v>
      </c>
      <c r="O562" s="111"/>
      <c r="P562" s="111" t="s">
        <v>43</v>
      </c>
      <c r="Q562" s="112">
        <v>9400</v>
      </c>
      <c r="R562" s="111" t="s">
        <v>676</v>
      </c>
      <c r="S562" s="108">
        <v>2009</v>
      </c>
      <c r="T562" s="61">
        <v>0.317</v>
      </c>
      <c r="U562" s="15">
        <f t="shared" si="63"/>
        <v>2979.8</v>
      </c>
      <c r="V562" s="14">
        <f t="shared" si="64"/>
        <v>193.49350649350649</v>
      </c>
      <c r="W562" s="15">
        <f t="shared" si="46"/>
        <v>0</v>
      </c>
      <c r="X562" s="15">
        <f t="shared" si="47"/>
        <v>0</v>
      </c>
      <c r="Y562" s="15">
        <f t="shared" si="48"/>
        <v>0</v>
      </c>
      <c r="Z562" s="13">
        <f t="shared" si="49"/>
        <v>0</v>
      </c>
      <c r="AA562" s="16">
        <f>VLOOKUP(S562,[1]CPI!$A$2:$D$67,4,0)</f>
        <v>1.2630455352689747</v>
      </c>
      <c r="AB562" s="17">
        <f t="shared" si="65"/>
        <v>3763.6230859944908</v>
      </c>
      <c r="AC562" s="17">
        <f t="shared" si="66"/>
        <v>244.39110948016173</v>
      </c>
      <c r="AD562" s="16" t="s">
        <v>35</v>
      </c>
      <c r="AE562" s="63" t="s">
        <v>1086</v>
      </c>
      <c r="AF562" s="19"/>
      <c r="AG562" s="19"/>
      <c r="AH562" s="19"/>
      <c r="AI562" s="19"/>
      <c r="AJ562" s="20"/>
      <c r="AK562" s="20"/>
      <c r="AL562" s="20"/>
      <c r="AM562" s="20"/>
      <c r="AN562" s="20"/>
      <c r="AO562" s="20"/>
      <c r="AP562" s="20"/>
      <c r="AQ562" s="20"/>
    </row>
    <row r="563" spans="1:43" ht="15.75" customHeight="1" x14ac:dyDescent="0.2">
      <c r="A563" s="91">
        <v>9493</v>
      </c>
      <c r="B563" s="54" t="s">
        <v>672</v>
      </c>
      <c r="C563" s="54" t="s">
        <v>802</v>
      </c>
      <c r="D563" s="54" t="s">
        <v>674</v>
      </c>
      <c r="E563" s="54" t="s">
        <v>774</v>
      </c>
      <c r="F563" s="72">
        <v>2021</v>
      </c>
      <c r="G563" s="72"/>
      <c r="H563" s="72">
        <v>0</v>
      </c>
      <c r="I563" s="72">
        <v>29.1</v>
      </c>
      <c r="J563" s="73">
        <v>1</v>
      </c>
      <c r="K563" s="72">
        <v>29.1</v>
      </c>
      <c r="L563" s="54"/>
      <c r="M563" s="54"/>
      <c r="N563" s="72">
        <v>25</v>
      </c>
      <c r="O563" s="72">
        <v>138</v>
      </c>
      <c r="P563" s="54"/>
      <c r="Q563" s="65">
        <v>23757</v>
      </c>
      <c r="R563" s="54" t="s">
        <v>676</v>
      </c>
      <c r="S563" s="19">
        <v>2019</v>
      </c>
      <c r="T563" s="61">
        <v>0.23799999999999999</v>
      </c>
      <c r="U563" s="15">
        <f t="shared" si="63"/>
        <v>5654.1660000000002</v>
      </c>
      <c r="V563" s="75">
        <f t="shared" si="64"/>
        <v>194.30123711340207</v>
      </c>
      <c r="W563" s="15">
        <f t="shared" si="46"/>
        <v>0</v>
      </c>
      <c r="X563" s="15">
        <f t="shared" si="47"/>
        <v>0</v>
      </c>
      <c r="Y563" s="15">
        <f t="shared" si="48"/>
        <v>0</v>
      </c>
      <c r="Z563" s="13">
        <f t="shared" si="49"/>
        <v>0</v>
      </c>
      <c r="AA563" s="16">
        <f>VLOOKUP(S563,[1]CPI!$A$2:$D$67,4,0)</f>
        <v>1.0598966584134211</v>
      </c>
      <c r="AB563" s="17">
        <f t="shared" si="65"/>
        <v>5992.8316495147792</v>
      </c>
      <c r="AC563" s="17">
        <f t="shared" si="66"/>
        <v>205.93923194208864</v>
      </c>
      <c r="AD563" s="22" t="s">
        <v>35</v>
      </c>
      <c r="AE563" s="46" t="s">
        <v>1087</v>
      </c>
      <c r="AF563" s="46" t="s">
        <v>1088</v>
      </c>
      <c r="AG563" s="9"/>
      <c r="AH563" s="9"/>
      <c r="AI563" s="9"/>
      <c r="AJ563" s="77"/>
      <c r="AK563" s="77"/>
      <c r="AL563" s="77"/>
      <c r="AM563" s="77"/>
      <c r="AN563" s="77"/>
      <c r="AO563" s="77"/>
      <c r="AP563" s="77"/>
      <c r="AQ563" s="77"/>
    </row>
    <row r="564" spans="1:43" ht="15.75" customHeight="1" x14ac:dyDescent="0.2">
      <c r="A564" s="107">
        <v>9494</v>
      </c>
      <c r="B564" s="111" t="s">
        <v>672</v>
      </c>
      <c r="C564" s="111" t="s">
        <v>802</v>
      </c>
      <c r="D564" s="9"/>
      <c r="E564" s="111" t="s">
        <v>716</v>
      </c>
      <c r="F564" s="108">
        <v>2016</v>
      </c>
      <c r="G564" s="108">
        <v>2020</v>
      </c>
      <c r="H564" s="108">
        <v>0</v>
      </c>
      <c r="I564" s="108">
        <v>22.2</v>
      </c>
      <c r="J564" s="109">
        <f t="shared" ref="J564:J565" si="68">K564/I564</f>
        <v>1</v>
      </c>
      <c r="K564" s="108">
        <v>22.2</v>
      </c>
      <c r="L564" s="108">
        <v>0</v>
      </c>
      <c r="M564" s="108">
        <v>0</v>
      </c>
      <c r="N564" s="108">
        <v>13</v>
      </c>
      <c r="O564" s="111"/>
      <c r="P564" s="111" t="s">
        <v>35</v>
      </c>
      <c r="Q564" s="112">
        <v>20253.0923</v>
      </c>
      <c r="R564" s="111" t="s">
        <v>676</v>
      </c>
      <c r="S564" s="108">
        <v>2017</v>
      </c>
      <c r="T564" s="61">
        <v>0.23899999999999999</v>
      </c>
      <c r="U564" s="15">
        <f t="shared" si="63"/>
        <v>4840.4890596999994</v>
      </c>
      <c r="V564" s="14">
        <f t="shared" si="64"/>
        <v>218.04004773423421</v>
      </c>
      <c r="W564" s="15">
        <f t="shared" si="46"/>
        <v>0</v>
      </c>
      <c r="X564" s="15">
        <f t="shared" si="47"/>
        <v>0</v>
      </c>
      <c r="Y564" s="15">
        <f t="shared" si="48"/>
        <v>0</v>
      </c>
      <c r="Z564" s="13">
        <f t="shared" si="49"/>
        <v>0</v>
      </c>
      <c r="AA564" s="16">
        <f>VLOOKUP(S564,[1]CPI!$A$2:$D$67,4,0)</f>
        <v>1.1054585509138382</v>
      </c>
      <c r="AB564" s="17">
        <f t="shared" si="65"/>
        <v>5350.9600216502486</v>
      </c>
      <c r="AC564" s="17">
        <f t="shared" si="66"/>
        <v>241.03423520947064</v>
      </c>
      <c r="AD564" s="16" t="s">
        <v>35</v>
      </c>
      <c r="AE564" s="63" t="s">
        <v>1089</v>
      </c>
      <c r="AF564" s="117"/>
      <c r="AG564" s="19"/>
      <c r="AH564" s="19"/>
      <c r="AI564" s="19"/>
      <c r="AJ564" s="20"/>
      <c r="AK564" s="20"/>
      <c r="AL564" s="20"/>
      <c r="AM564" s="20"/>
      <c r="AN564" s="20"/>
      <c r="AO564" s="20"/>
      <c r="AP564" s="20"/>
      <c r="AQ564" s="20"/>
    </row>
    <row r="565" spans="1:43" ht="15.75" customHeight="1" x14ac:dyDescent="0.2">
      <c r="A565" s="107">
        <v>9499</v>
      </c>
      <c r="B565" s="111" t="s">
        <v>672</v>
      </c>
      <c r="C565" s="111" t="s">
        <v>802</v>
      </c>
      <c r="D565" s="9" t="s">
        <v>287</v>
      </c>
      <c r="E565" s="111" t="s">
        <v>849</v>
      </c>
      <c r="F565" s="108">
        <v>2016</v>
      </c>
      <c r="G565" s="108">
        <v>2020</v>
      </c>
      <c r="H565" s="108">
        <v>0</v>
      </c>
      <c r="I565" s="108">
        <v>26.7</v>
      </c>
      <c r="J565" s="109">
        <f t="shared" si="68"/>
        <v>0.38951310861423222</v>
      </c>
      <c r="K565" s="108">
        <v>10.4</v>
      </c>
      <c r="L565" s="108">
        <v>16.553999999999998</v>
      </c>
      <c r="M565" s="108">
        <v>0</v>
      </c>
      <c r="N565" s="108">
        <v>9</v>
      </c>
      <c r="O565" s="111">
        <v>138</v>
      </c>
      <c r="P565" s="111" t="s">
        <v>35</v>
      </c>
      <c r="Q565" s="112">
        <v>13156</v>
      </c>
      <c r="R565" s="111" t="s">
        <v>676</v>
      </c>
      <c r="S565" s="108">
        <v>2016</v>
      </c>
      <c r="T565" s="61">
        <v>0.251</v>
      </c>
      <c r="U565" s="15">
        <f t="shared" si="63"/>
        <v>3302.1559999999999</v>
      </c>
      <c r="V565" s="14">
        <f t="shared" si="64"/>
        <v>123.67625468164795</v>
      </c>
      <c r="W565" s="15">
        <f t="shared" si="46"/>
        <v>0</v>
      </c>
      <c r="X565" s="15">
        <f t="shared" si="47"/>
        <v>0</v>
      </c>
      <c r="Y565" s="15">
        <f t="shared" si="48"/>
        <v>0</v>
      </c>
      <c r="Z565" s="13">
        <f t="shared" si="49"/>
        <v>0</v>
      </c>
      <c r="AA565" s="16">
        <f>VLOOKUP(S565,[1]CPI!$A$2:$D$67,4,0)</f>
        <v>1.1290087372451638</v>
      </c>
      <c r="AB565" s="17">
        <f t="shared" si="65"/>
        <v>3728.1629757465412</v>
      </c>
      <c r="AC565" s="17">
        <f t="shared" si="66"/>
        <v>139.63157212533864</v>
      </c>
      <c r="AD565" s="16" t="s">
        <v>35</v>
      </c>
      <c r="AE565" s="63" t="s">
        <v>1090</v>
      </c>
      <c r="AF565" s="19"/>
      <c r="AG565" s="19"/>
      <c r="AH565" s="19"/>
      <c r="AI565" s="19"/>
      <c r="AJ565" s="20"/>
      <c r="AK565" s="20"/>
      <c r="AL565" s="20"/>
      <c r="AM565" s="20"/>
      <c r="AN565" s="20"/>
      <c r="AO565" s="20"/>
      <c r="AP565" s="20"/>
      <c r="AQ565" s="20"/>
    </row>
    <row r="566" spans="1:43" ht="15.75" customHeight="1" x14ac:dyDescent="0.2">
      <c r="A566" s="7">
        <v>9500</v>
      </c>
      <c r="B566" s="8" t="s">
        <v>31</v>
      </c>
      <c r="C566" s="8" t="s">
        <v>32</v>
      </c>
      <c r="D566" s="9" t="s">
        <v>645</v>
      </c>
      <c r="E566" s="8" t="s">
        <v>1004</v>
      </c>
      <c r="F566" s="10">
        <v>2015</v>
      </c>
      <c r="G566" s="10">
        <v>2023</v>
      </c>
      <c r="H566" s="10">
        <v>0</v>
      </c>
      <c r="I566" s="10">
        <v>8.9</v>
      </c>
      <c r="J566" s="11">
        <v>1</v>
      </c>
      <c r="K566" s="10">
        <v>8.4</v>
      </c>
      <c r="L566" s="10">
        <v>0</v>
      </c>
      <c r="M566" s="10">
        <v>0</v>
      </c>
      <c r="N566" s="10">
        <v>8</v>
      </c>
      <c r="O566" s="8">
        <v>180</v>
      </c>
      <c r="P566" s="8" t="s">
        <v>35</v>
      </c>
      <c r="Q566" s="12">
        <v>333</v>
      </c>
      <c r="R566" s="8" t="s">
        <v>66</v>
      </c>
      <c r="S566" s="10">
        <v>2019</v>
      </c>
      <c r="T566" s="10">
        <v>3</v>
      </c>
      <c r="U566" s="13">
        <f t="shared" si="63"/>
        <v>999</v>
      </c>
      <c r="V566" s="14">
        <f t="shared" si="64"/>
        <v>112.24719101123596</v>
      </c>
      <c r="W566" s="15">
        <f t="shared" si="46"/>
        <v>1</v>
      </c>
      <c r="X566" s="15">
        <f t="shared" si="47"/>
        <v>8.9</v>
      </c>
      <c r="Y566" s="15">
        <f t="shared" si="48"/>
        <v>8.4</v>
      </c>
      <c r="Z566" s="13">
        <f t="shared" si="49"/>
        <v>0</v>
      </c>
      <c r="AA566" s="16">
        <f>VLOOKUP(S566,[1]CPI!$A$2:$D$67,4,0)</f>
        <v>1.0598966584134211</v>
      </c>
      <c r="AB566" s="17">
        <f t="shared" si="65"/>
        <v>1058.8367617550077</v>
      </c>
      <c r="AC566" s="17">
        <f t="shared" si="66"/>
        <v>118.97042266910198</v>
      </c>
      <c r="AD566" s="16" t="s">
        <v>35</v>
      </c>
      <c r="AE566" s="18" t="s">
        <v>1091</v>
      </c>
      <c r="AF566" s="19"/>
      <c r="AG566" s="19"/>
      <c r="AH566" s="19"/>
      <c r="AI566" s="19"/>
      <c r="AJ566" s="20"/>
      <c r="AK566" s="20"/>
      <c r="AL566" s="20"/>
      <c r="AM566" s="20"/>
      <c r="AN566" s="20"/>
      <c r="AO566" s="20"/>
      <c r="AP566" s="20"/>
      <c r="AQ566" s="20"/>
    </row>
    <row r="567" spans="1:43" ht="15.75" customHeight="1" x14ac:dyDescent="0.2">
      <c r="A567" s="7">
        <v>9502</v>
      </c>
      <c r="B567" s="8" t="s">
        <v>31</v>
      </c>
      <c r="C567" s="8" t="s">
        <v>32</v>
      </c>
      <c r="D567" s="9"/>
      <c r="E567" s="8" t="s">
        <v>1092</v>
      </c>
      <c r="F567" s="10">
        <v>2016</v>
      </c>
      <c r="G567" s="10">
        <v>2022</v>
      </c>
      <c r="H567" s="10">
        <v>0</v>
      </c>
      <c r="I567" s="10">
        <v>14.3</v>
      </c>
      <c r="J567" s="11">
        <v>1</v>
      </c>
      <c r="K567" s="10">
        <v>14.3</v>
      </c>
      <c r="L567" s="10">
        <v>0</v>
      </c>
      <c r="M567" s="10">
        <v>0</v>
      </c>
      <c r="N567" s="10">
        <v>11</v>
      </c>
      <c r="O567" s="8">
        <v>100</v>
      </c>
      <c r="P567" s="8" t="s">
        <v>35</v>
      </c>
      <c r="Q567" s="12">
        <v>635</v>
      </c>
      <c r="R567" s="8" t="s">
        <v>66</v>
      </c>
      <c r="S567" s="10">
        <v>2019</v>
      </c>
      <c r="T567" s="10">
        <v>3</v>
      </c>
      <c r="U567" s="13">
        <f t="shared" si="63"/>
        <v>1905</v>
      </c>
      <c r="V567" s="14">
        <f t="shared" si="64"/>
        <v>133.2167832167832</v>
      </c>
      <c r="W567" s="15">
        <f t="shared" si="46"/>
        <v>1</v>
      </c>
      <c r="X567" s="15">
        <f t="shared" si="47"/>
        <v>14.3</v>
      </c>
      <c r="Y567" s="15">
        <f t="shared" si="48"/>
        <v>14.3</v>
      </c>
      <c r="Z567" s="13">
        <f t="shared" si="49"/>
        <v>0</v>
      </c>
      <c r="AA567" s="16">
        <f>VLOOKUP(S567,[1]CPI!$A$2:$D$67,4,0)</f>
        <v>1.0598966584134211</v>
      </c>
      <c r="AB567" s="17">
        <f t="shared" si="65"/>
        <v>2019.1031342775671</v>
      </c>
      <c r="AC567" s="17">
        <f t="shared" si="66"/>
        <v>141.19602337605363</v>
      </c>
      <c r="AD567" s="16" t="s">
        <v>35</v>
      </c>
      <c r="AE567" s="18" t="s">
        <v>1091</v>
      </c>
      <c r="AF567" s="19"/>
      <c r="AG567" s="19"/>
      <c r="AH567" s="19"/>
      <c r="AI567" s="19"/>
      <c r="AJ567" s="20"/>
      <c r="AK567" s="20"/>
      <c r="AL567" s="20"/>
      <c r="AM567" s="20"/>
      <c r="AN567" s="20"/>
      <c r="AO567" s="20"/>
      <c r="AP567" s="20"/>
      <c r="AQ567" s="20"/>
    </row>
    <row r="568" spans="1:43" ht="15.75" customHeight="1" x14ac:dyDescent="0.2">
      <c r="A568" s="7">
        <v>9507</v>
      </c>
      <c r="B568" s="8" t="s">
        <v>31</v>
      </c>
      <c r="C568" s="8" t="s">
        <v>32</v>
      </c>
      <c r="D568" s="9"/>
      <c r="E568" s="8" t="s">
        <v>1093</v>
      </c>
      <c r="F568" s="10">
        <v>2016</v>
      </c>
      <c r="G568" s="10">
        <v>2027</v>
      </c>
      <c r="H568" s="10">
        <v>0</v>
      </c>
      <c r="I568" s="10">
        <v>17.8</v>
      </c>
      <c r="J568" s="11">
        <v>1</v>
      </c>
      <c r="K568" s="10">
        <v>17.8</v>
      </c>
      <c r="L568" s="10">
        <v>0</v>
      </c>
      <c r="M568" s="10">
        <v>0</v>
      </c>
      <c r="N568" s="10">
        <v>13</v>
      </c>
      <c r="O568" s="8">
        <v>140</v>
      </c>
      <c r="P568" s="8" t="s">
        <v>35</v>
      </c>
      <c r="Q568" s="12">
        <v>657</v>
      </c>
      <c r="R568" s="8" t="s">
        <v>66</v>
      </c>
      <c r="S568" s="10">
        <v>2019</v>
      </c>
      <c r="T568" s="10">
        <v>3</v>
      </c>
      <c r="U568" s="13">
        <f t="shared" si="63"/>
        <v>1971</v>
      </c>
      <c r="V568" s="14">
        <f t="shared" si="64"/>
        <v>110.73033707865169</v>
      </c>
      <c r="W568" s="15">
        <f t="shared" si="46"/>
        <v>1</v>
      </c>
      <c r="X568" s="15">
        <f t="shared" si="47"/>
        <v>17.8</v>
      </c>
      <c r="Y568" s="15">
        <f t="shared" si="48"/>
        <v>17.8</v>
      </c>
      <c r="Z568" s="13">
        <f t="shared" si="49"/>
        <v>0</v>
      </c>
      <c r="AA568" s="16">
        <f>VLOOKUP(S568,[1]CPI!$A$2:$D$67,4,0)</f>
        <v>1.0598966584134211</v>
      </c>
      <c r="AB568" s="17">
        <f t="shared" si="65"/>
        <v>2089.0563137328531</v>
      </c>
      <c r="AC568" s="17">
        <f t="shared" si="66"/>
        <v>117.36271425465466</v>
      </c>
      <c r="AD568" s="16" t="s">
        <v>35</v>
      </c>
      <c r="AE568" s="18" t="s">
        <v>1091</v>
      </c>
      <c r="AF568" s="19"/>
      <c r="AG568" s="19"/>
      <c r="AH568" s="19"/>
      <c r="AI568" s="19"/>
      <c r="AJ568" s="20"/>
      <c r="AK568" s="20"/>
      <c r="AL568" s="20"/>
      <c r="AM568" s="20"/>
      <c r="AN568" s="20"/>
      <c r="AO568" s="20"/>
      <c r="AP568" s="20"/>
      <c r="AQ568" s="20"/>
    </row>
    <row r="569" spans="1:43" ht="15.75" customHeight="1" x14ac:dyDescent="0.2">
      <c r="A569" s="7">
        <v>9508</v>
      </c>
      <c r="B569" s="8" t="s">
        <v>31</v>
      </c>
      <c r="C569" s="8" t="s">
        <v>32</v>
      </c>
      <c r="D569" s="9"/>
      <c r="E569" s="8" t="s">
        <v>1094</v>
      </c>
      <c r="F569" s="10">
        <v>2017</v>
      </c>
      <c r="G569" s="10">
        <v>2023</v>
      </c>
      <c r="H569" s="10">
        <v>0</v>
      </c>
      <c r="I569" s="10">
        <v>13</v>
      </c>
      <c r="J569" s="11">
        <v>1</v>
      </c>
      <c r="K569" s="10">
        <v>13</v>
      </c>
      <c r="L569" s="10">
        <v>0</v>
      </c>
      <c r="M569" s="10">
        <v>0</v>
      </c>
      <c r="N569" s="10">
        <v>11</v>
      </c>
      <c r="O569" s="8">
        <v>100</v>
      </c>
      <c r="P569" s="8" t="s">
        <v>35</v>
      </c>
      <c r="Q569" s="12">
        <v>698</v>
      </c>
      <c r="R569" s="8" t="s">
        <v>66</v>
      </c>
      <c r="S569" s="10">
        <v>2020</v>
      </c>
      <c r="T569" s="10">
        <v>3.3</v>
      </c>
      <c r="U569" s="13">
        <f t="shared" si="63"/>
        <v>2303.4</v>
      </c>
      <c r="V569" s="14">
        <f t="shared" si="64"/>
        <v>177.1846153846154</v>
      </c>
      <c r="W569" s="15">
        <f t="shared" si="46"/>
        <v>1</v>
      </c>
      <c r="X569" s="15">
        <f t="shared" si="47"/>
        <v>13</v>
      </c>
      <c r="Y569" s="15">
        <f t="shared" si="48"/>
        <v>13</v>
      </c>
      <c r="Z569" s="13">
        <f t="shared" si="49"/>
        <v>0</v>
      </c>
      <c r="AA569" s="16">
        <f>VLOOKUP(S569,[1]CPI!$A$2:$D$67,4,0)</f>
        <v>1.0469802288156225</v>
      </c>
      <c r="AB569" s="17">
        <f t="shared" si="65"/>
        <v>2411.6142590539048</v>
      </c>
      <c r="AC569" s="17">
        <f t="shared" si="66"/>
        <v>185.50878915799268</v>
      </c>
      <c r="AD569" s="16" t="s">
        <v>35</v>
      </c>
      <c r="AE569" s="18" t="s">
        <v>1091</v>
      </c>
      <c r="AF569" s="19"/>
      <c r="AG569" s="19"/>
      <c r="AH569" s="19"/>
      <c r="AI569" s="19"/>
      <c r="AJ569" s="20"/>
      <c r="AK569" s="20"/>
      <c r="AL569" s="20"/>
      <c r="AM569" s="20"/>
      <c r="AN569" s="20"/>
      <c r="AO569" s="20"/>
      <c r="AP569" s="20"/>
      <c r="AQ569" s="20"/>
    </row>
    <row r="570" spans="1:43" ht="15.75" customHeight="1" x14ac:dyDescent="0.2">
      <c r="A570" s="7">
        <v>9509</v>
      </c>
      <c r="B570" s="8" t="s">
        <v>31</v>
      </c>
      <c r="C570" s="8" t="s">
        <v>32</v>
      </c>
      <c r="D570" s="9" t="s">
        <v>1095</v>
      </c>
      <c r="E570" s="8" t="s">
        <v>821</v>
      </c>
      <c r="F570" s="10">
        <v>2016</v>
      </c>
      <c r="G570" s="10">
        <v>2022</v>
      </c>
      <c r="H570" s="10">
        <v>0</v>
      </c>
      <c r="I570" s="10">
        <v>37.5</v>
      </c>
      <c r="J570" s="11">
        <v>1</v>
      </c>
      <c r="K570" s="10">
        <v>37.5</v>
      </c>
      <c r="L570" s="10">
        <v>0</v>
      </c>
      <c r="M570" s="10">
        <v>0</v>
      </c>
      <c r="N570" s="10">
        <v>9</v>
      </c>
      <c r="O570" s="8">
        <v>180</v>
      </c>
      <c r="P570" s="8" t="s">
        <v>35</v>
      </c>
      <c r="Q570" s="12">
        <v>1130</v>
      </c>
      <c r="R570" s="8" t="s">
        <v>66</v>
      </c>
      <c r="S570" s="10">
        <v>2019</v>
      </c>
      <c r="T570" s="10">
        <v>3</v>
      </c>
      <c r="U570" s="13">
        <f t="shared" si="63"/>
        <v>3390</v>
      </c>
      <c r="V570" s="14">
        <f t="shared" si="64"/>
        <v>90.4</v>
      </c>
      <c r="W570" s="15">
        <f t="shared" si="46"/>
        <v>1</v>
      </c>
      <c r="X570" s="15">
        <f t="shared" si="47"/>
        <v>37.5</v>
      </c>
      <c r="Y570" s="15">
        <f t="shared" si="48"/>
        <v>37.5</v>
      </c>
      <c r="Z570" s="13">
        <f t="shared" si="49"/>
        <v>0</v>
      </c>
      <c r="AA570" s="16">
        <f>VLOOKUP(S570,[1]CPI!$A$2:$D$67,4,0)</f>
        <v>1.0598966584134211</v>
      </c>
      <c r="AB570" s="17">
        <f t="shared" si="65"/>
        <v>3593.0496720214974</v>
      </c>
      <c r="AC570" s="17">
        <f t="shared" si="66"/>
        <v>95.814657920573268</v>
      </c>
      <c r="AD570" s="16" t="s">
        <v>43</v>
      </c>
      <c r="AE570" s="18" t="s">
        <v>1096</v>
      </c>
      <c r="AF570" s="19"/>
      <c r="AG570" s="19"/>
      <c r="AH570" s="19"/>
      <c r="AI570" s="19"/>
      <c r="AJ570" s="20"/>
      <c r="AK570" s="20"/>
      <c r="AL570" s="20"/>
      <c r="AM570" s="20"/>
      <c r="AN570" s="20"/>
      <c r="AO570" s="20"/>
      <c r="AP570" s="20"/>
      <c r="AQ570" s="20"/>
    </row>
    <row r="571" spans="1:43" ht="15.75" customHeight="1" x14ac:dyDescent="0.2">
      <c r="A571" s="7">
        <v>9510</v>
      </c>
      <c r="B571" s="8" t="s">
        <v>31</v>
      </c>
      <c r="C571" s="8" t="s">
        <v>32</v>
      </c>
      <c r="D571" s="9" t="s">
        <v>1095</v>
      </c>
      <c r="E571" s="8" t="s">
        <v>1097</v>
      </c>
      <c r="F571" s="10">
        <v>2018</v>
      </c>
      <c r="G571" s="10">
        <v>2022</v>
      </c>
      <c r="H571" s="10">
        <v>0</v>
      </c>
      <c r="I571" s="10">
        <v>32</v>
      </c>
      <c r="J571" s="11">
        <v>1</v>
      </c>
      <c r="K571" s="10">
        <v>32</v>
      </c>
      <c r="L571" s="10">
        <v>0</v>
      </c>
      <c r="M571" s="10">
        <v>0</v>
      </c>
      <c r="N571" s="10">
        <v>7</v>
      </c>
      <c r="O571" s="8">
        <v>180</v>
      </c>
      <c r="P571" s="8" t="s">
        <v>35</v>
      </c>
      <c r="Q571" s="12">
        <v>916</v>
      </c>
      <c r="R571" s="8" t="s">
        <v>66</v>
      </c>
      <c r="S571" s="10">
        <v>2020</v>
      </c>
      <c r="T571" s="10">
        <v>3.3</v>
      </c>
      <c r="U571" s="10">
        <f t="shared" si="63"/>
        <v>3022.7999999999997</v>
      </c>
      <c r="V571" s="14">
        <f t="shared" si="64"/>
        <v>94.462499999999991</v>
      </c>
      <c r="W571" s="15">
        <f t="shared" si="46"/>
        <v>1</v>
      </c>
      <c r="X571" s="15">
        <f t="shared" si="47"/>
        <v>32</v>
      </c>
      <c r="Y571" s="15">
        <f t="shared" si="48"/>
        <v>32</v>
      </c>
      <c r="Z571" s="13">
        <f t="shared" si="49"/>
        <v>0</v>
      </c>
      <c r="AA571" s="16">
        <f>VLOOKUP(S571,[1]CPI!$A$2:$D$67,4,0)</f>
        <v>1.0469802288156225</v>
      </c>
      <c r="AB571" s="17">
        <f t="shared" si="65"/>
        <v>3164.8118356638633</v>
      </c>
      <c r="AC571" s="17">
        <f t="shared" si="66"/>
        <v>98.90036986449573</v>
      </c>
      <c r="AD571" s="16" t="s">
        <v>73</v>
      </c>
      <c r="AE571" s="18" t="s">
        <v>1098</v>
      </c>
      <c r="AF571" s="19"/>
      <c r="AG571" s="19"/>
      <c r="AH571" s="19"/>
      <c r="AI571" s="19"/>
      <c r="AJ571" s="20"/>
      <c r="AK571" s="20"/>
      <c r="AL571" s="20"/>
      <c r="AM571" s="20"/>
      <c r="AN571" s="20"/>
      <c r="AO571" s="20"/>
      <c r="AP571" s="20"/>
      <c r="AQ571" s="20"/>
    </row>
    <row r="572" spans="1:43" ht="15.75" customHeight="1" x14ac:dyDescent="0.2">
      <c r="A572" s="21">
        <v>9515</v>
      </c>
      <c r="B572" s="16" t="s">
        <v>1099</v>
      </c>
      <c r="C572" s="16" t="s">
        <v>1100</v>
      </c>
      <c r="D572" s="22"/>
      <c r="E572" s="16" t="s">
        <v>1101</v>
      </c>
      <c r="F572" s="13">
        <v>2017</v>
      </c>
      <c r="G572" s="13">
        <v>2020</v>
      </c>
      <c r="H572" s="13">
        <v>0</v>
      </c>
      <c r="I572" s="13">
        <v>6.94</v>
      </c>
      <c r="J572" s="23">
        <v>0</v>
      </c>
      <c r="K572" s="13">
        <v>0</v>
      </c>
      <c r="L572" s="13">
        <v>6.94</v>
      </c>
      <c r="M572" s="13">
        <v>0</v>
      </c>
      <c r="N572" s="13">
        <v>6</v>
      </c>
      <c r="O572" s="16"/>
      <c r="P572" s="16" t="s">
        <v>73</v>
      </c>
      <c r="Q572" s="24">
        <v>142.19999999999999</v>
      </c>
      <c r="R572" s="16" t="s">
        <v>66</v>
      </c>
      <c r="S572" s="13">
        <v>2018</v>
      </c>
      <c r="T572" s="13">
        <v>5</v>
      </c>
      <c r="U572" s="13">
        <f t="shared" si="63"/>
        <v>711</v>
      </c>
      <c r="V572" s="25">
        <f t="shared" si="64"/>
        <v>102.44956772334294</v>
      </c>
      <c r="W572" s="15">
        <f t="shared" si="46"/>
        <v>0</v>
      </c>
      <c r="X572" s="15">
        <f t="shared" si="47"/>
        <v>0</v>
      </c>
      <c r="Y572" s="15">
        <f t="shared" si="48"/>
        <v>0</v>
      </c>
      <c r="Z572" s="13">
        <f t="shared" si="49"/>
        <v>0</v>
      </c>
      <c r="AA572" s="16">
        <f>VLOOKUP(S572,[1]CPI!$A$2:$D$67,4,0)</f>
        <v>1.0791017375063221</v>
      </c>
      <c r="AB572" s="17">
        <f t="shared" si="65"/>
        <v>767.24133536699503</v>
      </c>
      <c r="AC572" s="17">
        <f t="shared" si="66"/>
        <v>110.55350653703098</v>
      </c>
      <c r="AD572" s="16" t="s">
        <v>35</v>
      </c>
      <c r="AE572" s="29" t="s">
        <v>1102</v>
      </c>
      <c r="AF572" s="9"/>
      <c r="AG572" s="9"/>
      <c r="AH572" s="9"/>
      <c r="AI572" s="9"/>
      <c r="AJ572" s="30"/>
      <c r="AK572" s="30"/>
      <c r="AL572" s="30"/>
      <c r="AM572" s="9"/>
      <c r="AN572" s="9"/>
      <c r="AO572" s="9"/>
      <c r="AP572" s="9"/>
      <c r="AQ572" s="9"/>
    </row>
    <row r="573" spans="1:43" ht="15.75" customHeight="1" x14ac:dyDescent="0.2">
      <c r="A573" s="21">
        <v>9516</v>
      </c>
      <c r="B573" s="16" t="s">
        <v>1099</v>
      </c>
      <c r="C573" s="16" t="s">
        <v>1100</v>
      </c>
      <c r="D573" s="22"/>
      <c r="E573" s="16" t="s">
        <v>1103</v>
      </c>
      <c r="F573" s="13">
        <v>2017</v>
      </c>
      <c r="G573" s="13">
        <v>2020</v>
      </c>
      <c r="H573" s="13">
        <v>0</v>
      </c>
      <c r="I573" s="13">
        <v>2.9</v>
      </c>
      <c r="J573" s="23">
        <v>1</v>
      </c>
      <c r="K573" s="13">
        <v>2.9</v>
      </c>
      <c r="L573" s="13">
        <v>0</v>
      </c>
      <c r="M573" s="13">
        <v>0</v>
      </c>
      <c r="N573" s="13">
        <v>2</v>
      </c>
      <c r="O573" s="16"/>
      <c r="P573" s="16" t="s">
        <v>73</v>
      </c>
      <c r="Q573" s="24">
        <v>124.8</v>
      </c>
      <c r="R573" s="16" t="s">
        <v>66</v>
      </c>
      <c r="S573" s="13">
        <v>2018</v>
      </c>
      <c r="T573" s="13">
        <v>5</v>
      </c>
      <c r="U573" s="13">
        <f t="shared" si="63"/>
        <v>624</v>
      </c>
      <c r="V573" s="25">
        <f t="shared" si="64"/>
        <v>215.17241379310346</v>
      </c>
      <c r="W573" s="15">
        <f t="shared" si="46"/>
        <v>0</v>
      </c>
      <c r="X573" s="15">
        <f t="shared" si="47"/>
        <v>0</v>
      </c>
      <c r="Y573" s="15">
        <f t="shared" si="48"/>
        <v>0</v>
      </c>
      <c r="Z573" s="13">
        <f t="shared" si="49"/>
        <v>0</v>
      </c>
      <c r="AA573" s="16">
        <f>VLOOKUP(S573,[1]CPI!$A$2:$D$67,4,0)</f>
        <v>1.0791017375063221</v>
      </c>
      <c r="AB573" s="17">
        <f t="shared" si="65"/>
        <v>673.35948420394504</v>
      </c>
      <c r="AC573" s="17">
        <f t="shared" si="66"/>
        <v>232.19292558756726</v>
      </c>
      <c r="AD573" s="16" t="s">
        <v>73</v>
      </c>
      <c r="AE573" s="29" t="s">
        <v>1104</v>
      </c>
      <c r="AF573" s="9"/>
      <c r="AG573" s="9"/>
      <c r="AH573" s="9"/>
      <c r="AI573" s="9"/>
      <c r="AJ573" s="30"/>
      <c r="AK573" s="30"/>
      <c r="AL573" s="30"/>
      <c r="AM573" s="9"/>
      <c r="AN573" s="9"/>
      <c r="AO573" s="9"/>
      <c r="AP573" s="9"/>
      <c r="AQ573" s="9"/>
    </row>
    <row r="574" spans="1:43" ht="15.75" customHeight="1" x14ac:dyDescent="0.2">
      <c r="A574" s="21">
        <v>9753</v>
      </c>
      <c r="B574" s="118" t="s">
        <v>341</v>
      </c>
      <c r="C574" s="118" t="s">
        <v>342</v>
      </c>
      <c r="D574" s="22"/>
      <c r="E574" s="118" t="s">
        <v>1105</v>
      </c>
      <c r="F574" s="119">
        <v>1999</v>
      </c>
      <c r="G574" s="119">
        <v>2012</v>
      </c>
      <c r="H574" s="119">
        <v>1</v>
      </c>
      <c r="I574" s="119">
        <v>12.8</v>
      </c>
      <c r="J574" s="120">
        <v>1</v>
      </c>
      <c r="K574" s="119">
        <v>12.8</v>
      </c>
      <c r="L574" s="119">
        <v>0</v>
      </c>
      <c r="M574" s="119">
        <v>0</v>
      </c>
      <c r="N574" s="119">
        <v>0</v>
      </c>
      <c r="O574" s="118"/>
      <c r="P574" s="118" t="s">
        <v>43</v>
      </c>
      <c r="Q574" s="121">
        <v>1300</v>
      </c>
      <c r="R574" s="118" t="s">
        <v>36</v>
      </c>
      <c r="S574" s="119">
        <v>2005</v>
      </c>
      <c r="T574" s="119">
        <v>1.25</v>
      </c>
      <c r="U574" s="119">
        <f t="shared" si="63"/>
        <v>1625</v>
      </c>
      <c r="V574" s="25">
        <f t="shared" si="64"/>
        <v>126.953125</v>
      </c>
      <c r="W574" s="15">
        <f t="shared" si="46"/>
        <v>0</v>
      </c>
      <c r="X574" s="15">
        <f t="shared" si="47"/>
        <v>0</v>
      </c>
      <c r="Y574" s="15">
        <f t="shared" si="48"/>
        <v>0</v>
      </c>
      <c r="Z574" s="13">
        <f t="shared" si="49"/>
        <v>0</v>
      </c>
      <c r="AA574" s="16">
        <f>VLOOKUP(S574,[1]CPI!$A$2:$D$67,4,0)</f>
        <v>1.3874551971326166</v>
      </c>
      <c r="AB574" s="17">
        <f t="shared" si="65"/>
        <v>2254.6146953405018</v>
      </c>
      <c r="AC574" s="17">
        <f t="shared" si="66"/>
        <v>176.14177307347671</v>
      </c>
      <c r="AD574" s="118" t="s">
        <v>43</v>
      </c>
      <c r="AE574" s="122" t="s">
        <v>1106</v>
      </c>
      <c r="AF574" s="27"/>
      <c r="AG574" s="27"/>
      <c r="AH574" s="27"/>
      <c r="AI574" s="27"/>
      <c r="AJ574" s="28"/>
      <c r="AK574" s="28"/>
      <c r="AL574" s="28"/>
      <c r="AM574" s="28"/>
      <c r="AN574" s="28"/>
      <c r="AO574" s="28"/>
      <c r="AP574" s="28"/>
      <c r="AQ574" s="28"/>
    </row>
    <row r="575" spans="1:43" ht="15.75" customHeight="1" x14ac:dyDescent="0.2">
      <c r="A575" s="21">
        <v>9754</v>
      </c>
      <c r="B575" s="16" t="s">
        <v>321</v>
      </c>
      <c r="C575" s="16" t="s">
        <v>1107</v>
      </c>
      <c r="D575" s="22"/>
      <c r="E575" s="16" t="s">
        <v>142</v>
      </c>
      <c r="F575" s="13">
        <v>2010</v>
      </c>
      <c r="G575" s="13">
        <v>2016</v>
      </c>
      <c r="H575" s="13">
        <v>0</v>
      </c>
      <c r="I575" s="13">
        <v>16</v>
      </c>
      <c r="J575" s="23">
        <v>0.96</v>
      </c>
      <c r="K575" s="13">
        <v>15.4</v>
      </c>
      <c r="L575" s="13">
        <v>0</v>
      </c>
      <c r="M575" s="13">
        <v>0</v>
      </c>
      <c r="N575" s="13">
        <v>7</v>
      </c>
      <c r="O575" s="16"/>
      <c r="P575" s="16" t="s">
        <v>94</v>
      </c>
      <c r="Q575" s="24">
        <v>10300</v>
      </c>
      <c r="R575" s="16" t="s">
        <v>323</v>
      </c>
      <c r="S575" s="13">
        <v>2013</v>
      </c>
      <c r="T575" s="13">
        <v>0.59</v>
      </c>
      <c r="U575" s="13">
        <f t="shared" si="63"/>
        <v>6077</v>
      </c>
      <c r="V575" s="25">
        <f t="shared" si="64"/>
        <v>379.8125</v>
      </c>
      <c r="W575" s="15">
        <f t="shared" si="46"/>
        <v>0</v>
      </c>
      <c r="X575" s="15">
        <f t="shared" si="47"/>
        <v>0</v>
      </c>
      <c r="Y575" s="15">
        <f t="shared" si="48"/>
        <v>0</v>
      </c>
      <c r="Z575" s="13">
        <f t="shared" si="49"/>
        <v>0</v>
      </c>
      <c r="AA575" s="16">
        <f>VLOOKUP(S575,[1]CPI!$A$2:$D$67,4,0)</f>
        <v>1.16317603677932</v>
      </c>
      <c r="AB575" s="17">
        <f t="shared" si="65"/>
        <v>7068.6207755079276</v>
      </c>
      <c r="AC575" s="17">
        <f t="shared" si="66"/>
        <v>441.78879846924548</v>
      </c>
      <c r="AD575" s="16" t="s">
        <v>73</v>
      </c>
      <c r="AE575" s="26" t="s">
        <v>1108</v>
      </c>
      <c r="AF575" s="27"/>
      <c r="AG575" s="27"/>
      <c r="AH575" s="27"/>
      <c r="AI575" s="27"/>
      <c r="AJ575" s="28"/>
      <c r="AK575" s="28"/>
      <c r="AL575" s="28"/>
      <c r="AM575" s="28"/>
      <c r="AN575" s="28"/>
      <c r="AO575" s="28"/>
      <c r="AP575" s="28"/>
      <c r="AQ575" s="28"/>
    </row>
    <row r="576" spans="1:43" ht="15.75" customHeight="1" x14ac:dyDescent="0.2">
      <c r="A576" s="21">
        <v>9755</v>
      </c>
      <c r="B576" s="16" t="s">
        <v>321</v>
      </c>
      <c r="C576" s="16" t="s">
        <v>325</v>
      </c>
      <c r="D576" s="22"/>
      <c r="E576" s="16" t="s">
        <v>1109</v>
      </c>
      <c r="F576" s="13">
        <v>2020</v>
      </c>
      <c r="G576" s="13">
        <v>2022</v>
      </c>
      <c r="H576" s="13">
        <v>0</v>
      </c>
      <c r="I576" s="13">
        <v>23.3</v>
      </c>
      <c r="J576" s="23">
        <v>0</v>
      </c>
      <c r="K576" s="13">
        <v>0</v>
      </c>
      <c r="L576" s="13">
        <v>0</v>
      </c>
      <c r="M576" s="13">
        <v>0</v>
      </c>
      <c r="N576" s="13">
        <v>26</v>
      </c>
      <c r="O576" s="16"/>
      <c r="P576" s="16" t="s">
        <v>73</v>
      </c>
      <c r="Q576" s="24">
        <v>689</v>
      </c>
      <c r="R576" s="16" t="s">
        <v>66</v>
      </c>
      <c r="S576" s="13">
        <v>2021</v>
      </c>
      <c r="T576" s="13">
        <v>2.2999999999999998</v>
      </c>
      <c r="U576" s="13">
        <f t="shared" si="63"/>
        <v>1584.6999999999998</v>
      </c>
      <c r="V576" s="25">
        <f t="shared" si="64"/>
        <v>68.012875536480678</v>
      </c>
      <c r="W576" s="15">
        <f t="shared" si="46"/>
        <v>0</v>
      </c>
      <c r="X576" s="15">
        <f t="shared" si="47"/>
        <v>0</v>
      </c>
      <c r="Y576" s="15">
        <f t="shared" si="48"/>
        <v>0</v>
      </c>
      <c r="Z576" s="13">
        <f t="shared" si="49"/>
        <v>0</v>
      </c>
      <c r="AA576" s="16">
        <f>VLOOKUP(S576,[1]CPI!$A$2:$D$67,4,0)</f>
        <v>1</v>
      </c>
      <c r="AB576" s="17">
        <f t="shared" si="65"/>
        <v>1584.6999999999998</v>
      </c>
      <c r="AC576" s="17">
        <f t="shared" si="66"/>
        <v>68.012875536480678</v>
      </c>
      <c r="AD576" s="16" t="s">
        <v>73</v>
      </c>
      <c r="AE576" s="26" t="s">
        <v>1110</v>
      </c>
      <c r="AF576" s="27"/>
      <c r="AG576" s="27"/>
      <c r="AH576" s="27"/>
      <c r="AI576" s="27"/>
      <c r="AJ576" s="28"/>
      <c r="AK576" s="28"/>
      <c r="AL576" s="28"/>
      <c r="AM576" s="28"/>
      <c r="AN576" s="28"/>
      <c r="AO576" s="28"/>
      <c r="AP576" s="28"/>
      <c r="AQ576" s="28"/>
    </row>
    <row r="577" spans="1:43" ht="15.75" customHeight="1" x14ac:dyDescent="0.2">
      <c r="A577" s="21">
        <v>9756</v>
      </c>
      <c r="B577" s="16" t="s">
        <v>321</v>
      </c>
      <c r="C577" s="16" t="s">
        <v>322</v>
      </c>
      <c r="D577" s="22"/>
      <c r="E577" s="16" t="s">
        <v>810</v>
      </c>
      <c r="F577" s="13">
        <v>2012</v>
      </c>
      <c r="G577" s="13">
        <v>2021</v>
      </c>
      <c r="H577" s="13">
        <v>0</v>
      </c>
      <c r="I577" s="13">
        <v>7.7</v>
      </c>
      <c r="J577" s="23">
        <v>0</v>
      </c>
      <c r="K577" s="13">
        <v>0</v>
      </c>
      <c r="L577" s="13">
        <v>0</v>
      </c>
      <c r="M577" s="13">
        <v>0</v>
      </c>
      <c r="N577" s="13">
        <v>8</v>
      </c>
      <c r="O577" s="16"/>
      <c r="P577" s="16" t="s">
        <v>73</v>
      </c>
      <c r="Q577" s="24">
        <v>1300</v>
      </c>
      <c r="R577" s="16" t="s">
        <v>66</v>
      </c>
      <c r="S577" s="13">
        <v>2016</v>
      </c>
      <c r="T577" s="13">
        <v>2.2999999999999998</v>
      </c>
      <c r="U577" s="13">
        <f t="shared" si="63"/>
        <v>2989.9999999999995</v>
      </c>
      <c r="V577" s="25">
        <f t="shared" si="64"/>
        <v>388.31168831168827</v>
      </c>
      <c r="W577" s="15">
        <f t="shared" si="46"/>
        <v>0</v>
      </c>
      <c r="X577" s="15">
        <f t="shared" si="47"/>
        <v>0</v>
      </c>
      <c r="Y577" s="15">
        <f t="shared" si="48"/>
        <v>0</v>
      </c>
      <c r="Z577" s="13">
        <f t="shared" si="49"/>
        <v>0</v>
      </c>
      <c r="AA577" s="16">
        <f>VLOOKUP(S577,[1]CPI!$A$2:$D$67,4,0)</f>
        <v>1.1290087372451638</v>
      </c>
      <c r="AB577" s="17">
        <f t="shared" si="65"/>
        <v>3375.7361243630394</v>
      </c>
      <c r="AC577" s="17">
        <f t="shared" si="66"/>
        <v>438.40728887831682</v>
      </c>
      <c r="AD577" s="16" t="s">
        <v>73</v>
      </c>
      <c r="AE577" s="26" t="s">
        <v>1111</v>
      </c>
      <c r="AF577" s="27"/>
      <c r="AG577" s="27"/>
      <c r="AH577" s="27"/>
      <c r="AI577" s="27"/>
      <c r="AJ577" s="28"/>
      <c r="AK577" s="28"/>
      <c r="AL577" s="28"/>
      <c r="AM577" s="28"/>
      <c r="AN577" s="28"/>
      <c r="AO577" s="28"/>
      <c r="AP577" s="28"/>
      <c r="AQ577" s="28"/>
    </row>
    <row r="578" spans="1:43" ht="15.75" customHeight="1" x14ac:dyDescent="0.2">
      <c r="A578" s="21">
        <v>9761</v>
      </c>
      <c r="B578" s="16" t="s">
        <v>38</v>
      </c>
      <c r="C578" s="16" t="s">
        <v>1112</v>
      </c>
      <c r="D578" s="22"/>
      <c r="E578" s="16" t="s">
        <v>1113</v>
      </c>
      <c r="F578" s="13">
        <v>2021</v>
      </c>
      <c r="G578" s="13">
        <v>2027</v>
      </c>
      <c r="H578" s="13">
        <v>0</v>
      </c>
      <c r="I578" s="13">
        <v>20</v>
      </c>
      <c r="J578" s="23">
        <v>0.2</v>
      </c>
      <c r="K578" s="13">
        <v>4</v>
      </c>
      <c r="L578" s="13">
        <v>0</v>
      </c>
      <c r="M578" s="13">
        <v>0</v>
      </c>
      <c r="N578" s="13">
        <v>15</v>
      </c>
      <c r="O578" s="16"/>
      <c r="P578" s="16" t="s">
        <v>50</v>
      </c>
      <c r="Q578" s="24">
        <v>5500</v>
      </c>
      <c r="R578" s="16" t="s">
        <v>42</v>
      </c>
      <c r="S578" s="13">
        <v>2024</v>
      </c>
      <c r="T578" s="13">
        <v>0.84</v>
      </c>
      <c r="U578" s="13">
        <f t="shared" si="63"/>
        <v>4620</v>
      </c>
      <c r="V578" s="25">
        <f t="shared" si="64"/>
        <v>231</v>
      </c>
      <c r="W578" s="15">
        <f t="shared" si="46"/>
        <v>0</v>
      </c>
      <c r="X578" s="15">
        <f t="shared" si="47"/>
        <v>0</v>
      </c>
      <c r="Y578" s="15">
        <f t="shared" si="48"/>
        <v>0</v>
      </c>
      <c r="Z578" s="13">
        <f t="shared" si="49"/>
        <v>1</v>
      </c>
      <c r="AA578" s="16">
        <f>VLOOKUP(S578,[1]CPI!$A$2:$D$67,4,0)</f>
        <v>1</v>
      </c>
      <c r="AB578" s="17">
        <f t="shared" si="65"/>
        <v>4620</v>
      </c>
      <c r="AC578" s="17">
        <f t="shared" si="66"/>
        <v>231</v>
      </c>
      <c r="AD578" s="16" t="s">
        <v>43</v>
      </c>
      <c r="AE578" s="26" t="s">
        <v>1114</v>
      </c>
      <c r="AF578" s="27"/>
      <c r="AG578" s="27"/>
      <c r="AH578" s="27"/>
      <c r="AI578" s="27"/>
      <c r="AJ578" s="28"/>
      <c r="AK578" s="28"/>
      <c r="AL578" s="28"/>
      <c r="AM578" s="28"/>
      <c r="AN578" s="28"/>
      <c r="AO578" s="28"/>
      <c r="AP578" s="28"/>
      <c r="AQ578" s="28"/>
    </row>
    <row r="579" spans="1:43" ht="15.75" customHeight="1" x14ac:dyDescent="0.2">
      <c r="A579" s="21">
        <v>9762</v>
      </c>
      <c r="B579" s="16" t="s">
        <v>38</v>
      </c>
      <c r="C579" s="16" t="s">
        <v>39</v>
      </c>
      <c r="D579" s="22"/>
      <c r="E579" s="16" t="s">
        <v>1115</v>
      </c>
      <c r="F579" s="13">
        <v>1998</v>
      </c>
      <c r="G579" s="13">
        <v>2002</v>
      </c>
      <c r="H579" s="13">
        <v>0</v>
      </c>
      <c r="I579" s="13">
        <v>19.899999999999999</v>
      </c>
      <c r="J579" s="23">
        <v>0</v>
      </c>
      <c r="K579" s="13">
        <v>0</v>
      </c>
      <c r="L579" s="13">
        <v>0</v>
      </c>
      <c r="M579" s="13">
        <v>0</v>
      </c>
      <c r="N579" s="13">
        <v>13</v>
      </c>
      <c r="O579" s="16"/>
      <c r="P579" s="16" t="s">
        <v>50</v>
      </c>
      <c r="Q579" s="24">
        <v>1200</v>
      </c>
      <c r="R579" s="16" t="s">
        <v>42</v>
      </c>
      <c r="S579" s="13">
        <v>2000</v>
      </c>
      <c r="T579" s="13">
        <v>0.81</v>
      </c>
      <c r="U579" s="13">
        <f t="shared" si="63"/>
        <v>972.00000000000011</v>
      </c>
      <c r="V579" s="25">
        <f t="shared" si="64"/>
        <v>48.844221105527645</v>
      </c>
      <c r="W579" s="15">
        <f t="shared" si="46"/>
        <v>0</v>
      </c>
      <c r="X579" s="15">
        <f t="shared" si="47"/>
        <v>0</v>
      </c>
      <c r="Y579" s="15">
        <f t="shared" si="48"/>
        <v>0</v>
      </c>
      <c r="Z579" s="13">
        <f t="shared" si="49"/>
        <v>1</v>
      </c>
      <c r="AA579" s="16">
        <f>VLOOKUP(S579,[1]CPI!$A$2:$D$67,4,0)</f>
        <v>1.5735772357723581</v>
      </c>
      <c r="AB579" s="17">
        <f t="shared" si="65"/>
        <v>1529.5170731707321</v>
      </c>
      <c r="AC579" s="17">
        <f t="shared" si="66"/>
        <v>76.860154430690059</v>
      </c>
      <c r="AD579" s="16" t="s">
        <v>35</v>
      </c>
      <c r="AE579" s="29" t="s">
        <v>1116</v>
      </c>
      <c r="AF579" s="27"/>
      <c r="AG579" s="27"/>
      <c r="AH579" s="27"/>
      <c r="AI579" s="27"/>
      <c r="AJ579" s="28"/>
      <c r="AK579" s="28"/>
      <c r="AL579" s="28"/>
      <c r="AM579" s="28"/>
      <c r="AN579" s="28"/>
      <c r="AO579" s="28"/>
      <c r="AP579" s="28"/>
      <c r="AQ579" s="28"/>
    </row>
    <row r="580" spans="1:43" ht="15.75" customHeight="1" x14ac:dyDescent="0.2">
      <c r="A580" s="21">
        <v>9763</v>
      </c>
      <c r="B580" s="16" t="s">
        <v>38</v>
      </c>
      <c r="C580" s="16" t="s">
        <v>39</v>
      </c>
      <c r="D580" s="22"/>
      <c r="E580" s="16" t="s">
        <v>1117</v>
      </c>
      <c r="F580" s="13">
        <v>2005</v>
      </c>
      <c r="G580" s="13">
        <v>2009</v>
      </c>
      <c r="H580" s="13">
        <v>0</v>
      </c>
      <c r="I580" s="13">
        <v>18.399999999999999</v>
      </c>
      <c r="J580" s="23">
        <v>0.49</v>
      </c>
      <c r="K580" s="13">
        <v>9.1</v>
      </c>
      <c r="L580" s="13">
        <v>0</v>
      </c>
      <c r="M580" s="13">
        <v>0</v>
      </c>
      <c r="N580" s="13">
        <v>16</v>
      </c>
      <c r="O580" s="16"/>
      <c r="P580" s="16" t="s">
        <v>50</v>
      </c>
      <c r="Q580" s="24">
        <v>2050</v>
      </c>
      <c r="R580" s="16" t="s">
        <v>42</v>
      </c>
      <c r="S580" s="13">
        <v>2007</v>
      </c>
      <c r="T580" s="13">
        <v>0.82</v>
      </c>
      <c r="U580" s="13">
        <f t="shared" si="63"/>
        <v>1681</v>
      </c>
      <c r="V580" s="25">
        <f t="shared" si="64"/>
        <v>91.358695652173921</v>
      </c>
      <c r="W580" s="15">
        <f t="shared" si="46"/>
        <v>0</v>
      </c>
      <c r="X580" s="15">
        <f t="shared" si="47"/>
        <v>0</v>
      </c>
      <c r="Y580" s="15">
        <f t="shared" si="48"/>
        <v>0</v>
      </c>
      <c r="Z580" s="13">
        <f t="shared" si="49"/>
        <v>1</v>
      </c>
      <c r="AA580" s="16">
        <f>VLOOKUP(S580,[1]CPI!$A$2:$D$67,4,0)</f>
        <v>1.3068746322500988</v>
      </c>
      <c r="AB580" s="17">
        <f t="shared" si="65"/>
        <v>2196.8562568124162</v>
      </c>
      <c r="AC580" s="17">
        <f t="shared" si="66"/>
        <v>119.3943617832835</v>
      </c>
      <c r="AD580" s="16" t="s">
        <v>43</v>
      </c>
      <c r="AE580" s="29" t="s">
        <v>1118</v>
      </c>
      <c r="AF580" s="27"/>
      <c r="AG580" s="27"/>
      <c r="AH580" s="27"/>
      <c r="AI580" s="27"/>
      <c r="AJ580" s="28"/>
      <c r="AK580" s="28"/>
      <c r="AL580" s="28"/>
      <c r="AM580" s="28"/>
      <c r="AN580" s="28"/>
      <c r="AO580" s="28"/>
      <c r="AP580" s="28"/>
      <c r="AQ580" s="28"/>
    </row>
    <row r="581" spans="1:43" ht="15.75" customHeight="1" x14ac:dyDescent="0.2">
      <c r="A581" s="21">
        <v>9764</v>
      </c>
      <c r="B581" s="16" t="s">
        <v>38</v>
      </c>
      <c r="C581" s="16" t="s">
        <v>39</v>
      </c>
      <c r="D581" s="22"/>
      <c r="E581" s="16" t="s">
        <v>1119</v>
      </c>
      <c r="F581" s="13">
        <v>2012</v>
      </c>
      <c r="G581" s="13">
        <v>2016</v>
      </c>
      <c r="H581" s="13">
        <v>0</v>
      </c>
      <c r="I581" s="13">
        <v>10.9</v>
      </c>
      <c r="J581" s="23">
        <v>0.18</v>
      </c>
      <c r="K581" s="13">
        <v>2</v>
      </c>
      <c r="L581" s="13">
        <v>0</v>
      </c>
      <c r="M581" s="13">
        <v>0</v>
      </c>
      <c r="N581" s="13">
        <v>6</v>
      </c>
      <c r="O581" s="16"/>
      <c r="P581" s="16" t="s">
        <v>50</v>
      </c>
      <c r="Q581" s="24">
        <v>1430</v>
      </c>
      <c r="R581" s="16" t="s">
        <v>42</v>
      </c>
      <c r="S581" s="13">
        <v>2014</v>
      </c>
      <c r="T581" s="13">
        <v>0.81</v>
      </c>
      <c r="U581" s="13">
        <f t="shared" si="63"/>
        <v>1158.3000000000002</v>
      </c>
      <c r="V581" s="25">
        <f t="shared" si="64"/>
        <v>106.26605504587157</v>
      </c>
      <c r="W581" s="15">
        <f t="shared" si="46"/>
        <v>0</v>
      </c>
      <c r="X581" s="15">
        <f t="shared" si="47"/>
        <v>0</v>
      </c>
      <c r="Y581" s="15">
        <f t="shared" si="48"/>
        <v>0</v>
      </c>
      <c r="Z581" s="13">
        <f t="shared" si="49"/>
        <v>1</v>
      </c>
      <c r="AA581" s="16">
        <f>VLOOKUP(S581,[1]CPI!$A$2:$D$67,4,0)</f>
        <v>1.1446083400919169</v>
      </c>
      <c r="AB581" s="17">
        <f t="shared" si="65"/>
        <v>1325.7998403284676</v>
      </c>
      <c r="AC581" s="17">
        <f t="shared" si="66"/>
        <v>121.63301287417133</v>
      </c>
      <c r="AD581" s="16" t="s">
        <v>43</v>
      </c>
      <c r="AE581" s="29" t="s">
        <v>1120</v>
      </c>
      <c r="AF581" s="27"/>
      <c r="AG581" s="27"/>
      <c r="AH581" s="27"/>
      <c r="AI581" s="27"/>
      <c r="AJ581" s="28"/>
      <c r="AK581" s="28"/>
      <c r="AL581" s="28"/>
      <c r="AM581" s="28"/>
      <c r="AN581" s="28"/>
      <c r="AO581" s="28"/>
      <c r="AP581" s="28"/>
      <c r="AQ581" s="28"/>
    </row>
    <row r="582" spans="1:43" ht="15.75" customHeight="1" x14ac:dyDescent="0.2">
      <c r="A582" s="21">
        <v>9769</v>
      </c>
      <c r="B582" s="16" t="s">
        <v>216</v>
      </c>
      <c r="C582" s="16" t="s">
        <v>437</v>
      </c>
      <c r="D582" s="22"/>
      <c r="E582" s="16" t="s">
        <v>1121</v>
      </c>
      <c r="F582" s="13">
        <v>2021</v>
      </c>
      <c r="G582" s="13">
        <v>2030</v>
      </c>
      <c r="H582" s="13">
        <v>0</v>
      </c>
      <c r="I582" s="13">
        <v>5.8</v>
      </c>
      <c r="J582" s="23">
        <v>0.93</v>
      </c>
      <c r="K582" s="13">
        <v>5.4</v>
      </c>
      <c r="L582" s="13">
        <v>0</v>
      </c>
      <c r="M582" s="13">
        <v>0</v>
      </c>
      <c r="N582" s="13">
        <v>5</v>
      </c>
      <c r="O582" s="16"/>
      <c r="P582" s="16" t="s">
        <v>43</v>
      </c>
      <c r="Q582" s="24">
        <v>1750</v>
      </c>
      <c r="R582" s="16" t="s">
        <v>36</v>
      </c>
      <c r="S582" s="13">
        <v>2025</v>
      </c>
      <c r="T582" s="13">
        <v>1.3</v>
      </c>
      <c r="U582" s="13">
        <f t="shared" si="63"/>
        <v>2275</v>
      </c>
      <c r="V582" s="25">
        <f t="shared" si="64"/>
        <v>392.24137931034483</v>
      </c>
      <c r="W582" s="15">
        <f t="shared" si="46"/>
        <v>0</v>
      </c>
      <c r="X582" s="15">
        <f t="shared" si="47"/>
        <v>0</v>
      </c>
      <c r="Y582" s="15">
        <f t="shared" si="48"/>
        <v>0</v>
      </c>
      <c r="Z582" s="13">
        <f t="shared" si="49"/>
        <v>0</v>
      </c>
      <c r="AA582" s="16">
        <f>VLOOKUP(S582,[1]CPI!$A$2:$D$67,4,0)</f>
        <v>1</v>
      </c>
      <c r="AB582" s="17">
        <f t="shared" si="65"/>
        <v>2275</v>
      </c>
      <c r="AC582" s="17">
        <f t="shared" si="66"/>
        <v>392.24137931034483</v>
      </c>
      <c r="AD582" s="16" t="s">
        <v>43</v>
      </c>
      <c r="AE582" s="29" t="s">
        <v>1122</v>
      </c>
      <c r="AF582" s="19"/>
      <c r="AG582" s="19"/>
      <c r="AH582" s="19"/>
      <c r="AI582" s="19"/>
      <c r="AJ582" s="20"/>
      <c r="AK582" s="20"/>
      <c r="AL582" s="20"/>
      <c r="AM582" s="20"/>
      <c r="AN582" s="20"/>
      <c r="AO582" s="20"/>
      <c r="AP582" s="20"/>
      <c r="AQ582" s="20"/>
    </row>
    <row r="583" spans="1:43" ht="15.75" customHeight="1" x14ac:dyDescent="0.2">
      <c r="A583" s="21">
        <v>9770</v>
      </c>
      <c r="B583" s="16" t="s">
        <v>145</v>
      </c>
      <c r="C583" s="16" t="s">
        <v>1123</v>
      </c>
      <c r="D583" s="22"/>
      <c r="E583" s="16" t="s">
        <v>474</v>
      </c>
      <c r="F583" s="13">
        <v>2014</v>
      </c>
      <c r="G583" s="13">
        <v>2021</v>
      </c>
      <c r="H583" s="13">
        <v>0</v>
      </c>
      <c r="I583" s="13">
        <v>14</v>
      </c>
      <c r="J583" s="23">
        <v>0.79</v>
      </c>
      <c r="K583" s="13">
        <v>11</v>
      </c>
      <c r="L583" s="13">
        <v>0</v>
      </c>
      <c r="M583" s="13">
        <v>0</v>
      </c>
      <c r="N583" s="13">
        <v>15</v>
      </c>
      <c r="O583" s="16"/>
      <c r="P583" s="16" t="s">
        <v>73</v>
      </c>
      <c r="Q583" s="24">
        <v>1342</v>
      </c>
      <c r="R583" s="16" t="s">
        <v>36</v>
      </c>
      <c r="S583" s="13">
        <v>2020</v>
      </c>
      <c r="T583" s="13">
        <v>1.3</v>
      </c>
      <c r="U583" s="13">
        <f t="shared" si="63"/>
        <v>1744.6000000000001</v>
      </c>
      <c r="V583" s="25">
        <f t="shared" si="64"/>
        <v>124.61428571428573</v>
      </c>
      <c r="W583" s="15">
        <f t="shared" si="46"/>
        <v>0</v>
      </c>
      <c r="X583" s="15">
        <f t="shared" si="47"/>
        <v>0</v>
      </c>
      <c r="Y583" s="15">
        <f t="shared" si="48"/>
        <v>0</v>
      </c>
      <c r="Z583" s="13">
        <f t="shared" si="49"/>
        <v>0</v>
      </c>
      <c r="AA583" s="16">
        <f>VLOOKUP(S583,[1]CPI!$A$2:$D$67,4,0)</f>
        <v>1.0469802288156225</v>
      </c>
      <c r="AB583" s="17">
        <f t="shared" si="65"/>
        <v>1826.5617071917352</v>
      </c>
      <c r="AC583" s="17">
        <f t="shared" si="66"/>
        <v>130.46869337083822</v>
      </c>
      <c r="AD583" s="16" t="s">
        <v>35</v>
      </c>
      <c r="AE583" s="29" t="s">
        <v>1124</v>
      </c>
      <c r="AF583" s="19"/>
      <c r="AG583" s="19"/>
      <c r="AH583" s="19"/>
      <c r="AI583" s="19"/>
      <c r="AJ583" s="20"/>
      <c r="AK583" s="20"/>
      <c r="AL583" s="20"/>
      <c r="AM583" s="20"/>
      <c r="AN583" s="20"/>
      <c r="AO583" s="20"/>
      <c r="AP583" s="20"/>
      <c r="AQ583" s="20"/>
    </row>
    <row r="584" spans="1:43" ht="15.75" customHeight="1" x14ac:dyDescent="0.2">
      <c r="A584" s="21">
        <v>9771</v>
      </c>
      <c r="B584" s="118" t="s">
        <v>1125</v>
      </c>
      <c r="C584" s="118" t="s">
        <v>1126</v>
      </c>
      <c r="D584" s="22"/>
      <c r="E584" s="118" t="s">
        <v>1127</v>
      </c>
      <c r="F584" s="119">
        <v>2023</v>
      </c>
      <c r="G584" s="119">
        <v>2029</v>
      </c>
      <c r="H584" s="119">
        <v>0</v>
      </c>
      <c r="I584" s="119">
        <v>1.8</v>
      </c>
      <c r="J584" s="120">
        <v>1</v>
      </c>
      <c r="K584" s="119">
        <v>1.8</v>
      </c>
      <c r="L584" s="119">
        <v>0</v>
      </c>
      <c r="M584" s="119">
        <v>0</v>
      </c>
      <c r="N584" s="119">
        <v>1</v>
      </c>
      <c r="O584" s="118"/>
      <c r="P584" s="118" t="s">
        <v>43</v>
      </c>
      <c r="Q584" s="121">
        <v>18700</v>
      </c>
      <c r="R584" s="118" t="s">
        <v>1128</v>
      </c>
      <c r="S584" s="119">
        <v>2016</v>
      </c>
      <c r="T584" s="119">
        <v>0.1686</v>
      </c>
      <c r="U584" s="119">
        <f t="shared" si="63"/>
        <v>3152.82</v>
      </c>
      <c r="V584" s="25">
        <f t="shared" si="64"/>
        <v>1751.5666666666666</v>
      </c>
      <c r="W584" s="15">
        <f t="shared" si="46"/>
        <v>0</v>
      </c>
      <c r="X584" s="15">
        <f t="shared" si="47"/>
        <v>0</v>
      </c>
      <c r="Y584" s="15">
        <f t="shared" si="48"/>
        <v>0</v>
      </c>
      <c r="Z584" s="13">
        <f t="shared" si="49"/>
        <v>0</v>
      </c>
      <c r="AA584" s="16">
        <f>VLOOKUP(S584,[1]CPI!$A$2:$D$67,4,0)</f>
        <v>1.1290087372451638</v>
      </c>
      <c r="AB584" s="17">
        <f t="shared" si="65"/>
        <v>3559.5613269612977</v>
      </c>
      <c r="AC584" s="17">
        <f t="shared" si="66"/>
        <v>1977.5340705340541</v>
      </c>
      <c r="AD584" s="118" t="s">
        <v>43</v>
      </c>
      <c r="AE584" s="122" t="s">
        <v>1129</v>
      </c>
      <c r="AF584" s="123"/>
      <c r="AG584" s="123"/>
      <c r="AH584" s="123"/>
      <c r="AI584" s="123"/>
      <c r="AJ584" s="124"/>
      <c r="AK584" s="124"/>
      <c r="AL584" s="124"/>
      <c r="AM584" s="124"/>
      <c r="AN584" s="124"/>
      <c r="AO584" s="124"/>
      <c r="AP584" s="124"/>
      <c r="AQ584" s="124"/>
    </row>
    <row r="585" spans="1:43" ht="15.75" customHeight="1" x14ac:dyDescent="0.2">
      <c r="A585" s="21">
        <v>9772</v>
      </c>
      <c r="B585" s="118" t="s">
        <v>1125</v>
      </c>
      <c r="C585" s="118" t="s">
        <v>1126</v>
      </c>
      <c r="D585" s="22"/>
      <c r="E585" s="118" t="s">
        <v>1130</v>
      </c>
      <c r="F585" s="119">
        <v>2009</v>
      </c>
      <c r="G585" s="119">
        <v>2016</v>
      </c>
      <c r="H585" s="119">
        <v>0</v>
      </c>
      <c r="I585" s="119">
        <v>3</v>
      </c>
      <c r="J585" s="120">
        <v>1</v>
      </c>
      <c r="K585" s="119">
        <v>3</v>
      </c>
      <c r="L585" s="119">
        <v>0</v>
      </c>
      <c r="M585" s="119">
        <v>0</v>
      </c>
      <c r="N585" s="119">
        <v>3</v>
      </c>
      <c r="O585" s="118"/>
      <c r="P585" s="118" t="s">
        <v>35</v>
      </c>
      <c r="Q585" s="121">
        <v>18500</v>
      </c>
      <c r="R585" s="118" t="s">
        <v>1128</v>
      </c>
      <c r="S585" s="119">
        <v>2012</v>
      </c>
      <c r="T585" s="119">
        <v>0.18340000000000001</v>
      </c>
      <c r="U585" s="119">
        <f t="shared" si="63"/>
        <v>3392.9</v>
      </c>
      <c r="V585" s="25">
        <f t="shared" si="64"/>
        <v>1130.9666666666667</v>
      </c>
      <c r="W585" s="15">
        <f t="shared" si="46"/>
        <v>0</v>
      </c>
      <c r="X585" s="15">
        <f t="shared" si="47"/>
        <v>0</v>
      </c>
      <c r="Y585" s="15">
        <f t="shared" si="48"/>
        <v>0</v>
      </c>
      <c r="Z585" s="13">
        <f t="shared" si="49"/>
        <v>0</v>
      </c>
      <c r="AA585" s="16">
        <f>VLOOKUP(S585,[1]CPI!$A$2:$D$67,4,0)</f>
        <v>1.1802137686524912</v>
      </c>
      <c r="AB585" s="17">
        <f t="shared" si="65"/>
        <v>4004.3472956610376</v>
      </c>
      <c r="AC585" s="17">
        <f t="shared" si="66"/>
        <v>1334.7824318870125</v>
      </c>
      <c r="AD585" s="118" t="s">
        <v>35</v>
      </c>
      <c r="AE585" s="122" t="s">
        <v>1131</v>
      </c>
      <c r="AF585" s="123"/>
      <c r="AG585" s="123"/>
      <c r="AH585" s="123"/>
      <c r="AI585" s="123"/>
      <c r="AJ585" s="124"/>
      <c r="AK585" s="124"/>
      <c r="AL585" s="124"/>
      <c r="AM585" s="124"/>
      <c r="AN585" s="124"/>
      <c r="AO585" s="124"/>
      <c r="AP585" s="124"/>
      <c r="AQ585" s="124"/>
    </row>
    <row r="586" spans="1:43" ht="15.75" customHeight="1" x14ac:dyDescent="0.2">
      <c r="A586" s="125">
        <v>9773</v>
      </c>
      <c r="B586" s="126" t="s">
        <v>1125</v>
      </c>
      <c r="C586" s="126" t="s">
        <v>1126</v>
      </c>
      <c r="D586" s="126"/>
      <c r="E586" s="126" t="s">
        <v>1132</v>
      </c>
      <c r="F586" s="127">
        <v>1994</v>
      </c>
      <c r="G586" s="127">
        <v>1998</v>
      </c>
      <c r="H586" s="127">
        <v>0</v>
      </c>
      <c r="I586" s="127">
        <v>34</v>
      </c>
      <c r="J586" s="128">
        <v>0.23530000000000001</v>
      </c>
      <c r="K586" s="127">
        <v>8</v>
      </c>
      <c r="L586" s="127">
        <v>6</v>
      </c>
      <c r="M586" s="127">
        <v>20</v>
      </c>
      <c r="N586" s="127">
        <v>9</v>
      </c>
      <c r="O586" s="126">
        <v>200</v>
      </c>
      <c r="P586" s="126" t="s">
        <v>35</v>
      </c>
      <c r="Q586" s="129">
        <v>34000</v>
      </c>
      <c r="R586" s="126" t="s">
        <v>1128</v>
      </c>
      <c r="S586" s="127">
        <v>1996</v>
      </c>
      <c r="T586" s="127">
        <v>0.18709999999999999</v>
      </c>
      <c r="U586" s="127">
        <f t="shared" si="63"/>
        <v>6361.4</v>
      </c>
      <c r="V586" s="130">
        <f t="shared" si="64"/>
        <v>187.1</v>
      </c>
      <c r="W586" s="15">
        <f t="shared" si="46"/>
        <v>0</v>
      </c>
      <c r="X586" s="15">
        <f t="shared" si="47"/>
        <v>0</v>
      </c>
      <c r="Y586" s="15">
        <f t="shared" si="48"/>
        <v>0</v>
      </c>
      <c r="Z586" s="13">
        <f t="shared" si="49"/>
        <v>0</v>
      </c>
      <c r="AA586" s="16">
        <f>VLOOKUP(S586,[1]CPI!$A$2:$D$67,4,0)</f>
        <v>1.7270235818992989</v>
      </c>
      <c r="AB586" s="17">
        <f t="shared" si="65"/>
        <v>10986.2878138942</v>
      </c>
      <c r="AC586" s="17">
        <f t="shared" si="66"/>
        <v>323.12611217335882</v>
      </c>
      <c r="AD586" s="126" t="s">
        <v>35</v>
      </c>
      <c r="AE586" s="131" t="s">
        <v>1133</v>
      </c>
      <c r="AF586" s="132"/>
      <c r="AG586" s="132"/>
      <c r="AH586" s="132"/>
      <c r="AI586" s="132"/>
      <c r="AJ586" s="133"/>
      <c r="AK586" s="133"/>
      <c r="AL586" s="133"/>
      <c r="AM586" s="133"/>
      <c r="AN586" s="133"/>
      <c r="AO586" s="133"/>
      <c r="AP586" s="133"/>
      <c r="AQ586" s="133"/>
    </row>
    <row r="587" spans="1:43" ht="15.75" customHeight="1" x14ac:dyDescent="0.2">
      <c r="A587" s="125">
        <v>9774</v>
      </c>
      <c r="B587" s="126" t="s">
        <v>1125</v>
      </c>
      <c r="C587" s="126" t="s">
        <v>1126</v>
      </c>
      <c r="D587" s="126"/>
      <c r="E587" s="126" t="s">
        <v>1134</v>
      </c>
      <c r="F587" s="127">
        <v>1997</v>
      </c>
      <c r="G587" s="127">
        <v>2001</v>
      </c>
      <c r="H587" s="127">
        <v>0</v>
      </c>
      <c r="I587" s="127">
        <v>2.1</v>
      </c>
      <c r="J587" s="128">
        <v>1</v>
      </c>
      <c r="K587" s="127">
        <v>2.1</v>
      </c>
      <c r="L587" s="127">
        <v>0</v>
      </c>
      <c r="M587" s="127">
        <v>0</v>
      </c>
      <c r="N587" s="127">
        <v>0</v>
      </c>
      <c r="O587" s="126" t="s">
        <v>1135</v>
      </c>
      <c r="P587" s="126" t="s">
        <v>35</v>
      </c>
      <c r="Q587" s="129">
        <v>3100</v>
      </c>
      <c r="R587" s="126" t="s">
        <v>1128</v>
      </c>
      <c r="S587" s="127">
        <v>1999</v>
      </c>
      <c r="T587" s="127">
        <v>0.18229999999999999</v>
      </c>
      <c r="U587" s="127">
        <f t="shared" si="63"/>
        <v>565.13</v>
      </c>
      <c r="V587" s="130">
        <f t="shared" si="64"/>
        <v>269.10952380952381</v>
      </c>
      <c r="W587" s="15">
        <f t="shared" si="46"/>
        <v>0</v>
      </c>
      <c r="X587" s="15">
        <f t="shared" si="47"/>
        <v>0</v>
      </c>
      <c r="Y587" s="15">
        <f t="shared" si="48"/>
        <v>0</v>
      </c>
      <c r="Z587" s="13">
        <f t="shared" si="49"/>
        <v>0</v>
      </c>
      <c r="AA587" s="16">
        <f>VLOOKUP(S587,[1]CPI!$A$2:$D$67,4,0)</f>
        <v>1.6264705882352943</v>
      </c>
      <c r="AB587" s="17">
        <f t="shared" si="65"/>
        <v>919.16732352941187</v>
      </c>
      <c r="AC587" s="17">
        <f t="shared" si="66"/>
        <v>437.69872549019613</v>
      </c>
      <c r="AD587" s="126" t="s">
        <v>35</v>
      </c>
      <c r="AE587" s="134"/>
      <c r="AF587" s="132"/>
      <c r="AG587" s="132"/>
      <c r="AH587" s="132"/>
      <c r="AI587" s="132"/>
      <c r="AJ587" s="133"/>
      <c r="AK587" s="133"/>
      <c r="AL587" s="133"/>
      <c r="AM587" s="133"/>
      <c r="AN587" s="133"/>
      <c r="AO587" s="133"/>
      <c r="AP587" s="133"/>
      <c r="AQ587" s="133"/>
    </row>
    <row r="588" spans="1:43" ht="15.75" customHeight="1" x14ac:dyDescent="0.2">
      <c r="A588" s="125">
        <v>9775</v>
      </c>
      <c r="B588" s="126" t="s">
        <v>1125</v>
      </c>
      <c r="C588" s="126" t="s">
        <v>1126</v>
      </c>
      <c r="D588" s="126"/>
      <c r="E588" s="126" t="s">
        <v>1136</v>
      </c>
      <c r="F588" s="127">
        <v>1999</v>
      </c>
      <c r="G588" s="127">
        <v>2002</v>
      </c>
      <c r="H588" s="127">
        <v>0</v>
      </c>
      <c r="I588" s="127">
        <v>4</v>
      </c>
      <c r="J588" s="128">
        <v>1</v>
      </c>
      <c r="K588" s="127">
        <v>4</v>
      </c>
      <c r="L588" s="127">
        <v>0</v>
      </c>
      <c r="M588" s="127">
        <v>0</v>
      </c>
      <c r="N588" s="127">
        <v>5</v>
      </c>
      <c r="O588" s="126">
        <v>200</v>
      </c>
      <c r="P588" s="126" t="s">
        <v>35</v>
      </c>
      <c r="Q588" s="129">
        <v>16000</v>
      </c>
      <c r="R588" s="126" t="s">
        <v>1128</v>
      </c>
      <c r="S588" s="127">
        <v>2000</v>
      </c>
      <c r="T588" s="127">
        <v>0.18859999999999999</v>
      </c>
      <c r="U588" s="127">
        <f t="shared" si="63"/>
        <v>3017.6</v>
      </c>
      <c r="V588" s="130">
        <f t="shared" si="64"/>
        <v>754.4</v>
      </c>
      <c r="W588" s="15">
        <f t="shared" si="46"/>
        <v>0</v>
      </c>
      <c r="X588" s="15">
        <f t="shared" si="47"/>
        <v>0</v>
      </c>
      <c r="Y588" s="15">
        <f t="shared" si="48"/>
        <v>0</v>
      </c>
      <c r="Z588" s="13">
        <f t="shared" si="49"/>
        <v>0</v>
      </c>
      <c r="AA588" s="16">
        <f>VLOOKUP(S588,[1]CPI!$A$2:$D$67,4,0)</f>
        <v>1.5735772357723581</v>
      </c>
      <c r="AB588" s="17">
        <f t="shared" si="65"/>
        <v>4748.4266666666672</v>
      </c>
      <c r="AC588" s="17">
        <f t="shared" si="66"/>
        <v>1187.1066666666668</v>
      </c>
      <c r="AD588" s="126"/>
      <c r="AE588" s="134"/>
      <c r="AF588" s="132"/>
      <c r="AG588" s="132"/>
      <c r="AH588" s="132"/>
      <c r="AI588" s="132"/>
      <c r="AJ588" s="133"/>
      <c r="AK588" s="133"/>
      <c r="AL588" s="133"/>
      <c r="AM588" s="133"/>
      <c r="AN588" s="133"/>
      <c r="AO588" s="133"/>
      <c r="AP588" s="133"/>
      <c r="AQ588" s="133"/>
    </row>
    <row r="589" spans="1:43" ht="15.75" customHeight="1" x14ac:dyDescent="0.2">
      <c r="A589" s="125">
        <v>9776</v>
      </c>
      <c r="B589" s="126" t="s">
        <v>1125</v>
      </c>
      <c r="C589" s="126" t="s">
        <v>1126</v>
      </c>
      <c r="D589" s="126"/>
      <c r="E589" s="126" t="s">
        <v>1137</v>
      </c>
      <c r="F589" s="127">
        <v>2001</v>
      </c>
      <c r="G589" s="127">
        <v>2005</v>
      </c>
      <c r="H589" s="127">
        <v>0</v>
      </c>
      <c r="I589" s="127">
        <v>3.5</v>
      </c>
      <c r="J589" s="128">
        <v>0.25</v>
      </c>
      <c r="K589" s="127">
        <v>0.875</v>
      </c>
      <c r="L589" s="127">
        <v>0</v>
      </c>
      <c r="M589" s="127">
        <v>2.625</v>
      </c>
      <c r="N589" s="127">
        <v>2</v>
      </c>
      <c r="O589" s="126"/>
      <c r="P589" s="126" t="s">
        <v>94</v>
      </c>
      <c r="Q589" s="129">
        <v>2000</v>
      </c>
      <c r="R589" s="126" t="s">
        <v>1128</v>
      </c>
      <c r="S589" s="127">
        <v>2003</v>
      </c>
      <c r="T589" s="127">
        <v>0.21149999999999999</v>
      </c>
      <c r="U589" s="127">
        <f t="shared" si="63"/>
        <v>423</v>
      </c>
      <c r="V589" s="130">
        <f t="shared" si="64"/>
        <v>120.85714285714286</v>
      </c>
      <c r="W589" s="15">
        <f t="shared" si="46"/>
        <v>0</v>
      </c>
      <c r="X589" s="15">
        <f t="shared" si="47"/>
        <v>0</v>
      </c>
      <c r="Y589" s="15">
        <f t="shared" si="48"/>
        <v>0</v>
      </c>
      <c r="Z589" s="13">
        <f t="shared" si="49"/>
        <v>0</v>
      </c>
      <c r="AA589" s="16">
        <f>VLOOKUP(S589,[1]CPI!$A$2:$D$67,4,0)</f>
        <v>1.472663043478261</v>
      </c>
      <c r="AB589" s="17">
        <f t="shared" si="65"/>
        <v>622.9364673913044</v>
      </c>
      <c r="AC589" s="17">
        <f t="shared" si="66"/>
        <v>177.98184782608698</v>
      </c>
      <c r="AD589" s="126"/>
      <c r="AE589" s="134"/>
      <c r="AF589" s="132"/>
      <c r="AG589" s="132"/>
      <c r="AH589" s="132"/>
      <c r="AI589" s="132"/>
      <c r="AJ589" s="133"/>
      <c r="AK589" s="133"/>
      <c r="AL589" s="133"/>
      <c r="AM589" s="133"/>
      <c r="AN589" s="133"/>
      <c r="AO589" s="133"/>
      <c r="AP589" s="133"/>
      <c r="AQ589" s="133"/>
    </row>
    <row r="590" spans="1:43" ht="15.75" customHeight="1" x14ac:dyDescent="0.2">
      <c r="A590" s="21">
        <v>9777</v>
      </c>
      <c r="B590" s="118" t="s">
        <v>1125</v>
      </c>
      <c r="C590" s="118" t="s">
        <v>1126</v>
      </c>
      <c r="D590" s="22"/>
      <c r="E590" s="118" t="s">
        <v>1138</v>
      </c>
      <c r="F590" s="119">
        <v>2011</v>
      </c>
      <c r="G590" s="119">
        <v>2016</v>
      </c>
      <c r="H590" s="119">
        <v>0</v>
      </c>
      <c r="I590" s="119">
        <v>7</v>
      </c>
      <c r="J590" s="120">
        <v>0.71</v>
      </c>
      <c r="K590" s="119">
        <v>5</v>
      </c>
      <c r="L590" s="119">
        <v>2</v>
      </c>
      <c r="M590" s="119">
        <v>0</v>
      </c>
      <c r="N590" s="119">
        <v>5</v>
      </c>
      <c r="O590" s="118"/>
      <c r="P590" s="118" t="s">
        <v>35</v>
      </c>
      <c r="Q590" s="121">
        <v>16900</v>
      </c>
      <c r="R590" s="118" t="s">
        <v>1128</v>
      </c>
      <c r="S590" s="119">
        <v>2013</v>
      </c>
      <c r="T590" s="119">
        <v>0.18029999999999999</v>
      </c>
      <c r="U590" s="119">
        <f t="shared" si="63"/>
        <v>3047.0699999999997</v>
      </c>
      <c r="V590" s="25">
        <f t="shared" si="64"/>
        <v>435.29571428571427</v>
      </c>
      <c r="W590" s="15">
        <f t="shared" si="46"/>
        <v>0</v>
      </c>
      <c r="X590" s="15">
        <f t="shared" si="47"/>
        <v>0</v>
      </c>
      <c r="Y590" s="15">
        <f t="shared" si="48"/>
        <v>0</v>
      </c>
      <c r="Z590" s="13">
        <f t="shared" si="49"/>
        <v>0</v>
      </c>
      <c r="AA590" s="16">
        <f>VLOOKUP(S590,[1]CPI!$A$2:$D$67,4,0)</f>
        <v>1.16317603677932</v>
      </c>
      <c r="AB590" s="17">
        <f t="shared" si="65"/>
        <v>3544.2788063891621</v>
      </c>
      <c r="AC590" s="17">
        <f t="shared" si="66"/>
        <v>506.32554376988037</v>
      </c>
      <c r="AD590" s="118" t="s">
        <v>35</v>
      </c>
      <c r="AE590" s="122" t="s">
        <v>1131</v>
      </c>
      <c r="AF590" s="123"/>
      <c r="AG590" s="123"/>
      <c r="AH590" s="123"/>
      <c r="AI590" s="123"/>
      <c r="AJ590" s="124"/>
      <c r="AK590" s="124"/>
      <c r="AL590" s="124"/>
      <c r="AM590" s="124"/>
      <c r="AN590" s="124"/>
      <c r="AO590" s="124"/>
      <c r="AP590" s="124"/>
      <c r="AQ590" s="124"/>
    </row>
    <row r="591" spans="1:43" ht="15.75" customHeight="1" x14ac:dyDescent="0.2">
      <c r="A591" s="21">
        <v>9778</v>
      </c>
      <c r="B591" s="118" t="s">
        <v>1125</v>
      </c>
      <c r="C591" s="118" t="s">
        <v>1126</v>
      </c>
      <c r="D591" s="22"/>
      <c r="E591" s="118" t="s">
        <v>1139</v>
      </c>
      <c r="F591" s="119">
        <v>2011</v>
      </c>
      <c r="G591" s="119">
        <v>2016</v>
      </c>
      <c r="H591" s="119">
        <v>0</v>
      </c>
      <c r="I591" s="119">
        <v>2.6</v>
      </c>
      <c r="J591" s="120">
        <v>1</v>
      </c>
      <c r="K591" s="119">
        <v>2.6</v>
      </c>
      <c r="L591" s="119">
        <v>0</v>
      </c>
      <c r="M591" s="119">
        <v>0</v>
      </c>
      <c r="N591" s="119">
        <v>2</v>
      </c>
      <c r="O591" s="118"/>
      <c r="P591" s="118" t="s">
        <v>35</v>
      </c>
      <c r="Q591" s="121">
        <v>7200</v>
      </c>
      <c r="R591" s="118" t="s">
        <v>1128</v>
      </c>
      <c r="S591" s="119">
        <v>2013</v>
      </c>
      <c r="T591" s="119">
        <v>0.18029999999999999</v>
      </c>
      <c r="U591" s="119">
        <f t="shared" si="63"/>
        <v>1298.1599999999999</v>
      </c>
      <c r="V591" s="25">
        <f t="shared" si="64"/>
        <v>499.29230769230765</v>
      </c>
      <c r="W591" s="15">
        <f t="shared" si="46"/>
        <v>0</v>
      </c>
      <c r="X591" s="15">
        <f t="shared" si="47"/>
        <v>0</v>
      </c>
      <c r="Y591" s="15">
        <f t="shared" si="48"/>
        <v>0</v>
      </c>
      <c r="Z591" s="13">
        <f t="shared" si="49"/>
        <v>0</v>
      </c>
      <c r="AA591" s="16">
        <f>VLOOKUP(S591,[1]CPI!$A$2:$D$67,4,0)</f>
        <v>1.16317603677932</v>
      </c>
      <c r="AB591" s="17">
        <f t="shared" si="65"/>
        <v>1509.988603905442</v>
      </c>
      <c r="AC591" s="17">
        <f t="shared" si="66"/>
        <v>580.76484765593921</v>
      </c>
      <c r="AD591" s="118" t="s">
        <v>35</v>
      </c>
      <c r="AE591" s="122" t="s">
        <v>1131</v>
      </c>
      <c r="AF591" s="123"/>
      <c r="AG591" s="123"/>
      <c r="AH591" s="123"/>
      <c r="AI591" s="123"/>
      <c r="AJ591" s="124"/>
      <c r="AK591" s="124"/>
      <c r="AL591" s="124"/>
      <c r="AM591" s="124"/>
      <c r="AN591" s="124"/>
      <c r="AO591" s="124"/>
      <c r="AP591" s="124"/>
      <c r="AQ591" s="124"/>
    </row>
    <row r="592" spans="1:43" ht="15.75" customHeight="1" x14ac:dyDescent="0.2">
      <c r="A592" s="21">
        <v>9779</v>
      </c>
      <c r="B592" s="118" t="s">
        <v>1125</v>
      </c>
      <c r="C592" s="118" t="s">
        <v>1126</v>
      </c>
      <c r="D592" s="22"/>
      <c r="E592" s="118" t="s">
        <v>1140</v>
      </c>
      <c r="F592" s="119">
        <v>2023</v>
      </c>
      <c r="G592" s="119">
        <v>2030</v>
      </c>
      <c r="H592" s="119">
        <v>0</v>
      </c>
      <c r="I592" s="119">
        <v>2.4</v>
      </c>
      <c r="J592" s="120">
        <v>0</v>
      </c>
      <c r="K592" s="119">
        <v>0</v>
      </c>
      <c r="L592" s="119">
        <v>0</v>
      </c>
      <c r="M592" s="119">
        <v>0</v>
      </c>
      <c r="N592" s="119">
        <v>2</v>
      </c>
      <c r="O592" s="118"/>
      <c r="P592" s="118" t="s">
        <v>35</v>
      </c>
      <c r="Q592" s="121">
        <v>11400</v>
      </c>
      <c r="R592" s="118" t="s">
        <v>1128</v>
      </c>
      <c r="S592" s="119">
        <v>2015</v>
      </c>
      <c r="T592" s="119">
        <v>0.17150000000000001</v>
      </c>
      <c r="U592" s="119">
        <f t="shared" si="63"/>
        <v>1955.1000000000001</v>
      </c>
      <c r="V592" s="25">
        <f t="shared" si="64"/>
        <v>814.62500000000011</v>
      </c>
      <c r="W592" s="15">
        <f t="shared" si="46"/>
        <v>0</v>
      </c>
      <c r="X592" s="15">
        <f t="shared" si="47"/>
        <v>0</v>
      </c>
      <c r="Y592" s="15">
        <f t="shared" si="48"/>
        <v>0</v>
      </c>
      <c r="Z592" s="13">
        <f t="shared" si="49"/>
        <v>0</v>
      </c>
      <c r="AA592" s="16">
        <f>VLOOKUP(S592,[1]CPI!$A$2:$D$67,4,0)</f>
        <v>1.143251327963817</v>
      </c>
      <c r="AB592" s="17">
        <f t="shared" si="65"/>
        <v>2235.170671302059</v>
      </c>
      <c r="AC592" s="17">
        <f t="shared" si="66"/>
        <v>931.32111304252453</v>
      </c>
      <c r="AD592" s="118" t="s">
        <v>35</v>
      </c>
      <c r="AE592" s="122" t="s">
        <v>1141</v>
      </c>
      <c r="AF592" s="123"/>
      <c r="AG592" s="123"/>
      <c r="AH592" s="123"/>
      <c r="AI592" s="123"/>
      <c r="AJ592" s="124"/>
      <c r="AK592" s="124"/>
      <c r="AL592" s="124"/>
      <c r="AM592" s="124"/>
      <c r="AN592" s="124"/>
      <c r="AO592" s="124"/>
      <c r="AP592" s="124"/>
      <c r="AQ592" s="124"/>
    </row>
    <row r="593" spans="1:43" ht="15.75" customHeight="1" x14ac:dyDescent="0.2">
      <c r="A593" s="21">
        <v>9780</v>
      </c>
      <c r="B593" s="118" t="s">
        <v>1125</v>
      </c>
      <c r="C593" s="118" t="s">
        <v>1126</v>
      </c>
      <c r="D593" s="22"/>
      <c r="E593" s="118" t="s">
        <v>1142</v>
      </c>
      <c r="F593" s="119">
        <v>2012</v>
      </c>
      <c r="G593" s="119">
        <v>2022</v>
      </c>
      <c r="H593" s="119">
        <v>1</v>
      </c>
      <c r="I593" s="119">
        <v>17</v>
      </c>
      <c r="J593" s="120">
        <v>0.88</v>
      </c>
      <c r="K593" s="119">
        <v>15</v>
      </c>
      <c r="L593" s="119">
        <v>0</v>
      </c>
      <c r="M593" s="119">
        <v>0</v>
      </c>
      <c r="N593" s="119">
        <v>9</v>
      </c>
      <c r="O593" s="118"/>
      <c r="P593" s="118" t="s">
        <v>94</v>
      </c>
      <c r="Q593" s="121">
        <v>87300</v>
      </c>
      <c r="R593" s="118" t="s">
        <v>1128</v>
      </c>
      <c r="S593" s="119">
        <v>2017</v>
      </c>
      <c r="T593" s="119">
        <v>0.16639999999999999</v>
      </c>
      <c r="U593" s="119">
        <f t="shared" si="63"/>
        <v>14526.72</v>
      </c>
      <c r="V593" s="25">
        <f t="shared" si="64"/>
        <v>854.51294117647058</v>
      </c>
      <c r="W593" s="15">
        <f t="shared" si="46"/>
        <v>0</v>
      </c>
      <c r="X593" s="15">
        <f t="shared" si="47"/>
        <v>0</v>
      </c>
      <c r="Y593" s="15">
        <f t="shared" si="48"/>
        <v>0</v>
      </c>
      <c r="Z593" s="13">
        <f t="shared" si="49"/>
        <v>0</v>
      </c>
      <c r="AA593" s="16">
        <f>VLOOKUP(S593,[1]CPI!$A$2:$D$67,4,0)</f>
        <v>1.1054585509138382</v>
      </c>
      <c r="AB593" s="17">
        <f t="shared" si="65"/>
        <v>16058.68684073107</v>
      </c>
      <c r="AC593" s="17">
        <f t="shared" si="66"/>
        <v>944.62863769006299</v>
      </c>
      <c r="AD593" s="118" t="s">
        <v>73</v>
      </c>
      <c r="AE593" s="122" t="s">
        <v>1143</v>
      </c>
      <c r="AF593" s="123"/>
      <c r="AG593" s="123"/>
      <c r="AH593" s="123"/>
      <c r="AI593" s="123"/>
      <c r="AJ593" s="124"/>
      <c r="AK593" s="124"/>
      <c r="AL593" s="124"/>
      <c r="AM593" s="124"/>
      <c r="AN593" s="124"/>
      <c r="AO593" s="124"/>
      <c r="AP593" s="124"/>
      <c r="AQ593" s="124"/>
    </row>
    <row r="594" spans="1:43" ht="15.75" customHeight="1" x14ac:dyDescent="0.2">
      <c r="A594" s="21">
        <v>9781</v>
      </c>
      <c r="B594" s="118" t="s">
        <v>1125</v>
      </c>
      <c r="C594" s="118" t="s">
        <v>1126</v>
      </c>
      <c r="D594" s="22"/>
      <c r="E594" s="118" t="s">
        <v>1144</v>
      </c>
      <c r="F594" s="119">
        <v>1975</v>
      </c>
      <c r="G594" s="119">
        <v>1980</v>
      </c>
      <c r="H594" s="119">
        <v>0</v>
      </c>
      <c r="I594" s="119">
        <v>15.6</v>
      </c>
      <c r="J594" s="120">
        <v>0.82099999999999995</v>
      </c>
      <c r="K594" s="119">
        <v>12.8</v>
      </c>
      <c r="L594" s="119">
        <v>2.8</v>
      </c>
      <c r="M594" s="119">
        <v>0</v>
      </c>
      <c r="N594" s="119">
        <v>15</v>
      </c>
      <c r="O594" s="118">
        <v>200</v>
      </c>
      <c r="P594" s="118" t="s">
        <v>35</v>
      </c>
      <c r="Q594" s="121">
        <v>5637</v>
      </c>
      <c r="R594" s="118" t="s">
        <v>1128</v>
      </c>
      <c r="S594" s="119">
        <v>1977</v>
      </c>
      <c r="T594" s="119">
        <v>0.91569999999999996</v>
      </c>
      <c r="U594" s="119">
        <f t="shared" si="63"/>
        <v>5161.8009000000002</v>
      </c>
      <c r="V594" s="25">
        <f t="shared" si="64"/>
        <v>330.88467307692309</v>
      </c>
      <c r="W594" s="15">
        <f t="shared" si="46"/>
        <v>0</v>
      </c>
      <c r="X594" s="15">
        <f t="shared" si="47"/>
        <v>0</v>
      </c>
      <c r="Y594" s="15">
        <f t="shared" si="48"/>
        <v>0</v>
      </c>
      <c r="Z594" s="13">
        <f t="shared" si="49"/>
        <v>0</v>
      </c>
      <c r="AA594" s="16">
        <f>VLOOKUP(S594,[1]CPI!$A$2:$D$67,4,0)</f>
        <v>4.4714521452145215</v>
      </c>
      <c r="AB594" s="17">
        <f t="shared" si="65"/>
        <v>23080.745707475249</v>
      </c>
      <c r="AC594" s="17">
        <f t="shared" si="66"/>
        <v>1479.5349812484135</v>
      </c>
      <c r="AD594" s="118" t="s">
        <v>35</v>
      </c>
      <c r="AE594" s="122" t="s">
        <v>1145</v>
      </c>
      <c r="AF594" s="123"/>
      <c r="AG594" s="123"/>
      <c r="AH594" s="123"/>
      <c r="AI594" s="123"/>
      <c r="AJ594" s="124"/>
      <c r="AK594" s="124"/>
      <c r="AL594" s="124"/>
      <c r="AM594" s="124"/>
      <c r="AN594" s="124"/>
      <c r="AO594" s="124"/>
      <c r="AP594" s="124"/>
      <c r="AQ594" s="124"/>
    </row>
    <row r="595" spans="1:43" ht="15.75" customHeight="1" x14ac:dyDescent="0.2">
      <c r="A595" s="21">
        <v>9782</v>
      </c>
      <c r="B595" s="118" t="s">
        <v>1125</v>
      </c>
      <c r="C595" s="118" t="s">
        <v>1126</v>
      </c>
      <c r="D595" s="22"/>
      <c r="E595" s="118" t="s">
        <v>1146</v>
      </c>
      <c r="F595" s="119">
        <v>1978</v>
      </c>
      <c r="G595" s="119">
        <v>1982</v>
      </c>
      <c r="H595" s="119">
        <v>0</v>
      </c>
      <c r="I595" s="119">
        <v>10.5</v>
      </c>
      <c r="J595" s="120">
        <v>0.8</v>
      </c>
      <c r="K595" s="119">
        <v>8.4</v>
      </c>
      <c r="L595" s="119">
        <v>2</v>
      </c>
      <c r="M595" s="119">
        <v>0.1</v>
      </c>
      <c r="N595" s="119">
        <v>10</v>
      </c>
      <c r="O595" s="118">
        <v>200</v>
      </c>
      <c r="P595" s="118" t="s">
        <v>35</v>
      </c>
      <c r="Q595" s="121">
        <v>3900</v>
      </c>
      <c r="R595" s="118" t="s">
        <v>1128</v>
      </c>
      <c r="S595" s="119">
        <v>1980</v>
      </c>
      <c r="T595" s="119">
        <v>0.62090000000000001</v>
      </c>
      <c r="U595" s="119">
        <f t="shared" si="63"/>
        <v>2421.5100000000002</v>
      </c>
      <c r="V595" s="25">
        <f t="shared" si="64"/>
        <v>230.62000000000003</v>
      </c>
      <c r="W595" s="15">
        <f t="shared" si="46"/>
        <v>0</v>
      </c>
      <c r="X595" s="15">
        <f t="shared" si="47"/>
        <v>0</v>
      </c>
      <c r="Y595" s="15">
        <f t="shared" si="48"/>
        <v>0</v>
      </c>
      <c r="Z595" s="13">
        <f t="shared" si="49"/>
        <v>0</v>
      </c>
      <c r="AA595" s="16">
        <f>VLOOKUP(S595,[1]CPI!$A$2:$D$67,4,0)</f>
        <v>3.2884708737864079</v>
      </c>
      <c r="AB595" s="17">
        <f t="shared" si="65"/>
        <v>7963.0651055825256</v>
      </c>
      <c r="AC595" s="17">
        <f t="shared" si="66"/>
        <v>758.38715291262145</v>
      </c>
      <c r="AD595" s="118" t="s">
        <v>35</v>
      </c>
      <c r="AE595" s="122" t="s">
        <v>1147</v>
      </c>
      <c r="AF595" s="123"/>
      <c r="AG595" s="123"/>
      <c r="AH595" s="123"/>
      <c r="AI595" s="123"/>
      <c r="AJ595" s="124"/>
      <c r="AK595" s="124"/>
      <c r="AL595" s="124"/>
      <c r="AM595" s="124"/>
      <c r="AN595" s="124"/>
      <c r="AO595" s="124"/>
      <c r="AP595" s="124"/>
      <c r="AQ595" s="124"/>
    </row>
    <row r="596" spans="1:43" ht="15.75" customHeight="1" x14ac:dyDescent="0.2">
      <c r="A596" s="21">
        <v>9783</v>
      </c>
      <c r="B596" s="118" t="s">
        <v>1125</v>
      </c>
      <c r="C596" s="118" t="s">
        <v>1126</v>
      </c>
      <c r="D596" s="22"/>
      <c r="E596" s="118" t="s">
        <v>1148</v>
      </c>
      <c r="F596" s="119">
        <v>1981</v>
      </c>
      <c r="G596" s="119">
        <v>1986</v>
      </c>
      <c r="H596" s="119">
        <v>0</v>
      </c>
      <c r="I596" s="119">
        <v>12.5</v>
      </c>
      <c r="J596" s="120">
        <v>0.84</v>
      </c>
      <c r="K596" s="119">
        <v>10.5</v>
      </c>
      <c r="L596" s="119">
        <v>2</v>
      </c>
      <c r="M596" s="119">
        <v>0</v>
      </c>
      <c r="N596" s="119">
        <v>14</v>
      </c>
      <c r="O596" s="118">
        <v>200</v>
      </c>
      <c r="P596" s="118" t="s">
        <v>35</v>
      </c>
      <c r="Q596" s="121">
        <v>8748</v>
      </c>
      <c r="R596" s="118" t="s">
        <v>1128</v>
      </c>
      <c r="S596" s="119">
        <v>1983</v>
      </c>
      <c r="T596" s="119">
        <v>0.49070000000000003</v>
      </c>
      <c r="U596" s="119">
        <f t="shared" si="63"/>
        <v>4292.6436000000003</v>
      </c>
      <c r="V596" s="25">
        <f t="shared" si="64"/>
        <v>343.41148800000002</v>
      </c>
      <c r="W596" s="15">
        <f t="shared" si="46"/>
        <v>0</v>
      </c>
      <c r="X596" s="15">
        <f t="shared" si="47"/>
        <v>0</v>
      </c>
      <c r="Y596" s="15">
        <f t="shared" si="48"/>
        <v>0</v>
      </c>
      <c r="Z596" s="13">
        <f t="shared" si="49"/>
        <v>0</v>
      </c>
      <c r="AA596" s="16">
        <f>VLOOKUP(S596,[1]CPI!$A$2:$D$67,4,0)</f>
        <v>2.7205823293172693</v>
      </c>
      <c r="AB596" s="17">
        <f t="shared" si="65"/>
        <v>11678.490324216869</v>
      </c>
      <c r="AC596" s="17">
        <f t="shared" si="66"/>
        <v>934.27922593734957</v>
      </c>
      <c r="AD596" s="118" t="s">
        <v>35</v>
      </c>
      <c r="AE596" s="122" t="s">
        <v>1149</v>
      </c>
      <c r="AF596" s="123"/>
      <c r="AG596" s="123"/>
      <c r="AH596" s="123"/>
      <c r="AI596" s="123"/>
      <c r="AJ596" s="124"/>
      <c r="AK596" s="124"/>
      <c r="AL596" s="124"/>
      <c r="AM596" s="124"/>
      <c r="AN596" s="124"/>
      <c r="AO596" s="124"/>
      <c r="AP596" s="124"/>
      <c r="AQ596" s="124"/>
    </row>
    <row r="597" spans="1:43" ht="15.75" customHeight="1" x14ac:dyDescent="0.2">
      <c r="A597" s="21">
        <v>9784</v>
      </c>
      <c r="B597" s="118" t="s">
        <v>1125</v>
      </c>
      <c r="C597" s="118" t="s">
        <v>1126</v>
      </c>
      <c r="D597" s="22"/>
      <c r="E597" s="118" t="s">
        <v>1150</v>
      </c>
      <c r="F597" s="119">
        <v>1986</v>
      </c>
      <c r="G597" s="119">
        <v>1989</v>
      </c>
      <c r="H597" s="119">
        <v>0</v>
      </c>
      <c r="I597" s="119">
        <v>4.5999999999999996</v>
      </c>
      <c r="J597" s="120">
        <v>1</v>
      </c>
      <c r="K597" s="119">
        <v>4.5999999999999996</v>
      </c>
      <c r="L597" s="119">
        <v>0</v>
      </c>
      <c r="M597" s="119">
        <v>0</v>
      </c>
      <c r="N597" s="119">
        <v>1</v>
      </c>
      <c r="O597" s="118">
        <v>200</v>
      </c>
      <c r="P597" s="118" t="s">
        <v>35</v>
      </c>
      <c r="Q597" s="121">
        <v>1254</v>
      </c>
      <c r="R597" s="118" t="s">
        <v>1128</v>
      </c>
      <c r="S597" s="119">
        <v>1987</v>
      </c>
      <c r="T597" s="119">
        <v>0.37680000000000002</v>
      </c>
      <c r="U597" s="119">
        <f t="shared" si="63"/>
        <v>472.50720000000001</v>
      </c>
      <c r="V597" s="25">
        <f t="shared" si="64"/>
        <v>102.71895652173914</v>
      </c>
      <c r="W597" s="15">
        <f t="shared" si="46"/>
        <v>0</v>
      </c>
      <c r="X597" s="15">
        <f t="shared" si="47"/>
        <v>0</v>
      </c>
      <c r="Y597" s="15">
        <f t="shared" si="48"/>
        <v>0</v>
      </c>
      <c r="Z597" s="13">
        <f t="shared" si="49"/>
        <v>0</v>
      </c>
      <c r="AA597" s="16">
        <f>VLOOKUP(S597,[1]CPI!$A$2:$D$67,4,0)</f>
        <v>2.3852992957746482</v>
      </c>
      <c r="AB597" s="17">
        <f t="shared" si="65"/>
        <v>1127.0710914084509</v>
      </c>
      <c r="AC597" s="17">
        <f t="shared" si="66"/>
        <v>245.01545465401108</v>
      </c>
      <c r="AD597" s="118" t="s">
        <v>35</v>
      </c>
      <c r="AE597" s="135" t="s">
        <v>1151</v>
      </c>
      <c r="AF597" s="123"/>
      <c r="AG597" s="123"/>
      <c r="AH597" s="123"/>
      <c r="AI597" s="123"/>
      <c r="AJ597" s="124"/>
      <c r="AK597" s="124"/>
      <c r="AL597" s="124"/>
      <c r="AM597" s="124"/>
      <c r="AN597" s="124"/>
      <c r="AO597" s="124"/>
      <c r="AP597" s="124"/>
      <c r="AQ597" s="124"/>
    </row>
    <row r="598" spans="1:43" ht="15.75" customHeight="1" x14ac:dyDescent="0.2">
      <c r="A598" s="21">
        <v>9785</v>
      </c>
      <c r="B598" s="16" t="s">
        <v>267</v>
      </c>
      <c r="C598" s="16" t="s">
        <v>350</v>
      </c>
      <c r="D598" s="22"/>
      <c r="E598" s="16" t="s">
        <v>1152</v>
      </c>
      <c r="F598" s="13">
        <v>2015</v>
      </c>
      <c r="G598" s="13">
        <v>2019</v>
      </c>
      <c r="H598" s="13">
        <v>0</v>
      </c>
      <c r="I598" s="13">
        <v>29.7</v>
      </c>
      <c r="J598" s="23">
        <v>0</v>
      </c>
      <c r="K598" s="13">
        <v>0</v>
      </c>
      <c r="L598" s="13">
        <v>0</v>
      </c>
      <c r="M598" s="13">
        <v>0</v>
      </c>
      <c r="N598" s="13">
        <v>21</v>
      </c>
      <c r="O598" s="16"/>
      <c r="P598" s="16" t="s">
        <v>73</v>
      </c>
      <c r="Q598" s="24">
        <v>42610</v>
      </c>
      <c r="R598" s="16" t="s">
        <v>270</v>
      </c>
      <c r="S598" s="13">
        <v>2017</v>
      </c>
      <c r="T598" s="13">
        <v>4.8000000000000001E-2</v>
      </c>
      <c r="U598" s="13">
        <f t="shared" si="63"/>
        <v>2045.28</v>
      </c>
      <c r="V598" s="25">
        <f t="shared" si="64"/>
        <v>68.864646464646469</v>
      </c>
      <c r="W598" s="15">
        <f t="shared" si="46"/>
        <v>0</v>
      </c>
      <c r="X598" s="15">
        <f t="shared" si="47"/>
        <v>0</v>
      </c>
      <c r="Y598" s="15">
        <f t="shared" si="48"/>
        <v>0</v>
      </c>
      <c r="Z598" s="13">
        <f t="shared" si="49"/>
        <v>0</v>
      </c>
      <c r="AA598" s="16">
        <f>VLOOKUP(S598,[1]CPI!$A$2:$D$67,4,0)</f>
        <v>1.1054585509138382</v>
      </c>
      <c r="AB598" s="17">
        <f t="shared" si="65"/>
        <v>2260.9722650130548</v>
      </c>
      <c r="AC598" s="17">
        <f t="shared" si="66"/>
        <v>76.127012290001858</v>
      </c>
      <c r="AD598" s="16" t="s">
        <v>43</v>
      </c>
      <c r="AE598" s="29" t="s">
        <v>1153</v>
      </c>
      <c r="AF598" s="19"/>
      <c r="AG598" s="19"/>
      <c r="AH598" s="19"/>
      <c r="AI598" s="19"/>
      <c r="AJ598" s="20"/>
      <c r="AK598" s="20"/>
      <c r="AL598" s="20"/>
      <c r="AM598" s="20"/>
      <c r="AN598" s="20"/>
      <c r="AO598" s="20"/>
      <c r="AP598" s="20"/>
      <c r="AQ598" s="20"/>
    </row>
    <row r="599" spans="1:43" ht="15.75" customHeight="1" x14ac:dyDescent="0.2">
      <c r="A599" s="21">
        <v>9786</v>
      </c>
      <c r="B599" s="16" t="s">
        <v>267</v>
      </c>
      <c r="C599" s="16" t="s">
        <v>1154</v>
      </c>
      <c r="D599" s="22"/>
      <c r="E599" s="16" t="s">
        <v>553</v>
      </c>
      <c r="F599" s="13">
        <v>2011</v>
      </c>
      <c r="G599" s="13">
        <v>2020</v>
      </c>
      <c r="H599" s="13">
        <v>0</v>
      </c>
      <c r="I599" s="13">
        <v>12.1</v>
      </c>
      <c r="J599" s="23">
        <v>0.23</v>
      </c>
      <c r="K599" s="13">
        <v>2.8</v>
      </c>
      <c r="L599" s="13">
        <v>0</v>
      </c>
      <c r="M599" s="13">
        <v>0</v>
      </c>
      <c r="N599" s="13">
        <v>11</v>
      </c>
      <c r="O599" s="16"/>
      <c r="P599" s="16" t="s">
        <v>35</v>
      </c>
      <c r="Q599" s="24">
        <v>31490</v>
      </c>
      <c r="R599" s="16" t="s">
        <v>270</v>
      </c>
      <c r="S599" s="13">
        <v>2011</v>
      </c>
      <c r="T599" s="13">
        <v>6.4000000000000001E-2</v>
      </c>
      <c r="U599" s="13">
        <f t="shared" si="63"/>
        <v>2015.3600000000001</v>
      </c>
      <c r="V599" s="25">
        <f t="shared" si="64"/>
        <v>166.55867768595044</v>
      </c>
      <c r="W599" s="15">
        <f t="shared" si="46"/>
        <v>0</v>
      </c>
      <c r="X599" s="15">
        <f t="shared" si="47"/>
        <v>0</v>
      </c>
      <c r="Y599" s="15">
        <f t="shared" si="48"/>
        <v>0</v>
      </c>
      <c r="Z599" s="13">
        <f t="shared" si="49"/>
        <v>0</v>
      </c>
      <c r="AA599" s="16">
        <f>VLOOKUP(S599,[1]CPI!$A$2:$D$67,4,0)</f>
        <v>1.2046377017769263</v>
      </c>
      <c r="AB599" s="17">
        <f t="shared" si="65"/>
        <v>2427.7786386531466</v>
      </c>
      <c r="AC599" s="17">
        <f t="shared" si="66"/>
        <v>200.64286269860716</v>
      </c>
      <c r="AD599" s="16" t="s">
        <v>35</v>
      </c>
      <c r="AE599" s="29" t="s">
        <v>1155</v>
      </c>
      <c r="AF599" s="19"/>
      <c r="AG599" s="19"/>
      <c r="AH599" s="19"/>
      <c r="AI599" s="19"/>
      <c r="AJ599" s="20"/>
      <c r="AK599" s="20"/>
      <c r="AL599" s="20"/>
      <c r="AM599" s="20"/>
      <c r="AN599" s="20"/>
      <c r="AO599" s="20"/>
      <c r="AP599" s="20"/>
      <c r="AQ599" s="20"/>
    </row>
    <row r="600" spans="1:43" ht="15.75" customHeight="1" x14ac:dyDescent="0.2">
      <c r="A600" s="21">
        <v>9787</v>
      </c>
      <c r="B600" s="16" t="s">
        <v>267</v>
      </c>
      <c r="C600" s="16" t="s">
        <v>1156</v>
      </c>
      <c r="D600" s="22"/>
      <c r="E600" s="16" t="s">
        <v>92</v>
      </c>
      <c r="F600" s="13">
        <v>2014</v>
      </c>
      <c r="G600" s="13">
        <v>2019</v>
      </c>
      <c r="H600" s="13">
        <v>0</v>
      </c>
      <c r="I600" s="13">
        <v>22.9</v>
      </c>
      <c r="J600" s="23">
        <v>0.15</v>
      </c>
      <c r="K600" s="13">
        <v>3.4</v>
      </c>
      <c r="L600" s="13">
        <v>0</v>
      </c>
      <c r="M600" s="13">
        <v>0</v>
      </c>
      <c r="N600" s="13">
        <v>22</v>
      </c>
      <c r="O600" s="16"/>
      <c r="P600" s="16" t="s">
        <v>35</v>
      </c>
      <c r="Q600" s="24">
        <v>69280</v>
      </c>
      <c r="R600" s="16" t="s">
        <v>270</v>
      </c>
      <c r="S600" s="13">
        <v>2016</v>
      </c>
      <c r="T600" s="13">
        <v>0.05</v>
      </c>
      <c r="U600" s="13">
        <f t="shared" si="63"/>
        <v>3464</v>
      </c>
      <c r="V600" s="25">
        <f t="shared" si="64"/>
        <v>151.26637554585153</v>
      </c>
      <c r="W600" s="15">
        <f t="shared" si="46"/>
        <v>0</v>
      </c>
      <c r="X600" s="15">
        <f t="shared" si="47"/>
        <v>0</v>
      </c>
      <c r="Y600" s="15">
        <f t="shared" si="48"/>
        <v>0</v>
      </c>
      <c r="Z600" s="13">
        <f t="shared" si="49"/>
        <v>0</v>
      </c>
      <c r="AA600" s="16">
        <f>VLOOKUP(S600,[1]CPI!$A$2:$D$67,4,0)</f>
        <v>1.1290087372451638</v>
      </c>
      <c r="AB600" s="17">
        <f t="shared" si="65"/>
        <v>3910.8862658172475</v>
      </c>
      <c r="AC600" s="17">
        <f t="shared" si="66"/>
        <v>170.78105964267456</v>
      </c>
      <c r="AD600" s="16" t="s">
        <v>35</v>
      </c>
      <c r="AE600" s="26" t="s">
        <v>1157</v>
      </c>
      <c r="AF600" s="19"/>
      <c r="AG600" s="19"/>
      <c r="AH600" s="19"/>
      <c r="AI600" s="19"/>
      <c r="AJ600" s="20"/>
      <c r="AK600" s="20"/>
      <c r="AL600" s="20"/>
      <c r="AM600" s="20"/>
      <c r="AN600" s="20"/>
      <c r="AO600" s="20"/>
      <c r="AP600" s="20"/>
      <c r="AQ600" s="20"/>
    </row>
    <row r="601" spans="1:43" ht="15.75" customHeight="1" x14ac:dyDescent="0.2">
      <c r="A601" s="21">
        <v>9788</v>
      </c>
      <c r="B601" s="16" t="s">
        <v>148</v>
      </c>
      <c r="C601" s="16" t="s">
        <v>1158</v>
      </c>
      <c r="D601" s="22"/>
      <c r="E601" s="16" t="s">
        <v>348</v>
      </c>
      <c r="F601" s="13">
        <v>2003</v>
      </c>
      <c r="G601" s="13">
        <v>2013</v>
      </c>
      <c r="H601" s="13">
        <v>0</v>
      </c>
      <c r="I601" s="13">
        <v>13.7</v>
      </c>
      <c r="J601" s="23">
        <v>0.71</v>
      </c>
      <c r="K601" s="13">
        <v>9.6999999999999993</v>
      </c>
      <c r="L601" s="13">
        <v>0</v>
      </c>
      <c r="M601" s="13">
        <v>0</v>
      </c>
      <c r="N601" s="13">
        <v>17</v>
      </c>
      <c r="O601" s="42">
        <v>40</v>
      </c>
      <c r="P601" s="16" t="s">
        <v>50</v>
      </c>
      <c r="Q601" s="24">
        <v>716</v>
      </c>
      <c r="R601" s="16" t="s">
        <v>36</v>
      </c>
      <c r="S601" s="13">
        <v>2008</v>
      </c>
      <c r="T601" s="13">
        <v>1.3</v>
      </c>
      <c r="U601" s="13">
        <f t="shared" si="63"/>
        <v>930.80000000000007</v>
      </c>
      <c r="V601" s="25">
        <f t="shared" si="64"/>
        <v>67.94160583941607</v>
      </c>
      <c r="W601" s="15">
        <f t="shared" si="46"/>
        <v>1</v>
      </c>
      <c r="X601" s="15">
        <f t="shared" si="47"/>
        <v>13.7</v>
      </c>
      <c r="Y601" s="15">
        <f t="shared" si="48"/>
        <v>9.6999999999999993</v>
      </c>
      <c r="Z601" s="13">
        <f t="shared" si="49"/>
        <v>0</v>
      </c>
      <c r="AA601" s="16">
        <f>VLOOKUP(S601,[1]CPI!$A$2:$D$67,4,0)</f>
        <v>1.2585519012740187</v>
      </c>
      <c r="AB601" s="17">
        <f t="shared" si="65"/>
        <v>1171.4601097058567</v>
      </c>
      <c r="AC601" s="17">
        <f t="shared" si="66"/>
        <v>85.508037204807067</v>
      </c>
      <c r="AD601" s="16" t="s">
        <v>43</v>
      </c>
      <c r="AE601" s="29" t="s">
        <v>1159</v>
      </c>
      <c r="AF601" s="19"/>
      <c r="AG601" s="19"/>
      <c r="AH601" s="19"/>
      <c r="AI601" s="19"/>
      <c r="AJ601" s="20"/>
      <c r="AK601" s="20"/>
      <c r="AL601" s="20"/>
      <c r="AM601" s="20"/>
      <c r="AN601" s="20"/>
      <c r="AO601" s="20"/>
      <c r="AP601" s="20"/>
      <c r="AQ601" s="20"/>
    </row>
    <row r="602" spans="1:43" ht="15.75" customHeight="1" x14ac:dyDescent="0.2">
      <c r="A602" s="21">
        <v>9789</v>
      </c>
      <c r="B602" s="118" t="s">
        <v>1125</v>
      </c>
      <c r="C602" s="118" t="s">
        <v>1126</v>
      </c>
      <c r="D602" s="22"/>
      <c r="E602" s="118" t="s">
        <v>1160</v>
      </c>
      <c r="F602" s="119"/>
      <c r="G602" s="119">
        <v>2005</v>
      </c>
      <c r="H602" s="119">
        <v>0</v>
      </c>
      <c r="I602" s="119">
        <v>1.3</v>
      </c>
      <c r="J602" s="120">
        <v>0</v>
      </c>
      <c r="K602" s="119">
        <v>0</v>
      </c>
      <c r="L602" s="119">
        <v>1.3</v>
      </c>
      <c r="M602" s="119">
        <v>0</v>
      </c>
      <c r="N602" s="119">
        <v>1</v>
      </c>
      <c r="O602" s="118">
        <v>200</v>
      </c>
      <c r="P602" s="118" t="s">
        <v>94</v>
      </c>
      <c r="Q602" s="121"/>
      <c r="R602" s="118" t="s">
        <v>1128</v>
      </c>
      <c r="S602" s="119">
        <v>2005</v>
      </c>
      <c r="T602" s="15">
        <v>0.184</v>
      </c>
      <c r="U602" s="69"/>
      <c r="V602" s="70"/>
      <c r="W602" s="15">
        <f t="shared" si="46"/>
        <v>0</v>
      </c>
      <c r="X602" s="15">
        <f t="shared" si="47"/>
        <v>0</v>
      </c>
      <c r="Y602" s="15">
        <f t="shared" si="48"/>
        <v>0</v>
      </c>
      <c r="Z602" s="13">
        <f t="shared" si="49"/>
        <v>0</v>
      </c>
      <c r="AA602" s="16">
        <f>VLOOKUP(S602,[1]CPI!$A$2:$D$67,4,0)</f>
        <v>1.3874551971326166</v>
      </c>
      <c r="AB602" s="17"/>
      <c r="AC602" s="17"/>
      <c r="AD602" s="118"/>
      <c r="AE602" s="136"/>
      <c r="AF602" s="123"/>
      <c r="AG602" s="123"/>
      <c r="AH602" s="123"/>
      <c r="AI602" s="123"/>
      <c r="AJ602" s="124"/>
      <c r="AK602" s="124"/>
      <c r="AL602" s="124"/>
      <c r="AM602" s="124"/>
      <c r="AN602" s="124"/>
      <c r="AO602" s="124"/>
      <c r="AP602" s="124"/>
      <c r="AQ602" s="124"/>
    </row>
    <row r="603" spans="1:43" ht="15.75" customHeight="1" x14ac:dyDescent="0.2">
      <c r="A603" s="21">
        <v>9790</v>
      </c>
      <c r="B603" s="118" t="s">
        <v>1125</v>
      </c>
      <c r="C603" s="118" t="s">
        <v>1126</v>
      </c>
      <c r="D603" s="22"/>
      <c r="E603" s="118" t="s">
        <v>1161</v>
      </c>
      <c r="F603" s="119"/>
      <c r="G603" s="119">
        <v>2009</v>
      </c>
      <c r="H603" s="119">
        <v>0</v>
      </c>
      <c r="I603" s="119">
        <v>1.8</v>
      </c>
      <c r="J603" s="120"/>
      <c r="K603" s="119"/>
      <c r="L603" s="119"/>
      <c r="M603" s="119"/>
      <c r="N603" s="119"/>
      <c r="O603" s="118"/>
      <c r="P603" s="118"/>
      <c r="Q603" s="121"/>
      <c r="R603" s="118"/>
      <c r="S603" s="119">
        <v>2009</v>
      </c>
      <c r="T603" s="15">
        <v>0.193</v>
      </c>
      <c r="U603" s="69"/>
      <c r="V603" s="70"/>
      <c r="W603" s="15">
        <f t="shared" si="46"/>
        <v>0</v>
      </c>
      <c r="X603" s="15">
        <f t="shared" si="47"/>
        <v>0</v>
      </c>
      <c r="Y603" s="15">
        <f t="shared" si="48"/>
        <v>0</v>
      </c>
      <c r="Z603" s="13">
        <f t="shared" si="49"/>
        <v>0</v>
      </c>
      <c r="AA603" s="16">
        <f>VLOOKUP(S603,[1]CPI!$A$2:$D$67,4,0)</f>
        <v>1.2630455352689747</v>
      </c>
      <c r="AB603" s="17"/>
      <c r="AC603" s="17"/>
      <c r="AD603" s="118"/>
      <c r="AE603" s="136"/>
      <c r="AF603" s="123"/>
      <c r="AG603" s="123"/>
      <c r="AH603" s="123"/>
      <c r="AI603" s="123"/>
      <c r="AJ603" s="124"/>
      <c r="AK603" s="124"/>
      <c r="AL603" s="124"/>
      <c r="AM603" s="124"/>
      <c r="AN603" s="124"/>
      <c r="AO603" s="124"/>
      <c r="AP603" s="124"/>
      <c r="AQ603" s="124"/>
    </row>
    <row r="604" spans="1:43" ht="15.75" customHeight="1" x14ac:dyDescent="0.2">
      <c r="A604" s="21">
        <v>9791</v>
      </c>
      <c r="B604" s="118" t="s">
        <v>1125</v>
      </c>
      <c r="C604" s="118" t="s">
        <v>1126</v>
      </c>
      <c r="D604" s="22"/>
      <c r="E604" s="118" t="s">
        <v>1162</v>
      </c>
      <c r="F604" s="119"/>
      <c r="G604" s="119">
        <v>2009</v>
      </c>
      <c r="H604" s="119">
        <v>1</v>
      </c>
      <c r="I604" s="119"/>
      <c r="J604" s="120"/>
      <c r="K604" s="119"/>
      <c r="L604" s="119"/>
      <c r="M604" s="119"/>
      <c r="N604" s="119"/>
      <c r="O604" s="118"/>
      <c r="P604" s="118"/>
      <c r="Q604" s="121"/>
      <c r="R604" s="118"/>
      <c r="S604" s="119"/>
      <c r="T604" s="119"/>
      <c r="U604" s="69"/>
      <c r="V604" s="70"/>
      <c r="W604" s="15">
        <f t="shared" si="46"/>
        <v>0</v>
      </c>
      <c r="X604" s="15">
        <f t="shared" si="47"/>
        <v>0</v>
      </c>
      <c r="Y604" s="15">
        <f t="shared" si="48"/>
        <v>0</v>
      </c>
      <c r="Z604" s="13">
        <f t="shared" si="49"/>
        <v>0</v>
      </c>
      <c r="AA604" s="16"/>
      <c r="AB604" s="17"/>
      <c r="AC604" s="17"/>
      <c r="AD604" s="118"/>
      <c r="AE604" s="136"/>
      <c r="AF604" s="123"/>
      <c r="AG604" s="123"/>
      <c r="AH604" s="123"/>
      <c r="AI604" s="123"/>
      <c r="AJ604" s="124"/>
      <c r="AK604" s="124"/>
      <c r="AL604" s="124"/>
      <c r="AM604" s="124"/>
      <c r="AN604" s="124"/>
      <c r="AO604" s="124"/>
      <c r="AP604" s="124"/>
      <c r="AQ604" s="124"/>
    </row>
    <row r="605" spans="1:43" ht="15.75" customHeight="1" x14ac:dyDescent="0.2">
      <c r="A605" s="137">
        <v>9793</v>
      </c>
      <c r="B605" s="42" t="s">
        <v>148</v>
      </c>
      <c r="C605" s="42" t="s">
        <v>1163</v>
      </c>
      <c r="D605" s="42" t="s">
        <v>92</v>
      </c>
      <c r="E605" s="42" t="s">
        <v>1164</v>
      </c>
      <c r="F605" s="44">
        <v>1999</v>
      </c>
      <c r="G605" s="44">
        <v>2021</v>
      </c>
      <c r="H605" s="44">
        <v>0</v>
      </c>
      <c r="I605" s="44">
        <v>4.3</v>
      </c>
      <c r="J605" s="45">
        <v>1</v>
      </c>
      <c r="K605" s="44">
        <v>4.3</v>
      </c>
      <c r="L605" s="44">
        <v>0</v>
      </c>
      <c r="M605" s="44">
        <v>0</v>
      </c>
      <c r="N605" s="44">
        <v>5</v>
      </c>
      <c r="O605" s="42">
        <v>110</v>
      </c>
      <c r="P605" s="42" t="s">
        <v>151</v>
      </c>
      <c r="Q605" s="43">
        <v>1748</v>
      </c>
      <c r="R605" s="42" t="s">
        <v>36</v>
      </c>
      <c r="S605" s="44">
        <v>2017</v>
      </c>
      <c r="T605" s="44">
        <v>1.3</v>
      </c>
      <c r="U605" s="44">
        <f t="shared" ref="U605:U657" si="69">Q605*T605</f>
        <v>2272.4</v>
      </c>
      <c r="V605" s="138">
        <f t="shared" ref="V605:V657" si="70">U605/I605</f>
        <v>528.46511627906978</v>
      </c>
      <c r="W605" s="15">
        <f t="shared" si="46"/>
        <v>1</v>
      </c>
      <c r="X605" s="15">
        <f t="shared" si="47"/>
        <v>4.3</v>
      </c>
      <c r="Y605" s="15">
        <f t="shared" si="48"/>
        <v>4.3</v>
      </c>
      <c r="Z605" s="13">
        <f t="shared" si="49"/>
        <v>0</v>
      </c>
      <c r="AA605" s="16">
        <f>VLOOKUP(S605,[1]CPI!$A$2:$D$67,4,0)</f>
        <v>1.1054585509138382</v>
      </c>
      <c r="AB605" s="17">
        <f t="shared" ref="AB605:AB657" si="71">U605*AA605</f>
        <v>2512.044011096606</v>
      </c>
      <c r="AC605" s="17">
        <f t="shared" ref="AC605:AC657" si="72">V605*AA605</f>
        <v>584.19628165037341</v>
      </c>
      <c r="AD605" s="42" t="s">
        <v>35</v>
      </c>
      <c r="AE605" s="29"/>
      <c r="AF605" s="19"/>
      <c r="AG605" s="19"/>
      <c r="AH605" s="19"/>
      <c r="AI605" s="19"/>
      <c r="AJ605" s="20"/>
      <c r="AK605" s="20"/>
      <c r="AL605" s="20"/>
      <c r="AM605" s="20"/>
      <c r="AN605" s="20"/>
      <c r="AO605" s="20"/>
      <c r="AP605" s="20"/>
      <c r="AQ605" s="20"/>
    </row>
    <row r="606" spans="1:43" ht="15.75" customHeight="1" x14ac:dyDescent="0.2">
      <c r="A606" s="21">
        <v>9794</v>
      </c>
      <c r="B606" s="16" t="s">
        <v>148</v>
      </c>
      <c r="C606" s="16" t="s">
        <v>1163</v>
      </c>
      <c r="D606" s="22" t="s">
        <v>92</v>
      </c>
      <c r="E606" s="16" t="s">
        <v>1165</v>
      </c>
      <c r="F606" s="13">
        <v>2014</v>
      </c>
      <c r="G606" s="13">
        <v>2024</v>
      </c>
      <c r="H606" s="13">
        <v>0</v>
      </c>
      <c r="I606" s="13">
        <v>3.5</v>
      </c>
      <c r="J606" s="23">
        <v>1</v>
      </c>
      <c r="K606" s="13">
        <v>3.5</v>
      </c>
      <c r="L606" s="13">
        <v>0</v>
      </c>
      <c r="M606" s="13">
        <v>0</v>
      </c>
      <c r="N606" s="13">
        <v>4</v>
      </c>
      <c r="O606" s="42">
        <v>110</v>
      </c>
      <c r="P606" s="42" t="s">
        <v>151</v>
      </c>
      <c r="Q606" s="43">
        <v>652</v>
      </c>
      <c r="R606" s="16" t="s">
        <v>36</v>
      </c>
      <c r="S606" s="13">
        <v>2019</v>
      </c>
      <c r="T606" s="13">
        <v>1.3</v>
      </c>
      <c r="U606" s="13">
        <f t="shared" si="69"/>
        <v>847.6</v>
      </c>
      <c r="V606" s="25">
        <f t="shared" si="70"/>
        <v>242.17142857142858</v>
      </c>
      <c r="W606" s="15">
        <f t="shared" si="46"/>
        <v>1</v>
      </c>
      <c r="X606" s="15">
        <f t="shared" si="47"/>
        <v>3.5</v>
      </c>
      <c r="Y606" s="15">
        <f t="shared" si="48"/>
        <v>3.5</v>
      </c>
      <c r="Z606" s="13">
        <f t="shared" si="49"/>
        <v>0</v>
      </c>
      <c r="AA606" s="16">
        <f>VLOOKUP(S606,[1]CPI!$A$2:$D$67,4,0)</f>
        <v>1.0598966584134211</v>
      </c>
      <c r="AB606" s="17">
        <f t="shared" si="71"/>
        <v>898.36840767121566</v>
      </c>
      <c r="AC606" s="17">
        <f t="shared" si="72"/>
        <v>256.67668790606166</v>
      </c>
      <c r="AD606" s="16" t="s">
        <v>35</v>
      </c>
      <c r="AE606" s="29" t="s">
        <v>1166</v>
      </c>
      <c r="AF606" s="19"/>
      <c r="AG606" s="19"/>
      <c r="AH606" s="19"/>
      <c r="AI606" s="19"/>
      <c r="AJ606" s="20"/>
      <c r="AK606" s="20"/>
      <c r="AL606" s="20"/>
      <c r="AM606" s="20"/>
      <c r="AN606" s="20"/>
      <c r="AO606" s="20"/>
      <c r="AP606" s="20"/>
      <c r="AQ606" s="20"/>
    </row>
    <row r="607" spans="1:43" ht="15.75" customHeight="1" x14ac:dyDescent="0.2">
      <c r="A607" s="21">
        <v>9795</v>
      </c>
      <c r="B607" s="16" t="s">
        <v>148</v>
      </c>
      <c r="C607" s="16" t="s">
        <v>1163</v>
      </c>
      <c r="D607" s="22" t="s">
        <v>92</v>
      </c>
      <c r="E607" s="16" t="s">
        <v>1167</v>
      </c>
      <c r="F607" s="13">
        <v>2002</v>
      </c>
      <c r="G607" s="13">
        <v>2021</v>
      </c>
      <c r="H607" s="13">
        <v>0</v>
      </c>
      <c r="I607" s="44">
        <v>3.3</v>
      </c>
      <c r="J607" s="23">
        <v>1</v>
      </c>
      <c r="K607" s="44">
        <v>3.3</v>
      </c>
      <c r="L607" s="13">
        <v>0</v>
      </c>
      <c r="M607" s="13">
        <v>0</v>
      </c>
      <c r="N607" s="44">
        <v>4</v>
      </c>
      <c r="O607" s="42">
        <v>80</v>
      </c>
      <c r="P607" s="42" t="s">
        <v>35</v>
      </c>
      <c r="Q607" s="43">
        <v>790</v>
      </c>
      <c r="R607" s="16" t="s">
        <v>36</v>
      </c>
      <c r="S607" s="13">
        <v>2011</v>
      </c>
      <c r="T607" s="13">
        <v>1.3</v>
      </c>
      <c r="U607" s="13">
        <f t="shared" si="69"/>
        <v>1027</v>
      </c>
      <c r="V607" s="25">
        <f t="shared" si="70"/>
        <v>311.21212121212125</v>
      </c>
      <c r="W607" s="15">
        <f t="shared" si="46"/>
        <v>1</v>
      </c>
      <c r="X607" s="15">
        <f t="shared" si="47"/>
        <v>3.3</v>
      </c>
      <c r="Y607" s="15">
        <f t="shared" si="48"/>
        <v>3.3</v>
      </c>
      <c r="Z607" s="13">
        <f t="shared" si="49"/>
        <v>0</v>
      </c>
      <c r="AA607" s="16">
        <f>VLOOKUP(S607,[1]CPI!$A$2:$D$67,4,0)</f>
        <v>1.2046377017769263</v>
      </c>
      <c r="AB607" s="17">
        <f t="shared" si="71"/>
        <v>1237.1629197249033</v>
      </c>
      <c r="AC607" s="17">
        <f t="shared" si="72"/>
        <v>374.89785446209197</v>
      </c>
      <c r="AD607" s="16" t="s">
        <v>35</v>
      </c>
      <c r="AE607" s="29" t="s">
        <v>1168</v>
      </c>
      <c r="AF607" s="19"/>
      <c r="AG607" s="19"/>
      <c r="AH607" s="19"/>
      <c r="AI607" s="19"/>
      <c r="AJ607" s="20"/>
      <c r="AK607" s="20"/>
      <c r="AL607" s="20"/>
      <c r="AM607" s="20"/>
      <c r="AN607" s="20"/>
      <c r="AO607" s="20"/>
      <c r="AP607" s="20"/>
      <c r="AQ607" s="20"/>
    </row>
    <row r="608" spans="1:43" ht="15.75" customHeight="1" x14ac:dyDescent="0.2">
      <c r="A608" s="21">
        <v>9796</v>
      </c>
      <c r="B608" s="16" t="s">
        <v>148</v>
      </c>
      <c r="C608" s="16" t="s">
        <v>149</v>
      </c>
      <c r="D608" s="22"/>
      <c r="E608" s="16" t="s">
        <v>1169</v>
      </c>
      <c r="F608" s="13">
        <v>2024</v>
      </c>
      <c r="G608" s="13">
        <v>2030</v>
      </c>
      <c r="H608" s="13">
        <v>0</v>
      </c>
      <c r="I608" s="44">
        <v>9.4</v>
      </c>
      <c r="J608" s="23">
        <v>1</v>
      </c>
      <c r="K608" s="44">
        <v>9.4</v>
      </c>
      <c r="L608" s="13">
        <v>0</v>
      </c>
      <c r="M608" s="13">
        <v>0</v>
      </c>
      <c r="N608" s="13">
        <v>13</v>
      </c>
      <c r="O608" s="42">
        <v>60</v>
      </c>
      <c r="P608" s="42" t="s">
        <v>1170</v>
      </c>
      <c r="Q608" s="43">
        <v>1828</v>
      </c>
      <c r="R608" s="16" t="s">
        <v>36</v>
      </c>
      <c r="S608" s="13">
        <v>2020</v>
      </c>
      <c r="T608" s="13">
        <v>1.3</v>
      </c>
      <c r="U608" s="13">
        <f t="shared" si="69"/>
        <v>2376.4</v>
      </c>
      <c r="V608" s="25">
        <f t="shared" si="70"/>
        <v>252.80851063829786</v>
      </c>
      <c r="W608" s="15">
        <f t="shared" si="46"/>
        <v>1</v>
      </c>
      <c r="X608" s="15">
        <f t="shared" si="47"/>
        <v>9.4</v>
      </c>
      <c r="Y608" s="15">
        <f t="shared" si="48"/>
        <v>9.4</v>
      </c>
      <c r="Z608" s="13">
        <f t="shared" si="49"/>
        <v>0</v>
      </c>
      <c r="AA608" s="16">
        <f>VLOOKUP(S608,[1]CPI!$A$2:$D$67,4,0)</f>
        <v>1.0469802288156225</v>
      </c>
      <c r="AB608" s="17">
        <f t="shared" si="71"/>
        <v>2488.0438157574454</v>
      </c>
      <c r="AC608" s="17">
        <f t="shared" si="72"/>
        <v>264.6855123146218</v>
      </c>
      <c r="AD608" s="42" t="s">
        <v>1170</v>
      </c>
      <c r="AE608" s="139" t="s">
        <v>1171</v>
      </c>
      <c r="AF608" s="19"/>
      <c r="AG608" s="19"/>
      <c r="AH608" s="19"/>
      <c r="AI608" s="19"/>
      <c r="AJ608" s="20"/>
      <c r="AK608" s="20"/>
      <c r="AL608" s="20"/>
      <c r="AM608" s="20"/>
      <c r="AN608" s="20"/>
      <c r="AO608" s="20"/>
      <c r="AP608" s="20"/>
      <c r="AQ608" s="20"/>
    </row>
    <row r="609" spans="1:43" ht="15.75" customHeight="1" x14ac:dyDescent="0.2">
      <c r="A609" s="21">
        <v>9801</v>
      </c>
      <c r="B609" s="16" t="s">
        <v>507</v>
      </c>
      <c r="C609" s="16" t="s">
        <v>508</v>
      </c>
      <c r="D609" s="22"/>
      <c r="E609" s="16" t="s">
        <v>1172</v>
      </c>
      <c r="F609" s="13">
        <v>2003</v>
      </c>
      <c r="G609" s="13">
        <v>2009</v>
      </c>
      <c r="H609" s="13">
        <v>1</v>
      </c>
      <c r="I609" s="13">
        <v>3.8</v>
      </c>
      <c r="J609" s="23">
        <v>1</v>
      </c>
      <c r="K609" s="13">
        <v>3.8</v>
      </c>
      <c r="L609" s="13">
        <v>0</v>
      </c>
      <c r="M609" s="13">
        <v>0</v>
      </c>
      <c r="N609" s="13">
        <v>3</v>
      </c>
      <c r="O609" s="16"/>
      <c r="P609" s="16" t="s">
        <v>50</v>
      </c>
      <c r="Q609" s="24">
        <v>127500</v>
      </c>
      <c r="R609" s="16" t="s">
        <v>510</v>
      </c>
      <c r="S609" s="13">
        <v>2006</v>
      </c>
      <c r="T609" s="13">
        <v>8.0000000000000002E-3</v>
      </c>
      <c r="U609" s="13">
        <f t="shared" si="69"/>
        <v>1020</v>
      </c>
      <c r="V609" s="25">
        <f t="shared" si="70"/>
        <v>268.42105263157896</v>
      </c>
      <c r="W609" s="15">
        <f t="shared" si="46"/>
        <v>0</v>
      </c>
      <c r="X609" s="15">
        <f t="shared" si="47"/>
        <v>0</v>
      </c>
      <c r="Y609" s="15">
        <f t="shared" si="48"/>
        <v>0</v>
      </c>
      <c r="Z609" s="13">
        <f t="shared" si="49"/>
        <v>0</v>
      </c>
      <c r="AA609" s="16">
        <f>VLOOKUP(S609,[1]CPI!$A$2:$D$67,4,0)</f>
        <v>1.3440972222222225</v>
      </c>
      <c r="AB609" s="17">
        <f t="shared" si="71"/>
        <v>1370.979166666667</v>
      </c>
      <c r="AC609" s="17">
        <f t="shared" si="72"/>
        <v>360.78399122807025</v>
      </c>
      <c r="AD609" s="16" t="s">
        <v>35</v>
      </c>
      <c r="AE609" s="29" t="s">
        <v>1173</v>
      </c>
      <c r="AF609" s="19"/>
      <c r="AG609" s="19"/>
      <c r="AH609" s="19"/>
      <c r="AI609" s="19"/>
      <c r="AJ609" s="20"/>
      <c r="AK609" s="20"/>
      <c r="AL609" s="20"/>
      <c r="AM609" s="20"/>
      <c r="AN609" s="20"/>
      <c r="AO609" s="20"/>
      <c r="AP609" s="20"/>
      <c r="AQ609" s="20"/>
    </row>
    <row r="610" spans="1:43" ht="15.75" customHeight="1" x14ac:dyDescent="0.2">
      <c r="A610" s="21">
        <v>9802</v>
      </c>
      <c r="B610" s="16" t="s">
        <v>1174</v>
      </c>
      <c r="C610" s="16" t="s">
        <v>1175</v>
      </c>
      <c r="D610" s="22"/>
      <c r="E610" s="16" t="s">
        <v>1176</v>
      </c>
      <c r="F610" s="13">
        <v>2021</v>
      </c>
      <c r="G610" s="13">
        <v>2026</v>
      </c>
      <c r="H610" s="13">
        <v>0</v>
      </c>
      <c r="I610" s="13">
        <v>22</v>
      </c>
      <c r="J610" s="23">
        <v>1</v>
      </c>
      <c r="K610" s="13">
        <v>22</v>
      </c>
      <c r="L610" s="13">
        <v>0</v>
      </c>
      <c r="M610" s="13">
        <v>0</v>
      </c>
      <c r="N610" s="13">
        <v>24</v>
      </c>
      <c r="O610" s="16"/>
      <c r="P610" s="16" t="s">
        <v>73</v>
      </c>
      <c r="Q610" s="24">
        <v>1800</v>
      </c>
      <c r="R610" s="16" t="s">
        <v>36</v>
      </c>
      <c r="S610" s="13">
        <v>2023</v>
      </c>
      <c r="T610" s="13">
        <v>3.05</v>
      </c>
      <c r="U610" s="13">
        <f t="shared" si="69"/>
        <v>5490</v>
      </c>
      <c r="V610" s="25">
        <f t="shared" si="70"/>
        <v>249.54545454545453</v>
      </c>
      <c r="W610" s="15">
        <f t="shared" si="46"/>
        <v>0</v>
      </c>
      <c r="X610" s="15">
        <f t="shared" si="47"/>
        <v>0</v>
      </c>
      <c r="Y610" s="15">
        <f t="shared" si="48"/>
        <v>0</v>
      </c>
      <c r="Z610" s="13">
        <f t="shared" si="49"/>
        <v>0</v>
      </c>
      <c r="AA610" s="16">
        <f>VLOOKUP(S610,[1]CPI!$A$2:$D$67,4,0)</f>
        <v>1</v>
      </c>
      <c r="AB610" s="17">
        <f t="shared" si="71"/>
        <v>5490</v>
      </c>
      <c r="AC610" s="17">
        <f t="shared" si="72"/>
        <v>249.54545454545453</v>
      </c>
      <c r="AD610" s="16" t="s">
        <v>73</v>
      </c>
      <c r="AE610" s="26" t="s">
        <v>1177</v>
      </c>
      <c r="AF610" s="19"/>
      <c r="AG610" s="19"/>
      <c r="AH610" s="19"/>
      <c r="AI610" s="19"/>
      <c r="AJ610" s="20"/>
      <c r="AK610" s="20"/>
      <c r="AL610" s="20"/>
      <c r="AM610" s="20"/>
      <c r="AN610" s="20"/>
      <c r="AO610" s="20"/>
      <c r="AP610" s="20"/>
      <c r="AQ610" s="20"/>
    </row>
    <row r="611" spans="1:43" ht="15.75" customHeight="1" x14ac:dyDescent="0.2">
      <c r="A611" s="21">
        <v>9803</v>
      </c>
      <c r="B611" s="16" t="s">
        <v>1174</v>
      </c>
      <c r="C611" s="16" t="s">
        <v>1175</v>
      </c>
      <c r="D611" s="22"/>
      <c r="E611" s="16" t="s">
        <v>1178</v>
      </c>
      <c r="F611" s="13">
        <v>2021</v>
      </c>
      <c r="G611" s="13">
        <v>2026</v>
      </c>
      <c r="H611" s="13">
        <v>0</v>
      </c>
      <c r="I611" s="13">
        <v>20</v>
      </c>
      <c r="J611" s="23">
        <v>1</v>
      </c>
      <c r="K611" s="13">
        <v>20</v>
      </c>
      <c r="L611" s="13">
        <v>0</v>
      </c>
      <c r="M611" s="13">
        <v>0</v>
      </c>
      <c r="N611" s="13">
        <v>21</v>
      </c>
      <c r="O611" s="16"/>
      <c r="P611" s="16" t="s">
        <v>73</v>
      </c>
      <c r="Q611" s="24">
        <v>2200</v>
      </c>
      <c r="R611" s="16" t="s">
        <v>36</v>
      </c>
      <c r="S611" s="13">
        <v>2023</v>
      </c>
      <c r="T611" s="13">
        <v>3.05</v>
      </c>
      <c r="U611" s="13">
        <f t="shared" si="69"/>
        <v>6710</v>
      </c>
      <c r="V611" s="25">
        <f t="shared" si="70"/>
        <v>335.5</v>
      </c>
      <c r="W611" s="15">
        <f t="shared" si="46"/>
        <v>0</v>
      </c>
      <c r="X611" s="15">
        <f t="shared" si="47"/>
        <v>0</v>
      </c>
      <c r="Y611" s="15">
        <f t="shared" si="48"/>
        <v>0</v>
      </c>
      <c r="Z611" s="13">
        <f t="shared" si="49"/>
        <v>0</v>
      </c>
      <c r="AA611" s="16">
        <f>VLOOKUP(S611,[1]CPI!$A$2:$D$67,4,0)</f>
        <v>1</v>
      </c>
      <c r="AB611" s="17">
        <f t="shared" si="71"/>
        <v>6710</v>
      </c>
      <c r="AC611" s="17">
        <f t="shared" si="72"/>
        <v>335.5</v>
      </c>
      <c r="AD611" s="16" t="s">
        <v>73</v>
      </c>
      <c r="AE611" s="26" t="s">
        <v>1177</v>
      </c>
      <c r="AF611" s="19"/>
      <c r="AG611" s="19"/>
      <c r="AH611" s="19"/>
      <c r="AI611" s="19"/>
      <c r="AJ611" s="20"/>
      <c r="AK611" s="20"/>
      <c r="AL611" s="20"/>
      <c r="AM611" s="20"/>
      <c r="AN611" s="20"/>
      <c r="AO611" s="20"/>
      <c r="AP611" s="20"/>
      <c r="AQ611" s="20"/>
    </row>
    <row r="612" spans="1:43" ht="15.75" customHeight="1" x14ac:dyDescent="0.2">
      <c r="A612" s="21">
        <v>9804</v>
      </c>
      <c r="B612" s="9" t="s">
        <v>163</v>
      </c>
      <c r="C612" s="9" t="s">
        <v>1179</v>
      </c>
      <c r="D612" s="9"/>
      <c r="E612" s="9" t="s">
        <v>1180</v>
      </c>
      <c r="F612" s="15">
        <v>2018</v>
      </c>
      <c r="G612" s="15">
        <v>2026</v>
      </c>
      <c r="H612" s="15">
        <v>1</v>
      </c>
      <c r="I612" s="15">
        <v>8</v>
      </c>
      <c r="J612" s="47">
        <v>0.75</v>
      </c>
      <c r="K612" s="110">
        <v>6</v>
      </c>
      <c r="L612" s="15">
        <v>0</v>
      </c>
      <c r="M612" s="15">
        <v>0</v>
      </c>
      <c r="N612" s="15">
        <v>3</v>
      </c>
      <c r="O612" s="9"/>
      <c r="P612" s="9" t="s">
        <v>35</v>
      </c>
      <c r="Q612" s="48">
        <v>20000</v>
      </c>
      <c r="R612" s="9" t="s">
        <v>166</v>
      </c>
      <c r="S612" s="15">
        <v>2009</v>
      </c>
      <c r="T612" s="15">
        <v>0.112</v>
      </c>
      <c r="U612" s="15">
        <f t="shared" si="69"/>
        <v>2240</v>
      </c>
      <c r="V612" s="25">
        <f t="shared" si="70"/>
        <v>280</v>
      </c>
      <c r="W612" s="15">
        <f t="shared" si="46"/>
        <v>1</v>
      </c>
      <c r="X612" s="15">
        <f t="shared" si="47"/>
        <v>8</v>
      </c>
      <c r="Y612" s="15">
        <f t="shared" si="48"/>
        <v>6</v>
      </c>
      <c r="Z612" s="13">
        <f t="shared" si="49"/>
        <v>0</v>
      </c>
      <c r="AA612" s="16">
        <f>VLOOKUP(S612,[1]CPI!$A$2:$D$67,4,0)</f>
        <v>1.2630455352689747</v>
      </c>
      <c r="AB612" s="17">
        <f t="shared" si="71"/>
        <v>2829.2219990025033</v>
      </c>
      <c r="AC612" s="17">
        <f t="shared" si="72"/>
        <v>353.65274987531291</v>
      </c>
      <c r="AD612" s="9" t="s">
        <v>35</v>
      </c>
      <c r="AE612" s="113" t="s">
        <v>1181</v>
      </c>
      <c r="AF612" s="19"/>
      <c r="AG612" s="19"/>
      <c r="AH612" s="19"/>
      <c r="AI612" s="19"/>
      <c r="AJ612" s="20"/>
      <c r="AK612" s="20"/>
      <c r="AL612" s="20"/>
      <c r="AM612" s="20"/>
      <c r="AN612" s="20"/>
      <c r="AO612" s="20"/>
      <c r="AP612" s="20"/>
      <c r="AQ612" s="20"/>
    </row>
    <row r="613" spans="1:43" ht="15.75" customHeight="1" x14ac:dyDescent="0.2">
      <c r="A613" s="21">
        <v>9809</v>
      </c>
      <c r="B613" s="16" t="s">
        <v>185</v>
      </c>
      <c r="C613" s="16" t="s">
        <v>186</v>
      </c>
      <c r="D613" s="22"/>
      <c r="E613" s="16" t="s">
        <v>1182</v>
      </c>
      <c r="F613" s="13">
        <v>1988</v>
      </c>
      <c r="G613" s="13">
        <v>2012</v>
      </c>
      <c r="H613" s="13">
        <v>0</v>
      </c>
      <c r="I613" s="13">
        <f>25.1+22.8+12.5+23.7+24.6-14.8</f>
        <v>93.90000000000002</v>
      </c>
      <c r="J613" s="23">
        <v>0.65</v>
      </c>
      <c r="K613" s="13">
        <f>0+3.9+12.5+23.7+24.6-3.8</f>
        <v>60.899999999999991</v>
      </c>
      <c r="L613" s="13">
        <v>0</v>
      </c>
      <c r="M613" s="13">
        <v>0</v>
      </c>
      <c r="N613" s="13">
        <f>24+21+13+24+22-12</f>
        <v>92</v>
      </c>
      <c r="O613" s="16"/>
      <c r="P613" s="16" t="s">
        <v>94</v>
      </c>
      <c r="Q613" s="24">
        <f>621000-63714</f>
        <v>557286</v>
      </c>
      <c r="R613" s="16" t="s">
        <v>188</v>
      </c>
      <c r="S613" s="13">
        <v>2000</v>
      </c>
      <c r="T613" s="13">
        <v>6.6400000000000001E-2</v>
      </c>
      <c r="U613" s="13">
        <f t="shared" si="69"/>
        <v>37003.790399999998</v>
      </c>
      <c r="V613" s="25">
        <f t="shared" si="70"/>
        <v>394.0765750798721</v>
      </c>
      <c r="W613" s="15">
        <f t="shared" si="46"/>
        <v>0</v>
      </c>
      <c r="X613" s="15">
        <f t="shared" si="47"/>
        <v>0</v>
      </c>
      <c r="Y613" s="15">
        <f t="shared" si="48"/>
        <v>0</v>
      </c>
      <c r="Z613" s="13">
        <f t="shared" si="49"/>
        <v>0</v>
      </c>
      <c r="AA613" s="16">
        <f>VLOOKUP(S613,[1]CPI!$A$2:$D$67,4,0)</f>
        <v>1.5735772357723581</v>
      </c>
      <c r="AB613" s="17">
        <f t="shared" si="71"/>
        <v>58228.32221073172</v>
      </c>
      <c r="AC613" s="17">
        <f t="shared" si="72"/>
        <v>620.10992769682332</v>
      </c>
      <c r="AD613" s="16" t="s">
        <v>73</v>
      </c>
      <c r="AE613" s="29" t="s">
        <v>600</v>
      </c>
      <c r="AF613" s="19"/>
      <c r="AG613" s="19"/>
      <c r="AH613" s="19"/>
      <c r="AI613" s="19"/>
      <c r="AJ613" s="20"/>
      <c r="AK613" s="20"/>
      <c r="AL613" s="20"/>
      <c r="AM613" s="20"/>
      <c r="AN613" s="20"/>
      <c r="AO613" s="20"/>
      <c r="AP613" s="20"/>
      <c r="AQ613" s="20"/>
    </row>
    <row r="614" spans="1:43" ht="15.75" customHeight="1" x14ac:dyDescent="0.2">
      <c r="A614" s="21">
        <v>9810</v>
      </c>
      <c r="B614" s="16" t="s">
        <v>185</v>
      </c>
      <c r="C614" s="16" t="s">
        <v>186</v>
      </c>
      <c r="D614" s="22"/>
      <c r="E614" s="16" t="s">
        <v>1183</v>
      </c>
      <c r="F614" s="13">
        <v>2002</v>
      </c>
      <c r="G614" s="13">
        <v>2009</v>
      </c>
      <c r="H614" s="13">
        <v>0</v>
      </c>
      <c r="I614" s="13">
        <v>14.8</v>
      </c>
      <c r="J614" s="23">
        <v>0.26</v>
      </c>
      <c r="K614" s="13">
        <v>3.8</v>
      </c>
      <c r="L614" s="13">
        <v>0</v>
      </c>
      <c r="M614" s="13">
        <v>0</v>
      </c>
      <c r="N614" s="13">
        <v>12</v>
      </c>
      <c r="O614" s="16"/>
      <c r="P614" s="16" t="s">
        <v>94</v>
      </c>
      <c r="Q614" s="24">
        <v>63714</v>
      </c>
      <c r="R614" s="16" t="s">
        <v>188</v>
      </c>
      <c r="S614" s="13">
        <v>2005</v>
      </c>
      <c r="T614" s="13">
        <v>6.6400000000000001E-2</v>
      </c>
      <c r="U614" s="13">
        <f t="shared" si="69"/>
        <v>4230.6095999999998</v>
      </c>
      <c r="V614" s="25">
        <f t="shared" si="70"/>
        <v>285.85199999999998</v>
      </c>
      <c r="W614" s="15">
        <f t="shared" si="46"/>
        <v>0</v>
      </c>
      <c r="X614" s="15">
        <f t="shared" si="47"/>
        <v>0</v>
      </c>
      <c r="Y614" s="15">
        <f t="shared" si="48"/>
        <v>0</v>
      </c>
      <c r="Z614" s="13">
        <f t="shared" si="49"/>
        <v>0</v>
      </c>
      <c r="AA614" s="16">
        <f>VLOOKUP(S614,[1]CPI!$A$2:$D$67,4,0)</f>
        <v>1.3874551971326166</v>
      </c>
      <c r="AB614" s="17">
        <f t="shared" si="71"/>
        <v>5869.7812765591398</v>
      </c>
      <c r="AC614" s="17">
        <f t="shared" si="72"/>
        <v>396.6068430107527</v>
      </c>
      <c r="AD614" s="16" t="s">
        <v>35</v>
      </c>
      <c r="AE614" s="29" t="s">
        <v>1184</v>
      </c>
      <c r="AF614" s="19"/>
      <c r="AG614" s="19"/>
      <c r="AH614" s="19"/>
      <c r="AI614" s="19"/>
      <c r="AJ614" s="20"/>
      <c r="AK614" s="20"/>
      <c r="AL614" s="20"/>
      <c r="AM614" s="20"/>
      <c r="AN614" s="20"/>
      <c r="AO614" s="20"/>
      <c r="AP614" s="20"/>
      <c r="AQ614" s="20"/>
    </row>
    <row r="615" spans="1:43" ht="15.75" customHeight="1" x14ac:dyDescent="0.2">
      <c r="A615" s="21">
        <v>9811</v>
      </c>
      <c r="B615" s="16" t="s">
        <v>185</v>
      </c>
      <c r="C615" s="16" t="s">
        <v>186</v>
      </c>
      <c r="D615" s="22" t="s">
        <v>1185</v>
      </c>
      <c r="E615" s="16" t="s">
        <v>1185</v>
      </c>
      <c r="F615" s="13">
        <v>2002</v>
      </c>
      <c r="G615" s="13">
        <v>2013</v>
      </c>
      <c r="H615" s="13">
        <v>0</v>
      </c>
      <c r="I615" s="13">
        <v>6.5</v>
      </c>
      <c r="J615" s="23">
        <v>1</v>
      </c>
      <c r="K615" s="13">
        <v>6.5</v>
      </c>
      <c r="L615" s="13">
        <v>0</v>
      </c>
      <c r="M615" s="13">
        <v>0</v>
      </c>
      <c r="N615" s="13">
        <v>7</v>
      </c>
      <c r="O615" s="16"/>
      <c r="P615" s="16" t="s">
        <v>43</v>
      </c>
      <c r="Q615" s="24">
        <v>39000</v>
      </c>
      <c r="R615" s="16" t="s">
        <v>188</v>
      </c>
      <c r="S615" s="13">
        <v>2007</v>
      </c>
      <c r="T615" s="13">
        <v>6.6400000000000001E-2</v>
      </c>
      <c r="U615" s="13">
        <f t="shared" si="69"/>
        <v>2589.6</v>
      </c>
      <c r="V615" s="25">
        <f t="shared" si="70"/>
        <v>398.4</v>
      </c>
      <c r="W615" s="15">
        <f t="shared" si="46"/>
        <v>0</v>
      </c>
      <c r="X615" s="15">
        <f t="shared" si="47"/>
        <v>0</v>
      </c>
      <c r="Y615" s="15">
        <f t="shared" si="48"/>
        <v>0</v>
      </c>
      <c r="Z615" s="13">
        <f t="shared" si="49"/>
        <v>0</v>
      </c>
      <c r="AA615" s="16">
        <f>VLOOKUP(S615,[1]CPI!$A$2:$D$67,4,0)</f>
        <v>1.3068746322500988</v>
      </c>
      <c r="AB615" s="17">
        <f t="shared" si="71"/>
        <v>3384.2825476748558</v>
      </c>
      <c r="AC615" s="17">
        <f t="shared" si="72"/>
        <v>520.65885348843938</v>
      </c>
      <c r="AD615" s="16" t="s">
        <v>43</v>
      </c>
      <c r="AE615" s="29" t="s">
        <v>1186</v>
      </c>
      <c r="AF615" s="19"/>
      <c r="AG615" s="19"/>
      <c r="AH615" s="19"/>
      <c r="AI615" s="19"/>
      <c r="AJ615" s="20"/>
      <c r="AK615" s="20"/>
      <c r="AL615" s="20"/>
      <c r="AM615" s="20"/>
      <c r="AN615" s="20"/>
      <c r="AO615" s="20"/>
      <c r="AP615" s="20"/>
      <c r="AQ615" s="20"/>
    </row>
    <row r="616" spans="1:43" ht="15.75" customHeight="1" x14ac:dyDescent="0.2">
      <c r="A616" s="21">
        <v>9812</v>
      </c>
      <c r="B616" s="16" t="s">
        <v>185</v>
      </c>
      <c r="C616" s="16" t="s">
        <v>186</v>
      </c>
      <c r="D616" s="22" t="s">
        <v>1185</v>
      </c>
      <c r="E616" s="16" t="s">
        <v>1187</v>
      </c>
      <c r="F616" s="13">
        <v>2016</v>
      </c>
      <c r="G616" s="13">
        <v>2022</v>
      </c>
      <c r="H616" s="13">
        <v>0</v>
      </c>
      <c r="I616" s="13">
        <v>1.4</v>
      </c>
      <c r="J616" s="23">
        <v>1</v>
      </c>
      <c r="K616" s="13">
        <v>1.4</v>
      </c>
      <c r="L616" s="13">
        <v>0</v>
      </c>
      <c r="M616" s="13">
        <v>0</v>
      </c>
      <c r="N616" s="13">
        <v>1</v>
      </c>
      <c r="O616" s="16"/>
      <c r="P616" s="16" t="s">
        <v>35</v>
      </c>
      <c r="Q616" s="24">
        <v>9000</v>
      </c>
      <c r="R616" s="16" t="s">
        <v>188</v>
      </c>
      <c r="S616" s="13">
        <v>2019</v>
      </c>
      <c r="T616" s="13">
        <v>6.6400000000000001E-2</v>
      </c>
      <c r="U616" s="13">
        <f t="shared" si="69"/>
        <v>597.6</v>
      </c>
      <c r="V616" s="25">
        <f t="shared" si="70"/>
        <v>426.85714285714289</v>
      </c>
      <c r="W616" s="15">
        <f t="shared" si="46"/>
        <v>0</v>
      </c>
      <c r="X616" s="15">
        <f t="shared" si="47"/>
        <v>0</v>
      </c>
      <c r="Y616" s="15">
        <f t="shared" si="48"/>
        <v>0</v>
      </c>
      <c r="Z616" s="13">
        <f t="shared" si="49"/>
        <v>0</v>
      </c>
      <c r="AA616" s="16">
        <f>VLOOKUP(S616,[1]CPI!$A$2:$D$67,4,0)</f>
        <v>1.0598966584134211</v>
      </c>
      <c r="AB616" s="17">
        <f t="shared" si="71"/>
        <v>633.39424306786043</v>
      </c>
      <c r="AC616" s="17">
        <f t="shared" si="72"/>
        <v>452.42445933418605</v>
      </c>
      <c r="AD616" s="16" t="s">
        <v>35</v>
      </c>
      <c r="AE616" s="29" t="s">
        <v>1188</v>
      </c>
      <c r="AF616" s="19"/>
      <c r="AG616" s="19"/>
      <c r="AH616" s="19"/>
      <c r="AI616" s="19"/>
      <c r="AJ616" s="20"/>
      <c r="AK616" s="20"/>
      <c r="AL616" s="20"/>
      <c r="AM616" s="20"/>
      <c r="AN616" s="20"/>
      <c r="AO616" s="20"/>
      <c r="AP616" s="20"/>
      <c r="AQ616" s="20"/>
    </row>
    <row r="617" spans="1:43" ht="15.75" customHeight="1" x14ac:dyDescent="0.2">
      <c r="A617" s="21">
        <v>9817</v>
      </c>
      <c r="B617" s="27" t="s">
        <v>63</v>
      </c>
      <c r="C617" s="27" t="s">
        <v>1189</v>
      </c>
      <c r="D617" s="9"/>
      <c r="E617" s="27" t="s">
        <v>1190</v>
      </c>
      <c r="F617" s="27">
        <v>2011</v>
      </c>
      <c r="G617" s="27">
        <v>2026</v>
      </c>
      <c r="H617" s="27">
        <v>0</v>
      </c>
      <c r="I617" s="27">
        <v>32</v>
      </c>
      <c r="J617" s="32">
        <v>0</v>
      </c>
      <c r="K617" s="27">
        <v>0</v>
      </c>
      <c r="L617" s="27">
        <v>0</v>
      </c>
      <c r="M617" s="27">
        <v>0</v>
      </c>
      <c r="N617" s="27">
        <v>21</v>
      </c>
      <c r="O617" s="27"/>
      <c r="P617" s="27" t="s">
        <v>73</v>
      </c>
      <c r="Q617" s="33">
        <v>11371</v>
      </c>
      <c r="R617" s="27" t="s">
        <v>66</v>
      </c>
      <c r="S617" s="27">
        <v>2018</v>
      </c>
      <c r="T617" s="27">
        <v>1</v>
      </c>
      <c r="U617" s="13">
        <f t="shared" si="69"/>
        <v>11371</v>
      </c>
      <c r="V617" s="25">
        <f t="shared" si="70"/>
        <v>355.34375</v>
      </c>
      <c r="W617" s="15">
        <f t="shared" si="46"/>
        <v>0</v>
      </c>
      <c r="X617" s="15">
        <f t="shared" si="47"/>
        <v>0</v>
      </c>
      <c r="Y617" s="15">
        <f t="shared" si="48"/>
        <v>0</v>
      </c>
      <c r="Z617" s="13">
        <f t="shared" si="49"/>
        <v>1</v>
      </c>
      <c r="AA617" s="16">
        <f>VLOOKUP(S617,[1]CPI!$A$2:$D$67,4,0)</f>
        <v>1.0791017375063221</v>
      </c>
      <c r="AB617" s="17">
        <f t="shared" si="71"/>
        <v>12270.465857184388</v>
      </c>
      <c r="AC617" s="17">
        <f t="shared" si="72"/>
        <v>383.45205803701214</v>
      </c>
      <c r="AD617" s="27" t="s">
        <v>43</v>
      </c>
      <c r="AE617" s="34" t="s">
        <v>1191</v>
      </c>
      <c r="AF617" s="9"/>
      <c r="AG617" s="9"/>
      <c r="AH617" s="9"/>
      <c r="AI617" s="9"/>
      <c r="AJ617" s="9"/>
      <c r="AK617" s="9"/>
      <c r="AL617" s="9"/>
      <c r="AM617" s="9"/>
      <c r="AN617" s="9"/>
      <c r="AO617" s="9"/>
      <c r="AP617" s="9"/>
      <c r="AQ617" s="9"/>
    </row>
    <row r="618" spans="1:43" ht="15.75" customHeight="1" x14ac:dyDescent="0.2">
      <c r="A618" s="21">
        <v>9818</v>
      </c>
      <c r="B618" s="27" t="s">
        <v>63</v>
      </c>
      <c r="C618" s="27" t="s">
        <v>68</v>
      </c>
      <c r="D618" s="9"/>
      <c r="E618" s="27" t="s">
        <v>1192</v>
      </c>
      <c r="F618" s="27">
        <v>2014</v>
      </c>
      <c r="G618" s="27">
        <v>2021</v>
      </c>
      <c r="H618" s="27">
        <v>0</v>
      </c>
      <c r="I618" s="27">
        <v>13.7</v>
      </c>
      <c r="J618" s="32">
        <v>0.34</v>
      </c>
      <c r="K618" s="27">
        <v>4.7</v>
      </c>
      <c r="L618" s="27">
        <v>0</v>
      </c>
      <c r="M618" s="27">
        <v>0</v>
      </c>
      <c r="N618" s="27">
        <v>9</v>
      </c>
      <c r="O618" s="27"/>
      <c r="P618" s="27" t="s">
        <v>50</v>
      </c>
      <c r="Q618" s="33">
        <v>2100</v>
      </c>
      <c r="R618" s="27" t="s">
        <v>66</v>
      </c>
      <c r="S618" s="27">
        <v>2017</v>
      </c>
      <c r="T618" s="27">
        <v>1</v>
      </c>
      <c r="U618" s="13">
        <f t="shared" si="69"/>
        <v>2100</v>
      </c>
      <c r="V618" s="25">
        <f t="shared" si="70"/>
        <v>153.28467153284672</v>
      </c>
      <c r="W618" s="15">
        <f t="shared" si="46"/>
        <v>0</v>
      </c>
      <c r="X618" s="15">
        <f t="shared" si="47"/>
        <v>0</v>
      </c>
      <c r="Y618" s="15">
        <f t="shared" si="48"/>
        <v>0</v>
      </c>
      <c r="Z618" s="13">
        <f t="shared" si="49"/>
        <v>1</v>
      </c>
      <c r="AA618" s="16">
        <f>VLOOKUP(S618,[1]CPI!$A$2:$D$67,4,0)</f>
        <v>1.1054585509138382</v>
      </c>
      <c r="AB618" s="17">
        <f t="shared" si="71"/>
        <v>2321.4629569190602</v>
      </c>
      <c r="AC618" s="17">
        <f t="shared" si="72"/>
        <v>169.44985087000438</v>
      </c>
      <c r="AD618" s="27" t="s">
        <v>43</v>
      </c>
      <c r="AE618" s="34" t="s">
        <v>1193</v>
      </c>
      <c r="AF618" s="9"/>
      <c r="AG618" s="9"/>
      <c r="AH618" s="9"/>
      <c r="AI618" s="9"/>
      <c r="AJ618" s="9"/>
      <c r="AK618" s="9"/>
      <c r="AL618" s="9"/>
      <c r="AM618" s="9"/>
      <c r="AN618" s="9"/>
      <c r="AO618" s="9"/>
      <c r="AP618" s="9"/>
      <c r="AQ618" s="9"/>
    </row>
    <row r="619" spans="1:43" ht="15.75" customHeight="1" x14ac:dyDescent="0.2">
      <c r="A619" s="21">
        <v>9819</v>
      </c>
      <c r="B619" s="16" t="s">
        <v>63</v>
      </c>
      <c r="C619" s="16" t="s">
        <v>1194</v>
      </c>
      <c r="D619" s="22"/>
      <c r="E619" s="16" t="s">
        <v>1195</v>
      </c>
      <c r="F619" s="13">
        <v>2009</v>
      </c>
      <c r="G619" s="13">
        <v>2012</v>
      </c>
      <c r="H619" s="13">
        <v>0</v>
      </c>
      <c r="I619" s="13">
        <v>3.9</v>
      </c>
      <c r="J619" s="23">
        <v>0</v>
      </c>
      <c r="K619" s="13">
        <v>0</v>
      </c>
      <c r="L619" s="13">
        <v>3.9</v>
      </c>
      <c r="M619" s="13">
        <v>0</v>
      </c>
      <c r="N619" s="13">
        <v>1</v>
      </c>
      <c r="O619" s="16"/>
      <c r="P619" s="16" t="s">
        <v>35</v>
      </c>
      <c r="Q619" s="24">
        <v>506</v>
      </c>
      <c r="R619" s="16" t="s">
        <v>66</v>
      </c>
      <c r="S619" s="13">
        <v>2010</v>
      </c>
      <c r="T619" s="13">
        <v>1</v>
      </c>
      <c r="U619" s="13">
        <f t="shared" si="69"/>
        <v>506</v>
      </c>
      <c r="V619" s="25">
        <f t="shared" si="70"/>
        <v>129.74358974358975</v>
      </c>
      <c r="W619" s="15">
        <f t="shared" si="46"/>
        <v>0</v>
      </c>
      <c r="X619" s="15">
        <f t="shared" si="47"/>
        <v>0</v>
      </c>
      <c r="Y619" s="15">
        <f t="shared" si="48"/>
        <v>0</v>
      </c>
      <c r="Z619" s="13">
        <f t="shared" si="49"/>
        <v>1</v>
      </c>
      <c r="AA619" s="16">
        <f>VLOOKUP(S619,[1]CPI!$A$2:$D$67,4,0)</f>
        <v>1.2426624353377114</v>
      </c>
      <c r="AB619" s="17">
        <f t="shared" si="71"/>
        <v>628.78719228088198</v>
      </c>
      <c r="AC619" s="17">
        <f t="shared" si="72"/>
        <v>161.22748520022614</v>
      </c>
      <c r="AD619" s="16" t="s">
        <v>35</v>
      </c>
      <c r="AE619" s="29" t="s">
        <v>1196</v>
      </c>
      <c r="AF619" s="31"/>
      <c r="AG619" s="31"/>
      <c r="AH619" s="31"/>
      <c r="AI619" s="31"/>
      <c r="AJ619" s="31"/>
      <c r="AK619" s="31"/>
      <c r="AL619" s="31"/>
      <c r="AM619" s="9"/>
      <c r="AN619" s="9"/>
      <c r="AO619" s="9"/>
      <c r="AP619" s="9"/>
      <c r="AQ619" s="9"/>
    </row>
    <row r="620" spans="1:43" ht="15.75" customHeight="1" x14ac:dyDescent="0.2">
      <c r="A620" s="21">
        <v>9820</v>
      </c>
      <c r="B620" s="16" t="s">
        <v>63</v>
      </c>
      <c r="C620" s="16" t="s">
        <v>64</v>
      </c>
      <c r="D620" s="22"/>
      <c r="E620" s="16" t="s">
        <v>1197</v>
      </c>
      <c r="F620" s="13">
        <v>2026</v>
      </c>
      <c r="G620" s="13">
        <v>2036</v>
      </c>
      <c r="H620" s="13">
        <v>0</v>
      </c>
      <c r="I620" s="13">
        <v>19</v>
      </c>
      <c r="J620" s="23">
        <v>0.32</v>
      </c>
      <c r="K620" s="13">
        <v>6</v>
      </c>
      <c r="L620" s="13">
        <v>0</v>
      </c>
      <c r="M620" s="13">
        <v>0</v>
      </c>
      <c r="N620" s="13">
        <v>13</v>
      </c>
      <c r="O620" s="16"/>
      <c r="P620" s="16" t="s">
        <v>35</v>
      </c>
      <c r="Q620" s="24">
        <v>12341</v>
      </c>
      <c r="R620" s="16" t="s">
        <v>66</v>
      </c>
      <c r="S620" s="13">
        <v>2020</v>
      </c>
      <c r="T620" s="13">
        <v>1</v>
      </c>
      <c r="U620" s="13">
        <f t="shared" si="69"/>
        <v>12341</v>
      </c>
      <c r="V620" s="25">
        <f t="shared" si="70"/>
        <v>649.52631578947364</v>
      </c>
      <c r="W620" s="15">
        <f t="shared" si="46"/>
        <v>0</v>
      </c>
      <c r="X620" s="15">
        <f t="shared" si="47"/>
        <v>0</v>
      </c>
      <c r="Y620" s="15">
        <f t="shared" si="48"/>
        <v>0</v>
      </c>
      <c r="Z620" s="13">
        <f t="shared" si="49"/>
        <v>1</v>
      </c>
      <c r="AA620" s="16">
        <f>VLOOKUP(S620,[1]CPI!$A$2:$D$67,4,0)</f>
        <v>1.0469802288156225</v>
      </c>
      <c r="AB620" s="17">
        <f t="shared" si="71"/>
        <v>12920.783003813596</v>
      </c>
      <c r="AC620" s="17">
        <f t="shared" si="72"/>
        <v>680.0412107270314</v>
      </c>
      <c r="AD620" s="16" t="s">
        <v>35</v>
      </c>
      <c r="AE620" s="29" t="s">
        <v>1198</v>
      </c>
      <c r="AF620" s="9"/>
      <c r="AG620" s="9"/>
      <c r="AH620" s="9"/>
      <c r="AI620" s="9"/>
      <c r="AJ620" s="30"/>
      <c r="AK620" s="30"/>
      <c r="AL620" s="30"/>
      <c r="AM620" s="9"/>
      <c r="AN620" s="9"/>
      <c r="AO620" s="9"/>
      <c r="AP620" s="9"/>
      <c r="AQ620" s="9"/>
    </row>
    <row r="621" spans="1:43" ht="15.75" customHeight="1" x14ac:dyDescent="0.2">
      <c r="A621" s="21">
        <v>9825</v>
      </c>
      <c r="B621" s="16" t="s">
        <v>63</v>
      </c>
      <c r="C621" s="16" t="s">
        <v>1199</v>
      </c>
      <c r="D621" s="22" t="s">
        <v>1200</v>
      </c>
      <c r="E621" s="16" t="s">
        <v>1201</v>
      </c>
      <c r="F621" s="13">
        <v>2009</v>
      </c>
      <c r="G621" s="13">
        <v>2014</v>
      </c>
      <c r="H621" s="13">
        <v>0</v>
      </c>
      <c r="I621" s="13">
        <v>18.8</v>
      </c>
      <c r="J621" s="23">
        <v>0.04</v>
      </c>
      <c r="K621" s="13">
        <v>0.7</v>
      </c>
      <c r="L621" s="13">
        <v>0</v>
      </c>
      <c r="M621" s="13">
        <v>0</v>
      </c>
      <c r="N621" s="13">
        <v>5</v>
      </c>
      <c r="O621" s="16"/>
      <c r="P621" s="16" t="s">
        <v>94</v>
      </c>
      <c r="Q621" s="24">
        <v>2982</v>
      </c>
      <c r="R621" s="16" t="s">
        <v>66</v>
      </c>
      <c r="S621" s="13">
        <v>2011</v>
      </c>
      <c r="T621" s="13">
        <v>1</v>
      </c>
      <c r="U621" s="13">
        <f t="shared" si="69"/>
        <v>2982</v>
      </c>
      <c r="V621" s="25">
        <f t="shared" si="70"/>
        <v>158.61702127659575</v>
      </c>
      <c r="W621" s="15">
        <f t="shared" si="46"/>
        <v>0</v>
      </c>
      <c r="X621" s="15">
        <f t="shared" si="47"/>
        <v>0</v>
      </c>
      <c r="Y621" s="15">
        <f t="shared" si="48"/>
        <v>0</v>
      </c>
      <c r="Z621" s="13">
        <f t="shared" si="49"/>
        <v>1</v>
      </c>
      <c r="AA621" s="16">
        <f>VLOOKUP(S621,[1]CPI!$A$2:$D$67,4,0)</f>
        <v>1.2046377017769263</v>
      </c>
      <c r="AB621" s="17">
        <f t="shared" si="71"/>
        <v>3592.2296266987942</v>
      </c>
      <c r="AC621" s="17">
        <f t="shared" si="72"/>
        <v>191.07604397334012</v>
      </c>
      <c r="AD621" s="16" t="s">
        <v>35</v>
      </c>
      <c r="AE621" s="26" t="s">
        <v>1202</v>
      </c>
      <c r="AF621" s="9"/>
      <c r="AG621" s="9"/>
      <c r="AH621" s="9"/>
      <c r="AI621" s="9"/>
      <c r="AJ621" s="30"/>
      <c r="AK621" s="30"/>
      <c r="AL621" s="30"/>
      <c r="AM621" s="9"/>
      <c r="AN621" s="9"/>
      <c r="AO621" s="9"/>
      <c r="AP621" s="9"/>
      <c r="AQ621" s="9"/>
    </row>
    <row r="622" spans="1:43" ht="15.75" customHeight="1" x14ac:dyDescent="0.2">
      <c r="A622" s="21">
        <v>9826</v>
      </c>
      <c r="B622" s="16" t="s">
        <v>63</v>
      </c>
      <c r="C622" s="16" t="s">
        <v>1199</v>
      </c>
      <c r="D622" s="22" t="s">
        <v>1200</v>
      </c>
      <c r="E622" s="16" t="s">
        <v>1203</v>
      </c>
      <c r="F622" s="13">
        <v>2013</v>
      </c>
      <c r="G622" s="13">
        <v>2022</v>
      </c>
      <c r="H622" s="13">
        <v>0</v>
      </c>
      <c r="I622" s="13">
        <v>18.3</v>
      </c>
      <c r="J622" s="23">
        <v>0</v>
      </c>
      <c r="K622" s="13">
        <v>0</v>
      </c>
      <c r="L622" s="13">
        <v>0</v>
      </c>
      <c r="M622" s="13">
        <v>0</v>
      </c>
      <c r="N622" s="13">
        <v>6</v>
      </c>
      <c r="O622" s="16"/>
      <c r="P622" s="16" t="s">
        <v>35</v>
      </c>
      <c r="Q622" s="24">
        <v>3050</v>
      </c>
      <c r="R622" s="16" t="s">
        <v>66</v>
      </c>
      <c r="S622" s="13">
        <v>2017</v>
      </c>
      <c r="T622" s="13">
        <v>1</v>
      </c>
      <c r="U622" s="13">
        <f t="shared" si="69"/>
        <v>3050</v>
      </c>
      <c r="V622" s="25">
        <f t="shared" si="70"/>
        <v>166.66666666666666</v>
      </c>
      <c r="W622" s="15">
        <f t="shared" si="46"/>
        <v>0</v>
      </c>
      <c r="X622" s="15">
        <f t="shared" si="47"/>
        <v>0</v>
      </c>
      <c r="Y622" s="15">
        <f t="shared" si="48"/>
        <v>0</v>
      </c>
      <c r="Z622" s="13">
        <f t="shared" si="49"/>
        <v>1</v>
      </c>
      <c r="AA622" s="16">
        <f>VLOOKUP(S622,[1]CPI!$A$2:$D$67,4,0)</f>
        <v>1.1054585509138382</v>
      </c>
      <c r="AB622" s="17">
        <f t="shared" si="71"/>
        <v>3371.6485802872062</v>
      </c>
      <c r="AC622" s="17">
        <f t="shared" si="72"/>
        <v>184.24309181897303</v>
      </c>
      <c r="AD622" s="16" t="s">
        <v>35</v>
      </c>
      <c r="AE622" s="26" t="s">
        <v>1204</v>
      </c>
      <c r="AF622" s="9"/>
      <c r="AG622" s="9"/>
      <c r="AH622" s="9"/>
      <c r="AI622" s="9"/>
      <c r="AJ622" s="30"/>
      <c r="AK622" s="30"/>
      <c r="AL622" s="30"/>
      <c r="AM622" s="9"/>
      <c r="AN622" s="9"/>
      <c r="AO622" s="9"/>
      <c r="AP622" s="9"/>
      <c r="AQ622" s="9"/>
    </row>
    <row r="623" spans="1:43" ht="15.75" customHeight="1" x14ac:dyDescent="0.2">
      <c r="A623" s="21">
        <v>9827</v>
      </c>
      <c r="B623" s="16" t="s">
        <v>31</v>
      </c>
      <c r="C623" s="16" t="s">
        <v>1205</v>
      </c>
      <c r="D623" s="22"/>
      <c r="E623" s="16" t="s">
        <v>1206</v>
      </c>
      <c r="F623" s="13">
        <v>1996</v>
      </c>
      <c r="G623" s="13">
        <v>2010</v>
      </c>
      <c r="H623" s="13">
        <v>0</v>
      </c>
      <c r="I623" s="13">
        <v>13.9</v>
      </c>
      <c r="J623" s="23">
        <v>0.25</v>
      </c>
      <c r="K623" s="13">
        <v>3.5</v>
      </c>
      <c r="L623" s="13">
        <v>0</v>
      </c>
      <c r="M623" s="13">
        <v>0</v>
      </c>
      <c r="N623" s="13">
        <v>13</v>
      </c>
      <c r="O623" s="16"/>
      <c r="P623" s="16" t="s">
        <v>50</v>
      </c>
      <c r="Q623" s="24">
        <v>534</v>
      </c>
      <c r="R623" s="16" t="s">
        <v>66</v>
      </c>
      <c r="S623" s="13">
        <v>2006</v>
      </c>
      <c r="T623" s="13">
        <v>2</v>
      </c>
      <c r="U623" s="13">
        <f t="shared" si="69"/>
        <v>1068</v>
      </c>
      <c r="V623" s="25">
        <f t="shared" si="70"/>
        <v>76.834532374100718</v>
      </c>
      <c r="W623" s="15">
        <f t="shared" si="46"/>
        <v>1</v>
      </c>
      <c r="X623" s="15">
        <f t="shared" si="47"/>
        <v>13.9</v>
      </c>
      <c r="Y623" s="15">
        <f t="shared" si="48"/>
        <v>3.5</v>
      </c>
      <c r="Z623" s="13">
        <f t="shared" si="49"/>
        <v>0</v>
      </c>
      <c r="AA623" s="16">
        <f>VLOOKUP(S623,[1]CPI!$A$2:$D$67,4,0)</f>
        <v>1.3440972222222225</v>
      </c>
      <c r="AB623" s="17">
        <f t="shared" si="71"/>
        <v>1435.4958333333336</v>
      </c>
      <c r="AC623" s="17">
        <f t="shared" si="72"/>
        <v>103.2730815347722</v>
      </c>
      <c r="AD623" s="16" t="s">
        <v>43</v>
      </c>
      <c r="AE623" s="26" t="s">
        <v>1207</v>
      </c>
      <c r="AF623" s="19"/>
      <c r="AG623" s="19"/>
      <c r="AH623" s="19"/>
      <c r="AI623" s="19"/>
      <c r="AJ623" s="20"/>
      <c r="AK623" s="20"/>
      <c r="AL623" s="20"/>
      <c r="AM623" s="20"/>
      <c r="AN623" s="20"/>
      <c r="AO623" s="20"/>
      <c r="AP623" s="20"/>
      <c r="AQ623" s="20"/>
    </row>
    <row r="624" spans="1:43" ht="15.75" customHeight="1" x14ac:dyDescent="0.2">
      <c r="A624" s="7">
        <v>9828</v>
      </c>
      <c r="B624" s="57" t="s">
        <v>31</v>
      </c>
      <c r="C624" s="57" t="s">
        <v>32</v>
      </c>
      <c r="D624" s="9"/>
      <c r="E624" s="57" t="s">
        <v>1208</v>
      </c>
      <c r="F624" s="58">
        <v>2013</v>
      </c>
      <c r="G624" s="58">
        <v>2015</v>
      </c>
      <c r="H624" s="58">
        <v>0</v>
      </c>
      <c r="I624" s="58">
        <v>3.3</v>
      </c>
      <c r="J624" s="59">
        <f t="shared" ref="J624:J629" si="73">K624/I624</f>
        <v>1</v>
      </c>
      <c r="K624" s="58">
        <v>3.3</v>
      </c>
      <c r="L624" s="58">
        <v>0</v>
      </c>
      <c r="M624" s="58">
        <v>0</v>
      </c>
      <c r="N624" s="58">
        <v>4</v>
      </c>
      <c r="O624" s="57">
        <v>90</v>
      </c>
      <c r="P624" s="57" t="s">
        <v>35</v>
      </c>
      <c r="Q624" s="88">
        <v>124.6</v>
      </c>
      <c r="R624" s="57" t="s">
        <v>66</v>
      </c>
      <c r="S624" s="58">
        <v>2014</v>
      </c>
      <c r="T624" s="58">
        <v>2</v>
      </c>
      <c r="U624" s="58">
        <f t="shared" si="69"/>
        <v>249.2</v>
      </c>
      <c r="V624" s="14">
        <f t="shared" si="70"/>
        <v>75.515151515151516</v>
      </c>
      <c r="W624" s="15">
        <f t="shared" si="46"/>
        <v>1</v>
      </c>
      <c r="X624" s="15">
        <f t="shared" si="47"/>
        <v>3.3</v>
      </c>
      <c r="Y624" s="15">
        <f t="shared" si="48"/>
        <v>3.3</v>
      </c>
      <c r="Z624" s="13">
        <f t="shared" si="49"/>
        <v>0</v>
      </c>
      <c r="AA624" s="16">
        <f>VLOOKUP(S624,[1]CPI!$A$2:$D$67,4,0)</f>
        <v>1.1446083400919169</v>
      </c>
      <c r="AB624" s="17">
        <f t="shared" si="71"/>
        <v>285.23639835090569</v>
      </c>
      <c r="AC624" s="17">
        <f t="shared" si="72"/>
        <v>86.435272227547188</v>
      </c>
      <c r="AD624" s="16" t="s">
        <v>35</v>
      </c>
      <c r="AE624" s="18" t="s">
        <v>1209</v>
      </c>
      <c r="AF624" s="19"/>
      <c r="AG624" s="19"/>
      <c r="AH624" s="19"/>
      <c r="AI624" s="19"/>
      <c r="AJ624" s="20"/>
      <c r="AK624" s="20"/>
      <c r="AL624" s="20"/>
      <c r="AM624" s="20"/>
      <c r="AN624" s="20"/>
      <c r="AO624" s="20"/>
      <c r="AP624" s="20"/>
      <c r="AQ624" s="20"/>
    </row>
    <row r="625" spans="1:43" ht="15.75" customHeight="1" x14ac:dyDescent="0.2">
      <c r="A625" s="7">
        <v>9833</v>
      </c>
      <c r="B625" s="57" t="s">
        <v>31</v>
      </c>
      <c r="C625" s="57" t="s">
        <v>32</v>
      </c>
      <c r="D625" s="9" t="s">
        <v>645</v>
      </c>
      <c r="E625" s="57" t="s">
        <v>1210</v>
      </c>
      <c r="F625" s="58">
        <v>2017</v>
      </c>
      <c r="G625" s="58">
        <v>2022</v>
      </c>
      <c r="H625" s="58">
        <v>0</v>
      </c>
      <c r="I625" s="58">
        <v>6.2</v>
      </c>
      <c r="J625" s="59">
        <f t="shared" si="73"/>
        <v>1</v>
      </c>
      <c r="K625" s="58">
        <v>6.2</v>
      </c>
      <c r="L625" s="58">
        <v>0</v>
      </c>
      <c r="M625" s="58">
        <v>0</v>
      </c>
      <c r="N625" s="58">
        <v>4</v>
      </c>
      <c r="O625" s="8">
        <v>180</v>
      </c>
      <c r="P625" s="57" t="s">
        <v>35</v>
      </c>
      <c r="Q625" s="88">
        <v>205.9</v>
      </c>
      <c r="R625" s="57" t="s">
        <v>66</v>
      </c>
      <c r="S625" s="58">
        <v>2020</v>
      </c>
      <c r="T625" s="58">
        <v>3.3</v>
      </c>
      <c r="U625" s="58">
        <f t="shared" si="69"/>
        <v>679.47</v>
      </c>
      <c r="V625" s="14">
        <f t="shared" si="70"/>
        <v>109.59193548387097</v>
      </c>
      <c r="W625" s="15">
        <f t="shared" si="46"/>
        <v>1</v>
      </c>
      <c r="X625" s="15">
        <f t="shared" si="47"/>
        <v>6.2</v>
      </c>
      <c r="Y625" s="15">
        <f t="shared" si="48"/>
        <v>6.2</v>
      </c>
      <c r="Z625" s="13">
        <f t="shared" si="49"/>
        <v>0</v>
      </c>
      <c r="AA625" s="16">
        <f>VLOOKUP(S625,[1]CPI!$A$2:$D$67,4,0)</f>
        <v>1.0469802288156225</v>
      </c>
      <c r="AB625" s="17">
        <f t="shared" si="71"/>
        <v>711.39165607335099</v>
      </c>
      <c r="AC625" s="17">
        <f t="shared" si="72"/>
        <v>114.74058968925016</v>
      </c>
      <c r="AD625" s="16" t="s">
        <v>35</v>
      </c>
      <c r="AE625" s="18" t="s">
        <v>1211</v>
      </c>
      <c r="AF625" s="19"/>
      <c r="AG625" s="19"/>
      <c r="AH625" s="19"/>
      <c r="AI625" s="19"/>
      <c r="AJ625" s="20"/>
      <c r="AK625" s="20"/>
      <c r="AL625" s="20"/>
      <c r="AM625" s="20"/>
      <c r="AN625" s="20"/>
      <c r="AO625" s="20"/>
      <c r="AP625" s="20"/>
      <c r="AQ625" s="20"/>
    </row>
    <row r="626" spans="1:43" ht="15.75" customHeight="1" x14ac:dyDescent="0.2">
      <c r="A626" s="7">
        <v>9834</v>
      </c>
      <c r="B626" s="57" t="s">
        <v>31</v>
      </c>
      <c r="C626" s="57" t="s">
        <v>32</v>
      </c>
      <c r="D626" s="9" t="s">
        <v>656</v>
      </c>
      <c r="E626" s="57" t="s">
        <v>1212</v>
      </c>
      <c r="F626" s="58">
        <v>2017</v>
      </c>
      <c r="G626" s="58">
        <v>2027</v>
      </c>
      <c r="H626" s="58">
        <v>0</v>
      </c>
      <c r="I626" s="58">
        <v>18.5</v>
      </c>
      <c r="J626" s="59">
        <f t="shared" si="73"/>
        <v>0.97297297297297303</v>
      </c>
      <c r="K626" s="58">
        <v>18</v>
      </c>
      <c r="L626" s="58">
        <v>0</v>
      </c>
      <c r="M626" s="58">
        <v>0</v>
      </c>
      <c r="N626" s="58">
        <v>11</v>
      </c>
      <c r="O626" s="57">
        <v>180</v>
      </c>
      <c r="P626" s="57" t="s">
        <v>35</v>
      </c>
      <c r="Q626" s="88">
        <v>896.3</v>
      </c>
      <c r="R626" s="57" t="s">
        <v>66</v>
      </c>
      <c r="S626" s="58">
        <v>2020</v>
      </c>
      <c r="T626" s="58">
        <v>3.3</v>
      </c>
      <c r="U626" s="58">
        <f t="shared" si="69"/>
        <v>2957.7899999999995</v>
      </c>
      <c r="V626" s="14">
        <f t="shared" si="70"/>
        <v>159.88054054054052</v>
      </c>
      <c r="W626" s="15">
        <f t="shared" si="46"/>
        <v>1</v>
      </c>
      <c r="X626" s="15">
        <f t="shared" si="47"/>
        <v>18.5</v>
      </c>
      <c r="Y626" s="15">
        <f t="shared" si="48"/>
        <v>18</v>
      </c>
      <c r="Z626" s="13">
        <f t="shared" si="49"/>
        <v>0</v>
      </c>
      <c r="AA626" s="16">
        <f>VLOOKUP(S626,[1]CPI!$A$2:$D$67,4,0)</f>
        <v>1.0469802288156225</v>
      </c>
      <c r="AB626" s="17">
        <f t="shared" si="71"/>
        <v>3096.7476509885596</v>
      </c>
      <c r="AC626" s="17">
        <f t="shared" si="72"/>
        <v>167.39176491830051</v>
      </c>
      <c r="AD626" s="16" t="s">
        <v>35</v>
      </c>
      <c r="AE626" s="18" t="s">
        <v>1213</v>
      </c>
      <c r="AF626" s="19"/>
      <c r="AG626" s="19"/>
      <c r="AH626" s="19"/>
      <c r="AI626" s="19"/>
      <c r="AJ626" s="20"/>
      <c r="AK626" s="20"/>
      <c r="AL626" s="20"/>
      <c r="AM626" s="20"/>
      <c r="AN626" s="20"/>
      <c r="AO626" s="20"/>
      <c r="AP626" s="20"/>
      <c r="AQ626" s="20"/>
    </row>
    <row r="627" spans="1:43" ht="15.75" customHeight="1" x14ac:dyDescent="0.2">
      <c r="A627" s="7">
        <v>9835</v>
      </c>
      <c r="B627" s="57" t="s">
        <v>31</v>
      </c>
      <c r="C627" s="57" t="s">
        <v>32</v>
      </c>
      <c r="D627" s="9"/>
      <c r="E627" s="57" t="s">
        <v>1214</v>
      </c>
      <c r="F627" s="58">
        <v>2016</v>
      </c>
      <c r="G627" s="58">
        <v>2023</v>
      </c>
      <c r="H627" s="58">
        <v>0</v>
      </c>
      <c r="I627" s="58">
        <v>13.4</v>
      </c>
      <c r="J627" s="59">
        <f t="shared" si="73"/>
        <v>1</v>
      </c>
      <c r="K627" s="58">
        <v>13.4</v>
      </c>
      <c r="L627" s="58">
        <v>0</v>
      </c>
      <c r="M627" s="58">
        <v>0</v>
      </c>
      <c r="N627" s="58">
        <v>12</v>
      </c>
      <c r="O627" s="57">
        <v>90</v>
      </c>
      <c r="P627" s="57" t="s">
        <v>35</v>
      </c>
      <c r="Q627" s="88">
        <v>386.7</v>
      </c>
      <c r="R627" s="57" t="s">
        <v>66</v>
      </c>
      <c r="S627" s="58">
        <v>2020</v>
      </c>
      <c r="T627" s="58">
        <v>3.3</v>
      </c>
      <c r="U627" s="58">
        <f t="shared" si="69"/>
        <v>1276.1099999999999</v>
      </c>
      <c r="V627" s="14">
        <f t="shared" si="70"/>
        <v>95.23208955223879</v>
      </c>
      <c r="W627" s="15">
        <f t="shared" si="46"/>
        <v>1</v>
      </c>
      <c r="X627" s="15">
        <f t="shared" si="47"/>
        <v>13.4</v>
      </c>
      <c r="Y627" s="15">
        <f t="shared" si="48"/>
        <v>13.4</v>
      </c>
      <c r="Z627" s="13">
        <f t="shared" si="49"/>
        <v>0</v>
      </c>
      <c r="AA627" s="16">
        <f>VLOOKUP(S627,[1]CPI!$A$2:$D$67,4,0)</f>
        <v>1.0469802288156225</v>
      </c>
      <c r="AB627" s="17">
        <f t="shared" si="71"/>
        <v>1336.0619397939038</v>
      </c>
      <c r="AC627" s="17">
        <f t="shared" si="72"/>
        <v>99.70611490999282</v>
      </c>
      <c r="AD627" s="16" t="s">
        <v>35</v>
      </c>
      <c r="AE627" s="18" t="s">
        <v>1213</v>
      </c>
      <c r="AF627" s="19"/>
      <c r="AG627" s="19"/>
      <c r="AH627" s="19"/>
      <c r="AI627" s="19"/>
      <c r="AJ627" s="20"/>
      <c r="AK627" s="20"/>
      <c r="AL627" s="20"/>
      <c r="AM627" s="20"/>
      <c r="AN627" s="20"/>
      <c r="AO627" s="20"/>
      <c r="AP627" s="20"/>
      <c r="AQ627" s="20"/>
    </row>
    <row r="628" spans="1:43" ht="15.75" customHeight="1" x14ac:dyDescent="0.2">
      <c r="A628" s="7">
        <v>9836</v>
      </c>
      <c r="B628" s="57" t="s">
        <v>31</v>
      </c>
      <c r="C628" s="57" t="s">
        <v>32</v>
      </c>
      <c r="D628" s="9" t="s">
        <v>660</v>
      </c>
      <c r="E628" s="57" t="s">
        <v>1215</v>
      </c>
      <c r="F628" s="58">
        <v>1987</v>
      </c>
      <c r="G628" s="58">
        <v>2014</v>
      </c>
      <c r="H628" s="58">
        <v>0</v>
      </c>
      <c r="I628" s="58">
        <v>26.6</v>
      </c>
      <c r="J628" s="59">
        <f t="shared" si="73"/>
        <v>0.3646616541353383</v>
      </c>
      <c r="K628" s="58">
        <v>9.6999999999999993</v>
      </c>
      <c r="L628" s="58">
        <v>0</v>
      </c>
      <c r="M628" s="58">
        <v>0</v>
      </c>
      <c r="N628" s="58">
        <v>23</v>
      </c>
      <c r="O628" s="57" t="s">
        <v>1216</v>
      </c>
      <c r="P628" s="57" t="s">
        <v>35</v>
      </c>
      <c r="Q628" s="88">
        <v>882</v>
      </c>
      <c r="R628" s="57" t="s">
        <v>66</v>
      </c>
      <c r="S628" s="58">
        <v>2000</v>
      </c>
      <c r="T628" s="58">
        <v>2.2000000000000002</v>
      </c>
      <c r="U628" s="58">
        <f t="shared" si="69"/>
        <v>1940.4</v>
      </c>
      <c r="V628" s="14">
        <f t="shared" si="70"/>
        <v>72.94736842105263</v>
      </c>
      <c r="W628" s="15">
        <f t="shared" si="46"/>
        <v>1</v>
      </c>
      <c r="X628" s="15">
        <f t="shared" si="47"/>
        <v>26.6</v>
      </c>
      <c r="Y628" s="15">
        <f t="shared" si="48"/>
        <v>9.6999999999999993</v>
      </c>
      <c r="Z628" s="13">
        <f t="shared" si="49"/>
        <v>0</v>
      </c>
      <c r="AA628" s="16">
        <f>VLOOKUP(S628,[1]CPI!$A$2:$D$67,4,0)</f>
        <v>1.5735772357723581</v>
      </c>
      <c r="AB628" s="17">
        <f t="shared" si="71"/>
        <v>3053.369268292684</v>
      </c>
      <c r="AC628" s="17">
        <f t="shared" si="72"/>
        <v>114.7883183568678</v>
      </c>
      <c r="AD628" s="16" t="s">
        <v>35</v>
      </c>
      <c r="AE628" s="54"/>
      <c r="AF628" s="19"/>
      <c r="AG628" s="19"/>
      <c r="AH628" s="19"/>
      <c r="AI628" s="19"/>
      <c r="AJ628" s="20"/>
      <c r="AK628" s="20"/>
      <c r="AL628" s="20"/>
      <c r="AM628" s="20"/>
      <c r="AN628" s="20"/>
      <c r="AO628" s="20"/>
      <c r="AP628" s="20"/>
      <c r="AQ628" s="20"/>
    </row>
    <row r="629" spans="1:43" ht="15.75" customHeight="1" x14ac:dyDescent="0.2">
      <c r="A629" s="7">
        <v>11249</v>
      </c>
      <c r="B629" s="57" t="s">
        <v>216</v>
      </c>
      <c r="C629" s="57" t="s">
        <v>1217</v>
      </c>
      <c r="D629" s="9"/>
      <c r="E629" s="57" t="s">
        <v>1218</v>
      </c>
      <c r="F629" s="58">
        <v>2016</v>
      </c>
      <c r="G629" s="58">
        <v>2028</v>
      </c>
      <c r="H629" s="58">
        <v>1</v>
      </c>
      <c r="I629" s="58">
        <v>7.2</v>
      </c>
      <c r="J629" s="59">
        <f t="shared" si="73"/>
        <v>1</v>
      </c>
      <c r="K629" s="58">
        <v>7.2</v>
      </c>
      <c r="L629" s="58">
        <v>0</v>
      </c>
      <c r="M629" s="58">
        <v>0</v>
      </c>
      <c r="N629" s="58">
        <v>3</v>
      </c>
      <c r="O629" s="57">
        <v>210</v>
      </c>
      <c r="P629" s="57" t="s">
        <v>35</v>
      </c>
      <c r="Q629" s="88">
        <v>3849</v>
      </c>
      <c r="R629" s="57" t="s">
        <v>36</v>
      </c>
      <c r="S629" s="58">
        <v>2020</v>
      </c>
      <c r="T629" s="58">
        <v>1.35</v>
      </c>
      <c r="U629" s="58">
        <f t="shared" si="69"/>
        <v>5196.1500000000005</v>
      </c>
      <c r="V629" s="14">
        <f t="shared" si="70"/>
        <v>721.68750000000011</v>
      </c>
      <c r="W629" s="15">
        <f t="shared" si="46"/>
        <v>0</v>
      </c>
      <c r="X629" s="15">
        <f t="shared" si="47"/>
        <v>0</v>
      </c>
      <c r="Y629" s="15">
        <f t="shared" si="48"/>
        <v>0</v>
      </c>
      <c r="Z629" s="13">
        <f t="shared" si="49"/>
        <v>0</v>
      </c>
      <c r="AA629" s="16">
        <f>VLOOKUP(S629,[1]CPI!$A$2:$D$67,4,0)</f>
        <v>1.0469802288156225</v>
      </c>
      <c r="AB629" s="17">
        <f t="shared" si="71"/>
        <v>5440.2663159602971</v>
      </c>
      <c r="AC629" s="17">
        <f t="shared" si="72"/>
        <v>755.59254388337467</v>
      </c>
      <c r="AD629" s="16" t="s">
        <v>35</v>
      </c>
      <c r="AE629" s="46" t="s">
        <v>1219</v>
      </c>
      <c r="AF629" s="19"/>
      <c r="AG629" s="19"/>
      <c r="AH629" s="19"/>
      <c r="AI629" s="19"/>
      <c r="AJ629" s="20"/>
      <c r="AK629" s="20"/>
      <c r="AL629" s="20"/>
      <c r="AM629" s="20"/>
      <c r="AN629" s="20"/>
      <c r="AO629" s="20"/>
      <c r="AP629" s="20"/>
      <c r="AQ629" s="20"/>
    </row>
    <row r="630" spans="1:43" ht="15.75" customHeight="1" x14ac:dyDescent="0.2">
      <c r="A630" s="7">
        <v>11254</v>
      </c>
      <c r="B630" s="57" t="s">
        <v>31</v>
      </c>
      <c r="C630" s="57" t="s">
        <v>32</v>
      </c>
      <c r="D630" s="9" t="s">
        <v>660</v>
      </c>
      <c r="E630" s="57" t="s">
        <v>1220</v>
      </c>
      <c r="F630" s="58">
        <v>2017</v>
      </c>
      <c r="G630" s="58">
        <v>2027</v>
      </c>
      <c r="H630" s="58">
        <v>0</v>
      </c>
      <c r="I630" s="58">
        <v>9.6999999999999993</v>
      </c>
      <c r="J630" s="59">
        <v>0.95</v>
      </c>
      <c r="K630" s="58">
        <v>9.3000000000000007</v>
      </c>
      <c r="L630" s="58">
        <v>0</v>
      </c>
      <c r="M630" s="58">
        <v>0</v>
      </c>
      <c r="N630" s="58">
        <v>10</v>
      </c>
      <c r="O630" s="57">
        <v>125</v>
      </c>
      <c r="P630" s="57" t="s">
        <v>35</v>
      </c>
      <c r="Q630" s="88">
        <v>786</v>
      </c>
      <c r="R630" s="57" t="s">
        <v>66</v>
      </c>
      <c r="S630" s="58">
        <v>2020</v>
      </c>
      <c r="T630" s="58">
        <v>3.3</v>
      </c>
      <c r="U630" s="58">
        <f t="shared" si="69"/>
        <v>2593.7999999999997</v>
      </c>
      <c r="V630" s="14">
        <f t="shared" si="70"/>
        <v>267.40206185567007</v>
      </c>
      <c r="W630" s="15">
        <f t="shared" si="46"/>
        <v>1</v>
      </c>
      <c r="X630" s="15">
        <f t="shared" si="47"/>
        <v>9.6999999999999993</v>
      </c>
      <c r="Y630" s="15">
        <f t="shared" si="48"/>
        <v>9.3000000000000007</v>
      </c>
      <c r="Z630" s="13">
        <f t="shared" si="49"/>
        <v>0</v>
      </c>
      <c r="AA630" s="16">
        <f>VLOOKUP(S630,[1]CPI!$A$2:$D$67,4,0)</f>
        <v>1.0469802288156225</v>
      </c>
      <c r="AB630" s="17">
        <f t="shared" si="71"/>
        <v>2715.6573175019612</v>
      </c>
      <c r="AC630" s="17">
        <f t="shared" si="72"/>
        <v>279.96467190741868</v>
      </c>
      <c r="AD630" s="16" t="s">
        <v>43</v>
      </c>
      <c r="AE630" s="18" t="s">
        <v>1091</v>
      </c>
      <c r="AF630" s="54"/>
      <c r="AG630" s="54"/>
      <c r="AH630" s="54"/>
      <c r="AI630" s="54"/>
      <c r="AJ630" s="87"/>
      <c r="AK630" s="87"/>
      <c r="AL630" s="87"/>
      <c r="AM630" s="87"/>
      <c r="AN630" s="87"/>
      <c r="AO630" s="87"/>
      <c r="AP630" s="87"/>
    </row>
    <row r="631" spans="1:43" ht="15.75" customHeight="1" x14ac:dyDescent="0.2">
      <c r="A631" s="7">
        <v>11255</v>
      </c>
      <c r="B631" s="57" t="s">
        <v>31</v>
      </c>
      <c r="C631" s="57" t="s">
        <v>32</v>
      </c>
      <c r="D631" s="9"/>
      <c r="E631" s="57" t="s">
        <v>1221</v>
      </c>
      <c r="F631" s="58">
        <v>2017</v>
      </c>
      <c r="G631" s="58">
        <v>2024</v>
      </c>
      <c r="H631" s="58">
        <v>0</v>
      </c>
      <c r="I631" s="58">
        <v>14</v>
      </c>
      <c r="J631" s="59">
        <v>1</v>
      </c>
      <c r="K631" s="58">
        <v>14</v>
      </c>
      <c r="L631" s="58">
        <v>0</v>
      </c>
      <c r="M631" s="58">
        <v>0</v>
      </c>
      <c r="N631" s="58">
        <v>8</v>
      </c>
      <c r="O631" s="57">
        <v>180</v>
      </c>
      <c r="P631" s="57" t="s">
        <v>35</v>
      </c>
      <c r="Q631" s="88">
        <v>344</v>
      </c>
      <c r="R631" s="57" t="s">
        <v>66</v>
      </c>
      <c r="S631" s="58">
        <v>2020</v>
      </c>
      <c r="T631" s="58">
        <v>3.3</v>
      </c>
      <c r="U631" s="58">
        <f t="shared" si="69"/>
        <v>1135.2</v>
      </c>
      <c r="V631" s="14">
        <f t="shared" si="70"/>
        <v>81.085714285714289</v>
      </c>
      <c r="W631" s="15">
        <f t="shared" si="46"/>
        <v>1</v>
      </c>
      <c r="X631" s="15">
        <f t="shared" si="47"/>
        <v>14</v>
      </c>
      <c r="Y631" s="15">
        <f t="shared" si="48"/>
        <v>14</v>
      </c>
      <c r="Z631" s="13">
        <f t="shared" si="49"/>
        <v>0</v>
      </c>
      <c r="AA631" s="16">
        <f>VLOOKUP(S631,[1]CPI!$A$2:$D$67,4,0)</f>
        <v>1.0469802288156225</v>
      </c>
      <c r="AB631" s="17">
        <f t="shared" si="71"/>
        <v>1188.5319557514947</v>
      </c>
      <c r="AC631" s="17">
        <f t="shared" si="72"/>
        <v>84.895139696535338</v>
      </c>
      <c r="AD631" s="16" t="s">
        <v>43</v>
      </c>
      <c r="AE631" s="18" t="s">
        <v>1091</v>
      </c>
      <c r="AF631" s="54"/>
      <c r="AG631" s="54"/>
      <c r="AH631" s="54"/>
      <c r="AI631" s="54"/>
    </row>
    <row r="632" spans="1:43" ht="15.75" customHeight="1" x14ac:dyDescent="0.2">
      <c r="A632" s="7">
        <v>11256</v>
      </c>
      <c r="B632" s="57" t="s">
        <v>107</v>
      </c>
      <c r="C632" s="57" t="s">
        <v>1222</v>
      </c>
      <c r="D632" s="9"/>
      <c r="E632" s="57" t="s">
        <v>1223</v>
      </c>
      <c r="F632" s="58">
        <v>2018</v>
      </c>
      <c r="G632" s="58">
        <v>2023</v>
      </c>
      <c r="H632" s="58">
        <v>1</v>
      </c>
      <c r="I632" s="58">
        <v>5.25</v>
      </c>
      <c r="J632" s="59">
        <v>1</v>
      </c>
      <c r="K632" s="58">
        <v>5.25</v>
      </c>
      <c r="L632" s="58">
        <v>0</v>
      </c>
      <c r="M632" s="58">
        <v>0</v>
      </c>
      <c r="N632" s="58">
        <v>2</v>
      </c>
      <c r="O632" s="57"/>
      <c r="P632" s="57" t="s">
        <v>50</v>
      </c>
      <c r="Q632" s="88">
        <v>1760</v>
      </c>
      <c r="R632" s="57" t="s">
        <v>109</v>
      </c>
      <c r="S632" s="58">
        <v>2020</v>
      </c>
      <c r="T632" s="58">
        <v>0.56100000000000005</v>
      </c>
      <c r="U632" s="58">
        <f t="shared" si="69"/>
        <v>987.36000000000013</v>
      </c>
      <c r="V632" s="14">
        <f t="shared" si="70"/>
        <v>188.06857142857146</v>
      </c>
      <c r="W632" s="15">
        <f t="shared" si="46"/>
        <v>0</v>
      </c>
      <c r="X632" s="15">
        <f t="shared" si="47"/>
        <v>0</v>
      </c>
      <c r="Y632" s="15">
        <f t="shared" si="48"/>
        <v>0</v>
      </c>
      <c r="Z632" s="13">
        <f t="shared" si="49"/>
        <v>0</v>
      </c>
      <c r="AA632" s="16">
        <f>VLOOKUP(S632,[1]CPI!$A$2:$D$67,4,0)</f>
        <v>1.0469802288156225</v>
      </c>
      <c r="AB632" s="17">
        <f t="shared" si="71"/>
        <v>1033.7463987233932</v>
      </c>
      <c r="AC632" s="17">
        <f t="shared" si="72"/>
        <v>196.90407594731298</v>
      </c>
      <c r="AD632" s="16" t="s">
        <v>73</v>
      </c>
      <c r="AE632" s="18" t="s">
        <v>1224</v>
      </c>
      <c r="AF632" s="54"/>
      <c r="AG632" s="54"/>
      <c r="AH632" s="54"/>
      <c r="AI632" s="54"/>
    </row>
    <row r="633" spans="1:43" ht="15.75" customHeight="1" x14ac:dyDescent="0.2">
      <c r="A633" s="7">
        <v>11257</v>
      </c>
      <c r="B633" s="57" t="s">
        <v>145</v>
      </c>
      <c r="C633" s="57" t="s">
        <v>197</v>
      </c>
      <c r="D633" s="9"/>
      <c r="E633" s="57" t="s">
        <v>1225</v>
      </c>
      <c r="F633" s="58">
        <v>1991</v>
      </c>
      <c r="G633" s="58">
        <v>1995</v>
      </c>
      <c r="H633" s="58">
        <v>1</v>
      </c>
      <c r="I633" s="58">
        <v>2.5</v>
      </c>
      <c r="J633" s="59">
        <v>1</v>
      </c>
      <c r="K633" s="58">
        <v>2.5</v>
      </c>
      <c r="L633" s="58">
        <v>0</v>
      </c>
      <c r="M633" s="58">
        <v>0</v>
      </c>
      <c r="N633" s="58">
        <v>0</v>
      </c>
      <c r="O633" s="57"/>
      <c r="P633" s="57" t="s">
        <v>35</v>
      </c>
      <c r="Q633" s="88">
        <v>321</v>
      </c>
      <c r="R633" s="57" t="s">
        <v>36</v>
      </c>
      <c r="S633" s="58">
        <v>2003</v>
      </c>
      <c r="T633" s="58">
        <v>1.25</v>
      </c>
      <c r="U633" s="58">
        <f t="shared" si="69"/>
        <v>401.25</v>
      </c>
      <c r="V633" s="14">
        <f t="shared" si="70"/>
        <v>160.5</v>
      </c>
      <c r="W633" s="15">
        <f t="shared" si="46"/>
        <v>0</v>
      </c>
      <c r="X633" s="15">
        <f t="shared" si="47"/>
        <v>0</v>
      </c>
      <c r="Y633" s="15">
        <f t="shared" si="48"/>
        <v>0</v>
      </c>
      <c r="Z633" s="13">
        <f t="shared" si="49"/>
        <v>0</v>
      </c>
      <c r="AA633" s="16">
        <f>VLOOKUP(S633,[1]CPI!$A$2:$D$67,4,0)</f>
        <v>1.472663043478261</v>
      </c>
      <c r="AB633" s="17">
        <f t="shared" si="71"/>
        <v>590.90604619565227</v>
      </c>
      <c r="AC633" s="17">
        <f t="shared" si="72"/>
        <v>236.36241847826091</v>
      </c>
      <c r="AD633" s="16" t="s">
        <v>35</v>
      </c>
      <c r="AE633" s="18" t="s">
        <v>1226</v>
      </c>
      <c r="AF633" s="54"/>
      <c r="AG633" s="54"/>
      <c r="AH633" s="54"/>
      <c r="AI633" s="54"/>
    </row>
    <row r="634" spans="1:43" ht="15.75" customHeight="1" x14ac:dyDescent="0.2">
      <c r="A634" s="7">
        <v>11262</v>
      </c>
      <c r="B634" s="57" t="s">
        <v>185</v>
      </c>
      <c r="C634" s="57" t="s">
        <v>186</v>
      </c>
      <c r="D634" s="9"/>
      <c r="E634" s="57" t="s">
        <v>1227</v>
      </c>
      <c r="F634" s="58">
        <v>2023</v>
      </c>
      <c r="G634" s="58">
        <v>2032</v>
      </c>
      <c r="H634" s="58">
        <v>0</v>
      </c>
      <c r="I634" s="58">
        <v>16</v>
      </c>
      <c r="J634" s="59">
        <v>0.1</v>
      </c>
      <c r="K634" s="58">
        <v>1.6</v>
      </c>
      <c r="L634" s="58">
        <v>12.8</v>
      </c>
      <c r="M634" s="58">
        <v>1.6</v>
      </c>
      <c r="N634" s="58">
        <v>13</v>
      </c>
      <c r="O634" s="57"/>
      <c r="P634" s="57" t="s">
        <v>43</v>
      </c>
      <c r="Q634" s="88">
        <v>42500</v>
      </c>
      <c r="R634" s="57" t="s">
        <v>188</v>
      </c>
      <c r="S634" s="58">
        <v>2027</v>
      </c>
      <c r="T634" s="58">
        <v>6.6400000000000001E-2</v>
      </c>
      <c r="U634" s="58">
        <f t="shared" si="69"/>
        <v>2822</v>
      </c>
      <c r="V634" s="14">
        <f t="shared" si="70"/>
        <v>176.375</v>
      </c>
      <c r="W634" s="15">
        <f t="shared" si="46"/>
        <v>0</v>
      </c>
      <c r="X634" s="15">
        <f t="shared" si="47"/>
        <v>0</v>
      </c>
      <c r="Y634" s="15">
        <f t="shared" si="48"/>
        <v>0</v>
      </c>
      <c r="Z634" s="13">
        <f t="shared" si="49"/>
        <v>0</v>
      </c>
      <c r="AA634" s="16">
        <f>VLOOKUP(S634,[1]CPI!$A$2:$D$67,4,0)</f>
        <v>1</v>
      </c>
      <c r="AB634" s="17">
        <f t="shared" si="71"/>
        <v>2822</v>
      </c>
      <c r="AC634" s="17">
        <f t="shared" si="72"/>
        <v>176.375</v>
      </c>
      <c r="AD634" s="16" t="s">
        <v>43</v>
      </c>
      <c r="AE634" s="18" t="s">
        <v>1228</v>
      </c>
      <c r="AF634" s="54"/>
      <c r="AG634" s="54"/>
      <c r="AH634" s="54"/>
      <c r="AI634" s="54"/>
    </row>
    <row r="635" spans="1:43" ht="15.75" customHeight="1" x14ac:dyDescent="0.2">
      <c r="A635" s="7">
        <v>11263</v>
      </c>
      <c r="B635" s="57" t="s">
        <v>135</v>
      </c>
      <c r="C635" s="57" t="s">
        <v>136</v>
      </c>
      <c r="D635" s="9"/>
      <c r="E635" s="57" t="s">
        <v>1229</v>
      </c>
      <c r="F635" s="58">
        <v>2004</v>
      </c>
      <c r="G635" s="58">
        <v>2008</v>
      </c>
      <c r="H635" s="58">
        <v>0</v>
      </c>
      <c r="I635" s="58">
        <v>4.5999999999999996</v>
      </c>
      <c r="J635" s="59">
        <v>1</v>
      </c>
      <c r="K635" s="58">
        <v>4.5999999999999996</v>
      </c>
      <c r="L635" s="58">
        <v>0</v>
      </c>
      <c r="M635" s="58">
        <v>0</v>
      </c>
      <c r="N635" s="58">
        <v>3</v>
      </c>
      <c r="O635" s="57">
        <v>97</v>
      </c>
      <c r="P635" s="57" t="s">
        <v>50</v>
      </c>
      <c r="Q635" s="88">
        <v>15000</v>
      </c>
      <c r="R635" s="57" t="s">
        <v>138</v>
      </c>
      <c r="S635" s="58">
        <v>2006</v>
      </c>
      <c r="T635" s="58">
        <v>6.9000000000000006E-2</v>
      </c>
      <c r="U635" s="58">
        <f t="shared" si="69"/>
        <v>1035</v>
      </c>
      <c r="V635" s="14">
        <f t="shared" si="70"/>
        <v>225.00000000000003</v>
      </c>
      <c r="W635" s="15">
        <f t="shared" si="46"/>
        <v>0</v>
      </c>
      <c r="X635" s="15">
        <f t="shared" si="47"/>
        <v>0</v>
      </c>
      <c r="Y635" s="15">
        <f t="shared" si="48"/>
        <v>0</v>
      </c>
      <c r="Z635" s="13">
        <f t="shared" si="49"/>
        <v>0</v>
      </c>
      <c r="AA635" s="16">
        <f>VLOOKUP(S635,[1]CPI!$A$2:$D$67,4,0)</f>
        <v>1.3440972222222225</v>
      </c>
      <c r="AB635" s="17">
        <f t="shared" si="71"/>
        <v>1391.1406250000002</v>
      </c>
      <c r="AC635" s="17">
        <f t="shared" si="72"/>
        <v>302.42187500000011</v>
      </c>
      <c r="AD635" s="16" t="s">
        <v>43</v>
      </c>
      <c r="AE635" s="18" t="s">
        <v>1230</v>
      </c>
      <c r="AF635" s="54"/>
      <c r="AG635" s="54"/>
      <c r="AH635" s="54"/>
      <c r="AI635" s="54"/>
    </row>
    <row r="636" spans="1:43" ht="15.75" customHeight="1" x14ac:dyDescent="0.2">
      <c r="A636" s="7">
        <v>11264</v>
      </c>
      <c r="B636" s="57" t="s">
        <v>135</v>
      </c>
      <c r="C636" s="57" t="s">
        <v>136</v>
      </c>
      <c r="D636" s="9"/>
      <c r="E636" s="57" t="s">
        <v>1231</v>
      </c>
      <c r="F636" s="58">
        <v>2021</v>
      </c>
      <c r="G636" s="58">
        <v>2029</v>
      </c>
      <c r="H636" s="58">
        <v>0</v>
      </c>
      <c r="I636" s="58">
        <v>10.5</v>
      </c>
      <c r="J636" s="59">
        <v>0.9</v>
      </c>
      <c r="K636" s="58">
        <v>9.5</v>
      </c>
      <c r="L636" s="58">
        <v>1</v>
      </c>
      <c r="M636" s="58">
        <v>0</v>
      </c>
      <c r="N636" s="58">
        <v>10</v>
      </c>
      <c r="O636" s="57">
        <v>97</v>
      </c>
      <c r="P636" s="57" t="s">
        <v>50</v>
      </c>
      <c r="Q636" s="88">
        <v>73000</v>
      </c>
      <c r="R636" s="57" t="s">
        <v>138</v>
      </c>
      <c r="S636" s="58">
        <v>2025</v>
      </c>
      <c r="T636" s="58">
        <v>7.7600000000000002E-2</v>
      </c>
      <c r="U636" s="58">
        <f t="shared" si="69"/>
        <v>5664.8</v>
      </c>
      <c r="V636" s="14">
        <f t="shared" si="70"/>
        <v>539.50476190476195</v>
      </c>
      <c r="W636" s="15">
        <f t="shared" si="46"/>
        <v>0</v>
      </c>
      <c r="X636" s="15">
        <f t="shared" si="47"/>
        <v>0</v>
      </c>
      <c r="Y636" s="15">
        <f t="shared" si="48"/>
        <v>0</v>
      </c>
      <c r="Z636" s="13">
        <f t="shared" si="49"/>
        <v>0</v>
      </c>
      <c r="AA636" s="16">
        <f>VLOOKUP(S636,[1]CPI!$A$2:$D$67,4,0)</f>
        <v>1</v>
      </c>
      <c r="AB636" s="17">
        <f t="shared" si="71"/>
        <v>5664.8</v>
      </c>
      <c r="AC636" s="17">
        <f t="shared" si="72"/>
        <v>539.50476190476195</v>
      </c>
      <c r="AD636" s="16" t="s">
        <v>43</v>
      </c>
      <c r="AE636" s="18" t="s">
        <v>1232</v>
      </c>
      <c r="AF636" s="54"/>
      <c r="AG636" s="54"/>
      <c r="AH636" s="54"/>
      <c r="AI636" s="54"/>
    </row>
    <row r="637" spans="1:43" ht="15.75" customHeight="1" x14ac:dyDescent="0.2">
      <c r="A637" s="7">
        <v>11265</v>
      </c>
      <c r="B637" s="57" t="s">
        <v>216</v>
      </c>
      <c r="C637" s="57" t="s">
        <v>1217</v>
      </c>
      <c r="D637" s="9"/>
      <c r="E637" s="57" t="s">
        <v>1233</v>
      </c>
      <c r="F637" s="58">
        <v>2004</v>
      </c>
      <c r="G637" s="58">
        <v>2010</v>
      </c>
      <c r="H637" s="58">
        <v>0</v>
      </c>
      <c r="I637" s="58">
        <v>1.7</v>
      </c>
      <c r="J637" s="59">
        <v>1</v>
      </c>
      <c r="K637" s="58">
        <v>1.7</v>
      </c>
      <c r="L637" s="58">
        <v>0</v>
      </c>
      <c r="M637" s="58">
        <v>0</v>
      </c>
      <c r="N637" s="58">
        <v>2</v>
      </c>
      <c r="O637" s="57">
        <v>120</v>
      </c>
      <c r="P637" s="57" t="s">
        <v>73</v>
      </c>
      <c r="Q637" s="88">
        <v>180</v>
      </c>
      <c r="R637" s="57" t="s">
        <v>36</v>
      </c>
      <c r="S637" s="58">
        <v>2007</v>
      </c>
      <c r="T637" s="58">
        <v>1.25</v>
      </c>
      <c r="U637" s="58">
        <f t="shared" si="69"/>
        <v>225</v>
      </c>
      <c r="V637" s="14">
        <f t="shared" si="70"/>
        <v>132.35294117647058</v>
      </c>
      <c r="W637" s="15">
        <f t="shared" si="46"/>
        <v>0</v>
      </c>
      <c r="X637" s="15">
        <f t="shared" si="47"/>
        <v>0</v>
      </c>
      <c r="Y637" s="15">
        <f t="shared" si="48"/>
        <v>0</v>
      </c>
      <c r="Z637" s="13">
        <f t="shared" si="49"/>
        <v>0</v>
      </c>
      <c r="AA637" s="16">
        <f>VLOOKUP(S637,[1]CPI!$A$2:$D$67,4,0)</f>
        <v>1.3068746322500988</v>
      </c>
      <c r="AB637" s="17">
        <f t="shared" si="71"/>
        <v>294.04679225627223</v>
      </c>
      <c r="AC637" s="17">
        <f t="shared" si="72"/>
        <v>172.96870132721895</v>
      </c>
      <c r="AD637" s="16" t="s">
        <v>73</v>
      </c>
      <c r="AE637" s="18" t="s">
        <v>1234</v>
      </c>
      <c r="AF637" s="54"/>
      <c r="AG637" s="54"/>
      <c r="AH637" s="54"/>
      <c r="AI637" s="54"/>
    </row>
    <row r="638" spans="1:43" ht="15.75" customHeight="1" x14ac:dyDescent="0.2">
      <c r="A638" s="7">
        <v>11270</v>
      </c>
      <c r="B638" s="57" t="s">
        <v>216</v>
      </c>
      <c r="C638" s="57" t="s">
        <v>1217</v>
      </c>
      <c r="D638" s="9"/>
      <c r="E638" s="57" t="s">
        <v>1235</v>
      </c>
      <c r="F638" s="58">
        <v>2022</v>
      </c>
      <c r="G638" s="58">
        <v>2029</v>
      </c>
      <c r="H638" s="58">
        <v>0</v>
      </c>
      <c r="I638" s="58">
        <v>3.8</v>
      </c>
      <c r="J638" s="59">
        <v>1</v>
      </c>
      <c r="K638" s="58">
        <v>3.8</v>
      </c>
      <c r="L638" s="58">
        <v>0</v>
      </c>
      <c r="M638" s="58">
        <v>0</v>
      </c>
      <c r="N638" s="58">
        <v>3</v>
      </c>
      <c r="O638" s="57">
        <v>120</v>
      </c>
      <c r="P638" s="57" t="s">
        <v>35</v>
      </c>
      <c r="Q638" s="88">
        <v>988</v>
      </c>
      <c r="R638" s="57" t="s">
        <v>36</v>
      </c>
      <c r="S638" s="58">
        <v>2025</v>
      </c>
      <c r="T638" s="58">
        <v>1.35</v>
      </c>
      <c r="U638" s="58">
        <f t="shared" si="69"/>
        <v>1333.8000000000002</v>
      </c>
      <c r="V638" s="14">
        <f t="shared" si="70"/>
        <v>351.00000000000006</v>
      </c>
      <c r="W638" s="15">
        <f t="shared" si="46"/>
        <v>0</v>
      </c>
      <c r="X638" s="15">
        <f t="shared" si="47"/>
        <v>0</v>
      </c>
      <c r="Y638" s="15">
        <f t="shared" si="48"/>
        <v>0</v>
      </c>
      <c r="Z638" s="13">
        <f t="shared" si="49"/>
        <v>0</v>
      </c>
      <c r="AA638" s="16">
        <f>VLOOKUP(S638,[1]CPI!$A$2:$D$67,4,0)</f>
        <v>1</v>
      </c>
      <c r="AB638" s="17">
        <f t="shared" si="71"/>
        <v>1333.8000000000002</v>
      </c>
      <c r="AC638" s="17">
        <f t="shared" si="72"/>
        <v>351.00000000000006</v>
      </c>
      <c r="AD638" s="16" t="s">
        <v>43</v>
      </c>
      <c r="AE638" s="18" t="s">
        <v>1236</v>
      </c>
      <c r="AF638" s="54"/>
      <c r="AG638" s="54"/>
      <c r="AH638" s="54"/>
      <c r="AI638" s="54"/>
    </row>
    <row r="639" spans="1:43" ht="15.75" customHeight="1" x14ac:dyDescent="0.2">
      <c r="A639" s="91"/>
      <c r="B639" s="91" t="s">
        <v>148</v>
      </c>
      <c r="C639" s="111" t="s">
        <v>1237</v>
      </c>
      <c r="D639" s="9"/>
      <c r="E639" s="111" t="s">
        <v>1238</v>
      </c>
      <c r="F639" s="54">
        <v>2001</v>
      </c>
      <c r="G639" s="54">
        <v>2016</v>
      </c>
      <c r="H639" s="54">
        <v>0</v>
      </c>
      <c r="I639" s="9">
        <v>1.9</v>
      </c>
      <c r="J639" s="55">
        <v>1</v>
      </c>
      <c r="K639" s="9">
        <v>1.9</v>
      </c>
      <c r="L639" s="54">
        <v>0</v>
      </c>
      <c r="M639" s="54">
        <v>0</v>
      </c>
      <c r="N639" s="54">
        <v>2</v>
      </c>
      <c r="O639" s="54">
        <v>80</v>
      </c>
      <c r="P639" s="54" t="s">
        <v>1170</v>
      </c>
      <c r="Q639" s="56">
        <v>85</v>
      </c>
      <c r="R639" s="54" t="s">
        <v>36</v>
      </c>
      <c r="S639" s="54">
        <v>2012</v>
      </c>
      <c r="T639" s="54">
        <v>1.3</v>
      </c>
      <c r="U639" s="58">
        <f t="shared" si="69"/>
        <v>110.5</v>
      </c>
      <c r="V639" s="14">
        <f t="shared" si="70"/>
        <v>58.15789473684211</v>
      </c>
      <c r="W639" s="15">
        <f t="shared" si="46"/>
        <v>1</v>
      </c>
      <c r="X639" s="15">
        <f t="shared" si="47"/>
        <v>1.9</v>
      </c>
      <c r="Y639" s="15">
        <f t="shared" si="48"/>
        <v>1.9</v>
      </c>
      <c r="Z639" s="13">
        <f t="shared" si="49"/>
        <v>0</v>
      </c>
      <c r="AA639" s="16">
        <f>VLOOKUP(S639,[1]CPI!$A$2:$D$67,4,0)</f>
        <v>1.1802137686524912</v>
      </c>
      <c r="AB639" s="17">
        <f t="shared" si="71"/>
        <v>130.41362143610027</v>
      </c>
      <c r="AC639" s="17">
        <f t="shared" si="72"/>
        <v>68.638748124263302</v>
      </c>
      <c r="AD639" s="9" t="s">
        <v>35</v>
      </c>
      <c r="AE639" s="46" t="s">
        <v>1239</v>
      </c>
      <c r="AF639" s="54"/>
      <c r="AG639" s="54"/>
      <c r="AH639" s="54"/>
      <c r="AI639" s="54"/>
    </row>
    <row r="640" spans="1:43" ht="15.75" customHeight="1" x14ac:dyDescent="0.2">
      <c r="A640" s="91"/>
      <c r="B640" s="91" t="s">
        <v>148</v>
      </c>
      <c r="C640" s="111" t="s">
        <v>1237</v>
      </c>
      <c r="D640" s="9"/>
      <c r="E640" s="111" t="s">
        <v>1240</v>
      </c>
      <c r="F640" s="54">
        <v>2007</v>
      </c>
      <c r="G640" s="54">
        <v>2017</v>
      </c>
      <c r="H640" s="54">
        <v>0</v>
      </c>
      <c r="I640" s="9">
        <v>3.1</v>
      </c>
      <c r="J640" s="55">
        <v>1</v>
      </c>
      <c r="K640" s="9">
        <v>3.1</v>
      </c>
      <c r="L640" s="54">
        <v>0</v>
      </c>
      <c r="M640" s="54">
        <v>0</v>
      </c>
      <c r="N640" s="54">
        <v>4</v>
      </c>
      <c r="O640" s="54">
        <v>80</v>
      </c>
      <c r="P640" s="54" t="s">
        <v>1170</v>
      </c>
      <c r="Q640" s="56">
        <v>104</v>
      </c>
      <c r="R640" s="54" t="s">
        <v>36</v>
      </c>
      <c r="S640" s="54">
        <v>2012</v>
      </c>
      <c r="T640" s="54">
        <v>1.3</v>
      </c>
      <c r="U640" s="58">
        <f t="shared" si="69"/>
        <v>135.20000000000002</v>
      </c>
      <c r="V640" s="14">
        <f t="shared" si="70"/>
        <v>43.612903225806456</v>
      </c>
      <c r="W640" s="15">
        <f t="shared" si="46"/>
        <v>1</v>
      </c>
      <c r="X640" s="15">
        <f t="shared" si="47"/>
        <v>3.1</v>
      </c>
      <c r="Y640" s="15">
        <f t="shared" si="48"/>
        <v>3.1</v>
      </c>
      <c r="Z640" s="13">
        <f t="shared" si="49"/>
        <v>0</v>
      </c>
      <c r="AA640" s="16">
        <f>VLOOKUP(S640,[1]CPI!$A$2:$D$67,4,0)</f>
        <v>1.1802137686524912</v>
      </c>
      <c r="AB640" s="17">
        <f t="shared" si="71"/>
        <v>159.56490152181684</v>
      </c>
      <c r="AC640" s="17">
        <f t="shared" si="72"/>
        <v>51.472548878005426</v>
      </c>
      <c r="AD640" s="9" t="s">
        <v>35</v>
      </c>
      <c r="AE640" s="46" t="s">
        <v>1239</v>
      </c>
      <c r="AF640" s="54"/>
      <c r="AG640" s="54"/>
      <c r="AH640" s="54"/>
      <c r="AI640" s="54"/>
    </row>
    <row r="641" spans="1:35" ht="15.75" customHeight="1" x14ac:dyDescent="0.2">
      <c r="A641" s="91"/>
      <c r="B641" s="91" t="s">
        <v>148</v>
      </c>
      <c r="C641" s="111" t="s">
        <v>1237</v>
      </c>
      <c r="D641" s="9"/>
      <c r="E641" s="111" t="s">
        <v>1241</v>
      </c>
      <c r="F641" s="54">
        <v>2015</v>
      </c>
      <c r="G641" s="54">
        <v>2022</v>
      </c>
      <c r="H641" s="54">
        <v>0</v>
      </c>
      <c r="I641" s="9">
        <v>1.7</v>
      </c>
      <c r="J641" s="55">
        <v>1</v>
      </c>
      <c r="K641" s="9">
        <v>1.7</v>
      </c>
      <c r="L641" s="54">
        <v>0</v>
      </c>
      <c r="M641" s="54">
        <v>0</v>
      </c>
      <c r="N641" s="54">
        <v>2</v>
      </c>
      <c r="O641" s="54">
        <v>80</v>
      </c>
      <c r="P641" s="54" t="s">
        <v>1170</v>
      </c>
      <c r="Q641" s="56">
        <v>93</v>
      </c>
      <c r="R641" s="54" t="s">
        <v>36</v>
      </c>
      <c r="S641" s="54">
        <v>2018</v>
      </c>
      <c r="T641" s="54">
        <v>1.3</v>
      </c>
      <c r="U641" s="58">
        <f t="shared" si="69"/>
        <v>120.9</v>
      </c>
      <c r="V641" s="14">
        <f t="shared" si="70"/>
        <v>71.117647058823536</v>
      </c>
      <c r="W641" s="15">
        <f t="shared" si="46"/>
        <v>1</v>
      </c>
      <c r="X641" s="15">
        <f t="shared" si="47"/>
        <v>1.7</v>
      </c>
      <c r="Y641" s="15">
        <f t="shared" si="48"/>
        <v>1.7</v>
      </c>
      <c r="Z641" s="13">
        <f t="shared" si="49"/>
        <v>0</v>
      </c>
      <c r="AA641" s="16">
        <f>VLOOKUP(S641,[1]CPI!$A$2:$D$67,4,0)</f>
        <v>1.0791017375063221</v>
      </c>
      <c r="AB641" s="17">
        <f t="shared" si="71"/>
        <v>130.46340006451436</v>
      </c>
      <c r="AC641" s="17">
        <f t="shared" si="72"/>
        <v>76.743176508537857</v>
      </c>
      <c r="AD641" s="9" t="s">
        <v>35</v>
      </c>
      <c r="AE641" s="46" t="s">
        <v>1239</v>
      </c>
      <c r="AF641" s="54"/>
      <c r="AG641" s="54"/>
      <c r="AH641" s="54"/>
      <c r="AI641" s="54"/>
    </row>
    <row r="642" spans="1:35" ht="15.75" customHeight="1" x14ac:dyDescent="0.2">
      <c r="A642" s="91"/>
      <c r="B642" s="91" t="s">
        <v>148</v>
      </c>
      <c r="C642" s="111" t="s">
        <v>1237</v>
      </c>
      <c r="D642" s="9"/>
      <c r="E642" s="111" t="s">
        <v>1242</v>
      </c>
      <c r="F642" s="54">
        <v>2017</v>
      </c>
      <c r="G642" s="54">
        <v>2025</v>
      </c>
      <c r="H642" s="54">
        <v>0</v>
      </c>
      <c r="I642" s="9">
        <v>6.4</v>
      </c>
      <c r="J642" s="55">
        <v>1</v>
      </c>
      <c r="K642" s="9">
        <v>6.4</v>
      </c>
      <c r="L642" s="54">
        <v>0</v>
      </c>
      <c r="M642" s="54">
        <v>0</v>
      </c>
      <c r="N642" s="54">
        <v>8</v>
      </c>
      <c r="O642" s="54">
        <v>80</v>
      </c>
      <c r="P642" s="54" t="s">
        <v>1170</v>
      </c>
      <c r="Q642" s="56">
        <v>419</v>
      </c>
      <c r="R642" s="54" t="s">
        <v>36</v>
      </c>
      <c r="S642" s="54">
        <v>2020</v>
      </c>
      <c r="T642" s="54">
        <v>1.3</v>
      </c>
      <c r="U642" s="58">
        <f t="shared" si="69"/>
        <v>544.70000000000005</v>
      </c>
      <c r="V642" s="14">
        <f t="shared" si="70"/>
        <v>85.109375</v>
      </c>
      <c r="W642" s="15">
        <f t="shared" si="46"/>
        <v>1</v>
      </c>
      <c r="X642" s="15">
        <f t="shared" si="47"/>
        <v>6.4</v>
      </c>
      <c r="Y642" s="15">
        <f t="shared" si="48"/>
        <v>6.4</v>
      </c>
      <c r="Z642" s="13">
        <f t="shared" si="49"/>
        <v>0</v>
      </c>
      <c r="AA642" s="16">
        <f>VLOOKUP(S642,[1]CPI!$A$2:$D$67,4,0)</f>
        <v>1.0469802288156225</v>
      </c>
      <c r="AB642" s="17">
        <f t="shared" si="71"/>
        <v>570.29013063586956</v>
      </c>
      <c r="AC642" s="17">
        <f t="shared" si="72"/>
        <v>89.107832911854615</v>
      </c>
      <c r="AD642" s="9" t="s">
        <v>35</v>
      </c>
      <c r="AE642" s="46" t="s">
        <v>1239</v>
      </c>
      <c r="AF642" s="54"/>
      <c r="AG642" s="54"/>
      <c r="AH642" s="54"/>
      <c r="AI642" s="54"/>
    </row>
    <row r="643" spans="1:35" ht="15.75" customHeight="1" x14ac:dyDescent="0.2">
      <c r="A643" s="91"/>
      <c r="B643" s="91" t="s">
        <v>148</v>
      </c>
      <c r="C643" s="111" t="s">
        <v>1237</v>
      </c>
      <c r="D643" s="9"/>
      <c r="E643" s="111" t="s">
        <v>1243</v>
      </c>
      <c r="F643" s="54">
        <v>2019</v>
      </c>
      <c r="G643" s="54">
        <v>2024</v>
      </c>
      <c r="H643" s="54">
        <v>0</v>
      </c>
      <c r="I643" s="9">
        <v>2.1</v>
      </c>
      <c r="J643" s="55">
        <v>1</v>
      </c>
      <c r="K643" s="9">
        <v>2.1</v>
      </c>
      <c r="L643" s="54">
        <v>0</v>
      </c>
      <c r="M643" s="54">
        <v>0</v>
      </c>
      <c r="N643" s="54">
        <v>2</v>
      </c>
      <c r="O643" s="54">
        <v>80</v>
      </c>
      <c r="P643" s="54" t="s">
        <v>1170</v>
      </c>
      <c r="Q643" s="56">
        <v>124</v>
      </c>
      <c r="R643" s="54" t="s">
        <v>36</v>
      </c>
      <c r="S643" s="54">
        <v>2021</v>
      </c>
      <c r="T643" s="54">
        <v>1.3</v>
      </c>
      <c r="U643" s="58">
        <f t="shared" si="69"/>
        <v>161.20000000000002</v>
      </c>
      <c r="V643" s="14">
        <f t="shared" si="70"/>
        <v>76.761904761904773</v>
      </c>
      <c r="W643" s="15">
        <f t="shared" si="46"/>
        <v>1</v>
      </c>
      <c r="X643" s="15">
        <f t="shared" si="47"/>
        <v>2.1</v>
      </c>
      <c r="Y643" s="15">
        <f t="shared" si="48"/>
        <v>2.1</v>
      </c>
      <c r="Z643" s="13">
        <f t="shared" si="49"/>
        <v>0</v>
      </c>
      <c r="AA643" s="16">
        <f>VLOOKUP(S643,[1]CPI!$A$2:$D$67,4,0)</f>
        <v>1</v>
      </c>
      <c r="AB643" s="17">
        <f t="shared" si="71"/>
        <v>161.20000000000002</v>
      </c>
      <c r="AC643" s="17">
        <f t="shared" si="72"/>
        <v>76.761904761904773</v>
      </c>
      <c r="AD643" s="9" t="s">
        <v>35</v>
      </c>
      <c r="AE643" s="46" t="s">
        <v>1239</v>
      </c>
      <c r="AF643" s="54"/>
      <c r="AG643" s="54"/>
      <c r="AH643" s="54"/>
      <c r="AI643" s="54"/>
    </row>
    <row r="644" spans="1:35" ht="15.75" customHeight="1" x14ac:dyDescent="0.2">
      <c r="A644" s="91"/>
      <c r="B644" s="91" t="s">
        <v>148</v>
      </c>
      <c r="C644" s="111" t="s">
        <v>1237</v>
      </c>
      <c r="D644" s="9"/>
      <c r="E644" s="111" t="s">
        <v>1244</v>
      </c>
      <c r="F644" s="54">
        <v>2022</v>
      </c>
      <c r="G644" s="54">
        <v>2026</v>
      </c>
      <c r="H644" s="54">
        <v>0</v>
      </c>
      <c r="I644" s="9">
        <v>11.5</v>
      </c>
      <c r="J644" s="55">
        <v>0.52</v>
      </c>
      <c r="K644" s="9">
        <v>6</v>
      </c>
      <c r="L644" s="54">
        <v>0</v>
      </c>
      <c r="M644" s="54">
        <v>5.5</v>
      </c>
      <c r="N644" s="54">
        <v>5</v>
      </c>
      <c r="O644" s="54">
        <v>80</v>
      </c>
      <c r="P644" s="54" t="s">
        <v>1170</v>
      </c>
      <c r="Q644" s="56">
        <v>432</v>
      </c>
      <c r="R644" s="54" t="s">
        <v>36</v>
      </c>
      <c r="S644" s="54">
        <v>2024</v>
      </c>
      <c r="T644" s="54">
        <v>1.3</v>
      </c>
      <c r="U644" s="58">
        <f t="shared" si="69"/>
        <v>561.6</v>
      </c>
      <c r="V644" s="14">
        <f t="shared" si="70"/>
        <v>48.834782608695654</v>
      </c>
      <c r="W644" s="15">
        <f t="shared" si="46"/>
        <v>1</v>
      </c>
      <c r="X644" s="15">
        <f t="shared" si="47"/>
        <v>11.5</v>
      </c>
      <c r="Y644" s="15">
        <f t="shared" si="48"/>
        <v>6</v>
      </c>
      <c r="Z644" s="13">
        <f t="shared" si="49"/>
        <v>0</v>
      </c>
      <c r="AA644" s="16">
        <f>VLOOKUP(S644,[1]CPI!$A$2:$D$67,4,0)</f>
        <v>1</v>
      </c>
      <c r="AB644" s="17">
        <f t="shared" si="71"/>
        <v>561.6</v>
      </c>
      <c r="AC644" s="17">
        <f t="shared" si="72"/>
        <v>48.834782608695654</v>
      </c>
      <c r="AD644" s="9" t="s">
        <v>1170</v>
      </c>
      <c r="AE644" s="46" t="s">
        <v>1239</v>
      </c>
      <c r="AF644" s="54"/>
      <c r="AG644" s="54"/>
      <c r="AH644" s="54"/>
      <c r="AI644" s="54"/>
    </row>
    <row r="645" spans="1:35" ht="15.75" customHeight="1" x14ac:dyDescent="0.2">
      <c r="A645" s="91"/>
      <c r="B645" s="91" t="s">
        <v>148</v>
      </c>
      <c r="C645" s="111" t="s">
        <v>1245</v>
      </c>
      <c r="D645" s="9"/>
      <c r="E645" s="111" t="s">
        <v>1246</v>
      </c>
      <c r="F645" s="54">
        <v>1998</v>
      </c>
      <c r="G645" s="54">
        <v>2006</v>
      </c>
      <c r="H645" s="54">
        <v>0</v>
      </c>
      <c r="I645" s="9">
        <v>2.5</v>
      </c>
      <c r="J645" s="55">
        <v>1</v>
      </c>
      <c r="K645" s="9">
        <v>2.5</v>
      </c>
      <c r="L645" s="54">
        <v>0</v>
      </c>
      <c r="M645" s="54">
        <v>0</v>
      </c>
      <c r="N645" s="54">
        <v>4</v>
      </c>
      <c r="O645" s="54">
        <v>80</v>
      </c>
      <c r="P645" s="54" t="s">
        <v>1247</v>
      </c>
      <c r="Q645" s="56">
        <v>212</v>
      </c>
      <c r="R645" s="54" t="s">
        <v>36</v>
      </c>
      <c r="S645" s="54">
        <v>2002</v>
      </c>
      <c r="T645" s="54">
        <v>1.3</v>
      </c>
      <c r="U645" s="58">
        <f t="shared" si="69"/>
        <v>275.60000000000002</v>
      </c>
      <c r="V645" s="14">
        <f t="shared" si="70"/>
        <v>110.24000000000001</v>
      </c>
      <c r="W645" s="15">
        <f t="shared" si="46"/>
        <v>1</v>
      </c>
      <c r="X645" s="15">
        <f t="shared" si="47"/>
        <v>2.5</v>
      </c>
      <c r="Y645" s="15">
        <f t="shared" si="48"/>
        <v>2.5</v>
      </c>
      <c r="Z645" s="13">
        <f t="shared" si="49"/>
        <v>0</v>
      </c>
      <c r="AA645" s="16">
        <f>VLOOKUP(S645,[1]CPI!$A$2:$D$67,4,0)</f>
        <v>1.5062256809338523</v>
      </c>
      <c r="AB645" s="17">
        <f t="shared" si="71"/>
        <v>415.11579766536971</v>
      </c>
      <c r="AC645" s="17">
        <f t="shared" si="72"/>
        <v>166.0463190661479</v>
      </c>
      <c r="AD645" s="9" t="s">
        <v>1170</v>
      </c>
      <c r="AE645" s="46" t="s">
        <v>1248</v>
      </c>
      <c r="AF645" s="54"/>
      <c r="AG645" s="54"/>
      <c r="AH645" s="54"/>
      <c r="AI645" s="54"/>
    </row>
    <row r="646" spans="1:35" ht="15.75" customHeight="1" x14ac:dyDescent="0.2">
      <c r="A646" s="91"/>
      <c r="B646" s="91" t="s">
        <v>148</v>
      </c>
      <c r="C646" s="111" t="s">
        <v>1245</v>
      </c>
      <c r="D646" s="9"/>
      <c r="E646" s="111" t="s">
        <v>1249</v>
      </c>
      <c r="F646" s="54">
        <v>2006</v>
      </c>
      <c r="G646" s="54">
        <v>2012</v>
      </c>
      <c r="H646" s="54">
        <v>0</v>
      </c>
      <c r="I646" s="9">
        <v>1.5</v>
      </c>
      <c r="J646" s="55">
        <v>0.87</v>
      </c>
      <c r="K646" s="9">
        <v>1.3</v>
      </c>
      <c r="L646" s="54">
        <v>0</v>
      </c>
      <c r="M646" s="54">
        <v>0.2</v>
      </c>
      <c r="N646" s="54">
        <v>1</v>
      </c>
      <c r="O646" s="54">
        <v>80</v>
      </c>
      <c r="P646" s="54" t="s">
        <v>1247</v>
      </c>
      <c r="Q646" s="56">
        <v>200</v>
      </c>
      <c r="R646" s="54" t="s">
        <v>36</v>
      </c>
      <c r="S646" s="54">
        <v>2009</v>
      </c>
      <c r="T646" s="54">
        <v>1.3</v>
      </c>
      <c r="U646" s="58">
        <f t="shared" si="69"/>
        <v>260</v>
      </c>
      <c r="V646" s="14">
        <f t="shared" si="70"/>
        <v>173.33333333333334</v>
      </c>
      <c r="W646" s="15">
        <f t="shared" si="46"/>
        <v>1</v>
      </c>
      <c r="X646" s="15">
        <f t="shared" si="47"/>
        <v>1.5</v>
      </c>
      <c r="Y646" s="15">
        <f t="shared" si="48"/>
        <v>1.3</v>
      </c>
      <c r="Z646" s="13">
        <f t="shared" si="49"/>
        <v>0</v>
      </c>
      <c r="AA646" s="16">
        <f>VLOOKUP(S646,[1]CPI!$A$2:$D$67,4,0)</f>
        <v>1.2630455352689747</v>
      </c>
      <c r="AB646" s="17">
        <f t="shared" si="71"/>
        <v>328.39183916993341</v>
      </c>
      <c r="AC646" s="17">
        <f t="shared" si="72"/>
        <v>218.92789277995561</v>
      </c>
      <c r="AD646" s="9" t="s">
        <v>1170</v>
      </c>
      <c r="AE646" s="46" t="s">
        <v>1250</v>
      </c>
      <c r="AF646" s="54"/>
      <c r="AG646" s="54"/>
      <c r="AH646" s="54"/>
      <c r="AI646" s="54"/>
    </row>
    <row r="647" spans="1:35" ht="15.75" customHeight="1" x14ac:dyDescent="0.2">
      <c r="A647" s="91"/>
      <c r="B647" s="91" t="s">
        <v>148</v>
      </c>
      <c r="C647" s="111" t="s">
        <v>1245</v>
      </c>
      <c r="D647" s="9"/>
      <c r="E647" s="111" t="s">
        <v>1251</v>
      </c>
      <c r="F647" s="54">
        <v>2020</v>
      </c>
      <c r="G647" s="54">
        <v>2023</v>
      </c>
      <c r="H647" s="54">
        <v>0</v>
      </c>
      <c r="I647" s="9">
        <v>1.5</v>
      </c>
      <c r="J647" s="55">
        <v>0</v>
      </c>
      <c r="K647" s="9">
        <v>0</v>
      </c>
      <c r="L647" s="54">
        <v>0.3</v>
      </c>
      <c r="M647" s="54">
        <v>1.2</v>
      </c>
      <c r="N647" s="54">
        <v>2</v>
      </c>
      <c r="O647" s="54">
        <v>80</v>
      </c>
      <c r="P647" s="54" t="s">
        <v>1247</v>
      </c>
      <c r="Q647" s="56">
        <v>63</v>
      </c>
      <c r="R647" s="54" t="s">
        <v>36</v>
      </c>
      <c r="S647" s="54">
        <v>2022</v>
      </c>
      <c r="T647" s="54">
        <v>1.3</v>
      </c>
      <c r="U647" s="58">
        <f t="shared" si="69"/>
        <v>81.900000000000006</v>
      </c>
      <c r="V647" s="14">
        <f t="shared" si="70"/>
        <v>54.6</v>
      </c>
      <c r="W647" s="15">
        <f t="shared" si="46"/>
        <v>1</v>
      </c>
      <c r="X647" s="15">
        <f t="shared" si="47"/>
        <v>1.5</v>
      </c>
      <c r="Y647" s="15">
        <f t="shared" si="48"/>
        <v>0</v>
      </c>
      <c r="Z647" s="13">
        <f t="shared" si="49"/>
        <v>0</v>
      </c>
      <c r="AA647" s="16">
        <f>VLOOKUP(S647,[1]CPI!$A$2:$D$67,4,0)</f>
        <v>1</v>
      </c>
      <c r="AB647" s="17">
        <f t="shared" si="71"/>
        <v>81.900000000000006</v>
      </c>
      <c r="AC647" s="17">
        <f t="shared" si="72"/>
        <v>54.6</v>
      </c>
      <c r="AD647" s="9" t="s">
        <v>1170</v>
      </c>
      <c r="AE647" s="46" t="s">
        <v>1252</v>
      </c>
      <c r="AF647" s="54"/>
      <c r="AG647" s="54"/>
      <c r="AH647" s="54"/>
      <c r="AI647" s="54"/>
    </row>
    <row r="648" spans="1:35" ht="15.75" customHeight="1" x14ac:dyDescent="0.2">
      <c r="A648" s="91"/>
      <c r="B648" s="91" t="s">
        <v>148</v>
      </c>
      <c r="C648" s="111" t="s">
        <v>190</v>
      </c>
      <c r="D648" s="9"/>
      <c r="E648" s="111" t="s">
        <v>1253</v>
      </c>
      <c r="F648" s="54">
        <v>2022</v>
      </c>
      <c r="G648" s="54">
        <v>2029</v>
      </c>
      <c r="H648" s="54">
        <v>0</v>
      </c>
      <c r="I648" s="9">
        <v>12.6</v>
      </c>
      <c r="J648" s="55">
        <v>1</v>
      </c>
      <c r="K648" s="9">
        <v>12.6</v>
      </c>
      <c r="L648" s="54">
        <v>0</v>
      </c>
      <c r="M648" s="54">
        <v>0</v>
      </c>
      <c r="N648" s="54">
        <v>12</v>
      </c>
      <c r="O648" s="54">
        <v>50</v>
      </c>
      <c r="P648" s="54" t="s">
        <v>1170</v>
      </c>
      <c r="Q648" s="56">
        <v>1250</v>
      </c>
      <c r="R648" s="54" t="s">
        <v>36</v>
      </c>
      <c r="S648" s="54">
        <v>2025</v>
      </c>
      <c r="T648" s="54">
        <v>1.3</v>
      </c>
      <c r="U648" s="58">
        <f t="shared" si="69"/>
        <v>1625</v>
      </c>
      <c r="V648" s="14">
        <f t="shared" si="70"/>
        <v>128.96825396825398</v>
      </c>
      <c r="W648" s="15">
        <f t="shared" si="46"/>
        <v>1</v>
      </c>
      <c r="X648" s="15">
        <f t="shared" si="47"/>
        <v>12.6</v>
      </c>
      <c r="Y648" s="15">
        <f t="shared" si="48"/>
        <v>12.6</v>
      </c>
      <c r="Z648" s="13">
        <f t="shared" si="49"/>
        <v>0</v>
      </c>
      <c r="AA648" s="16">
        <f>VLOOKUP(S648,[1]CPI!$A$2:$D$67,4,0)</f>
        <v>1</v>
      </c>
      <c r="AB648" s="17">
        <f t="shared" si="71"/>
        <v>1625</v>
      </c>
      <c r="AC648" s="17">
        <f t="shared" si="72"/>
        <v>128.96825396825398</v>
      </c>
      <c r="AD648" s="9" t="s">
        <v>1170</v>
      </c>
      <c r="AE648" s="54" t="s">
        <v>1254</v>
      </c>
      <c r="AF648" s="54"/>
      <c r="AG648" s="54"/>
      <c r="AH648" s="54"/>
      <c r="AI648" s="54"/>
    </row>
    <row r="649" spans="1:35" ht="15.75" customHeight="1" x14ac:dyDescent="0.2">
      <c r="A649" s="91"/>
      <c r="B649" s="91" t="s">
        <v>148</v>
      </c>
      <c r="C649" s="111" t="s">
        <v>190</v>
      </c>
      <c r="D649" s="9" t="s">
        <v>660</v>
      </c>
      <c r="E649" s="111" t="s">
        <v>1255</v>
      </c>
      <c r="F649" s="54">
        <v>2022</v>
      </c>
      <c r="G649" s="54">
        <v>2027</v>
      </c>
      <c r="H649" s="54">
        <v>0</v>
      </c>
      <c r="I649" s="9">
        <v>3.3</v>
      </c>
      <c r="J649" s="55">
        <v>1</v>
      </c>
      <c r="K649" s="9">
        <v>3.3</v>
      </c>
      <c r="L649" s="54">
        <v>0</v>
      </c>
      <c r="M649" s="54">
        <v>0</v>
      </c>
      <c r="N649" s="54">
        <v>3</v>
      </c>
      <c r="O649" s="54">
        <v>110</v>
      </c>
      <c r="P649" s="54" t="s">
        <v>1170</v>
      </c>
      <c r="Q649" s="56">
        <v>396</v>
      </c>
      <c r="R649" s="54" t="s">
        <v>36</v>
      </c>
      <c r="S649" s="54">
        <v>2025</v>
      </c>
      <c r="T649" s="54">
        <v>1.3</v>
      </c>
      <c r="U649" s="58">
        <f t="shared" si="69"/>
        <v>514.80000000000007</v>
      </c>
      <c r="V649" s="14">
        <f t="shared" si="70"/>
        <v>156.00000000000003</v>
      </c>
      <c r="W649" s="15">
        <f t="shared" si="46"/>
        <v>1</v>
      </c>
      <c r="X649" s="15">
        <f t="shared" si="47"/>
        <v>3.3</v>
      </c>
      <c r="Y649" s="15">
        <f t="shared" si="48"/>
        <v>3.3</v>
      </c>
      <c r="Z649" s="13">
        <f t="shared" si="49"/>
        <v>0</v>
      </c>
      <c r="AA649" s="16">
        <f>VLOOKUP(S649,[1]CPI!$A$2:$D$67,4,0)</f>
        <v>1</v>
      </c>
      <c r="AB649" s="17">
        <f t="shared" si="71"/>
        <v>514.80000000000007</v>
      </c>
      <c r="AC649" s="17">
        <f t="shared" si="72"/>
        <v>156.00000000000003</v>
      </c>
      <c r="AD649" s="9" t="s">
        <v>1170</v>
      </c>
      <c r="AE649" s="46" t="s">
        <v>1256</v>
      </c>
      <c r="AF649" s="54"/>
      <c r="AG649" s="54"/>
      <c r="AH649" s="54"/>
      <c r="AI649" s="54"/>
    </row>
    <row r="650" spans="1:35" ht="15.75" customHeight="1" x14ac:dyDescent="0.2">
      <c r="A650" s="91"/>
      <c r="B650" s="91" t="s">
        <v>148</v>
      </c>
      <c r="C650" s="111" t="s">
        <v>190</v>
      </c>
      <c r="D650" s="9" t="s">
        <v>660</v>
      </c>
      <c r="E650" s="111" t="s">
        <v>1257</v>
      </c>
      <c r="F650" s="54">
        <v>2010</v>
      </c>
      <c r="G650" s="54">
        <v>2022</v>
      </c>
      <c r="H650" s="54">
        <v>0</v>
      </c>
      <c r="I650" s="9">
        <v>1.9</v>
      </c>
      <c r="J650" s="55">
        <v>1</v>
      </c>
      <c r="K650" s="9">
        <v>1.9</v>
      </c>
      <c r="L650" s="54">
        <v>0</v>
      </c>
      <c r="M650" s="54">
        <v>0</v>
      </c>
      <c r="N650" s="54">
        <v>2</v>
      </c>
      <c r="O650" s="54">
        <v>110</v>
      </c>
      <c r="P650" s="54" t="s">
        <v>1247</v>
      </c>
      <c r="Q650" s="56">
        <v>143</v>
      </c>
      <c r="R650" s="54" t="s">
        <v>36</v>
      </c>
      <c r="S650" s="54">
        <v>2015</v>
      </c>
      <c r="T650" s="54">
        <v>1.3</v>
      </c>
      <c r="U650" s="58">
        <f t="shared" si="69"/>
        <v>185.9</v>
      </c>
      <c r="V650" s="14">
        <f t="shared" si="70"/>
        <v>97.842105263157904</v>
      </c>
      <c r="W650" s="15">
        <f t="shared" si="46"/>
        <v>1</v>
      </c>
      <c r="X650" s="15">
        <f t="shared" si="47"/>
        <v>1.9</v>
      </c>
      <c r="Y650" s="15">
        <f t="shared" si="48"/>
        <v>1.9</v>
      </c>
      <c r="Z650" s="13">
        <f t="shared" si="49"/>
        <v>0</v>
      </c>
      <c r="AA650" s="16">
        <f>VLOOKUP(S650,[1]CPI!$A$2:$D$67,4,0)</f>
        <v>1.143251327963817</v>
      </c>
      <c r="AB650" s="17">
        <f t="shared" si="71"/>
        <v>212.53042186847358</v>
      </c>
      <c r="AC650" s="17">
        <f t="shared" si="72"/>
        <v>111.85811677288085</v>
      </c>
      <c r="AD650" s="9" t="s">
        <v>1170</v>
      </c>
      <c r="AE650" s="54" t="s">
        <v>1258</v>
      </c>
      <c r="AF650" s="54"/>
      <c r="AG650" s="54"/>
      <c r="AH650" s="54"/>
      <c r="AI650" s="54"/>
    </row>
    <row r="651" spans="1:35" ht="15.75" customHeight="1" x14ac:dyDescent="0.2">
      <c r="A651" s="91"/>
      <c r="B651" s="91" t="s">
        <v>148</v>
      </c>
      <c r="C651" s="111" t="s">
        <v>190</v>
      </c>
      <c r="D651" s="9" t="s">
        <v>660</v>
      </c>
      <c r="E651" s="111" t="s">
        <v>1259</v>
      </c>
      <c r="F651" s="54" t="s">
        <v>1260</v>
      </c>
      <c r="G651" s="54">
        <v>2011</v>
      </c>
      <c r="H651" s="54">
        <v>0</v>
      </c>
      <c r="I651" s="9">
        <v>4.8</v>
      </c>
      <c r="J651" s="55">
        <v>0</v>
      </c>
      <c r="K651" s="9">
        <v>0</v>
      </c>
      <c r="L651" s="54">
        <v>0</v>
      </c>
      <c r="M651" s="54">
        <v>4.8</v>
      </c>
      <c r="N651" s="54">
        <v>2</v>
      </c>
      <c r="O651" s="54">
        <v>110</v>
      </c>
      <c r="P651" s="54" t="s">
        <v>1247</v>
      </c>
      <c r="Q651" s="56">
        <v>70</v>
      </c>
      <c r="R651" s="54" t="s">
        <v>36</v>
      </c>
      <c r="S651" s="54">
        <v>2005</v>
      </c>
      <c r="T651" s="54">
        <v>1.3</v>
      </c>
      <c r="U651" s="58">
        <f t="shared" si="69"/>
        <v>91</v>
      </c>
      <c r="V651" s="14">
        <f t="shared" si="70"/>
        <v>18.958333333333336</v>
      </c>
      <c r="W651" s="15">
        <f t="shared" si="46"/>
        <v>1</v>
      </c>
      <c r="X651" s="15">
        <f t="shared" si="47"/>
        <v>4.8</v>
      </c>
      <c r="Y651" s="15">
        <f t="shared" si="48"/>
        <v>0</v>
      </c>
      <c r="Z651" s="13">
        <f t="shared" si="49"/>
        <v>0</v>
      </c>
      <c r="AA651" s="16">
        <f>VLOOKUP(S651,[1]CPI!$A$2:$D$67,4,0)</f>
        <v>1.3874551971326166</v>
      </c>
      <c r="AB651" s="17">
        <f t="shared" si="71"/>
        <v>126.25842293906811</v>
      </c>
      <c r="AC651" s="17">
        <f t="shared" si="72"/>
        <v>26.303838112305858</v>
      </c>
      <c r="AD651" s="9" t="s">
        <v>1170</v>
      </c>
      <c r="AE651" s="46" t="s">
        <v>1248</v>
      </c>
      <c r="AF651" s="54"/>
      <c r="AG651" s="54"/>
      <c r="AH651" s="54"/>
      <c r="AI651" s="54"/>
    </row>
    <row r="652" spans="1:35" ht="15.75" customHeight="1" x14ac:dyDescent="0.2">
      <c r="A652" s="91"/>
      <c r="B652" s="91" t="s">
        <v>148</v>
      </c>
      <c r="C652" s="111" t="s">
        <v>190</v>
      </c>
      <c r="D652" s="9"/>
      <c r="E652" s="111" t="s">
        <v>1261</v>
      </c>
      <c r="F652" s="54" t="s">
        <v>1260</v>
      </c>
      <c r="G652" s="54">
        <v>2011</v>
      </c>
      <c r="H652" s="54">
        <v>0</v>
      </c>
      <c r="I652" s="9">
        <v>3.9</v>
      </c>
      <c r="J652" s="55">
        <v>1</v>
      </c>
      <c r="K652" s="9">
        <v>3.9</v>
      </c>
      <c r="L652" s="54">
        <v>0</v>
      </c>
      <c r="M652" s="54">
        <v>0</v>
      </c>
      <c r="N652" s="54">
        <v>4</v>
      </c>
      <c r="O652" s="54">
        <v>110</v>
      </c>
      <c r="P652" s="54" t="s">
        <v>1247</v>
      </c>
      <c r="Q652" s="56">
        <v>267</v>
      </c>
      <c r="R652" s="54" t="s">
        <v>36</v>
      </c>
      <c r="S652" s="54">
        <v>2005</v>
      </c>
      <c r="T652" s="54">
        <v>1.3</v>
      </c>
      <c r="U652" s="58">
        <f t="shared" si="69"/>
        <v>347.1</v>
      </c>
      <c r="V652" s="14">
        <f t="shared" si="70"/>
        <v>89.000000000000014</v>
      </c>
      <c r="W652" s="15">
        <f t="shared" si="46"/>
        <v>1</v>
      </c>
      <c r="X652" s="15">
        <f t="shared" si="47"/>
        <v>3.9</v>
      </c>
      <c r="Y652" s="15">
        <f t="shared" si="48"/>
        <v>3.9</v>
      </c>
      <c r="Z652" s="13">
        <f t="shared" si="49"/>
        <v>0</v>
      </c>
      <c r="AA652" s="16">
        <f>VLOOKUP(S652,[1]CPI!$A$2:$D$67,4,0)</f>
        <v>1.3874551971326166</v>
      </c>
      <c r="AB652" s="17">
        <f t="shared" si="71"/>
        <v>481.58569892473122</v>
      </c>
      <c r="AC652" s="17">
        <f t="shared" si="72"/>
        <v>123.48351254480289</v>
      </c>
      <c r="AD652" s="9" t="s">
        <v>1170</v>
      </c>
      <c r="AE652" s="46" t="s">
        <v>1248</v>
      </c>
      <c r="AF652" s="54"/>
      <c r="AG652" s="54"/>
      <c r="AH652" s="54"/>
      <c r="AI652" s="54"/>
    </row>
    <row r="653" spans="1:35" ht="15.75" customHeight="1" x14ac:dyDescent="0.2">
      <c r="A653" s="91"/>
      <c r="B653" s="91" t="s">
        <v>148</v>
      </c>
      <c r="C653" s="111" t="s">
        <v>190</v>
      </c>
      <c r="D653" s="9"/>
      <c r="E653" s="111" t="s">
        <v>1262</v>
      </c>
      <c r="F653" s="54">
        <v>2003</v>
      </c>
      <c r="G653" s="54">
        <v>2005</v>
      </c>
      <c r="H653" s="54">
        <v>0</v>
      </c>
      <c r="I653" s="9">
        <v>2.1</v>
      </c>
      <c r="J653" s="55">
        <v>1</v>
      </c>
      <c r="K653" s="9">
        <v>2.1</v>
      </c>
      <c r="L653" s="54">
        <v>0</v>
      </c>
      <c r="M653" s="54">
        <v>0</v>
      </c>
      <c r="N653" s="54">
        <v>2</v>
      </c>
      <c r="O653" s="54">
        <v>110</v>
      </c>
      <c r="P653" s="54" t="s">
        <v>1247</v>
      </c>
      <c r="Q653" s="56">
        <v>95</v>
      </c>
      <c r="R653" s="54" t="s">
        <v>36</v>
      </c>
      <c r="S653" s="54">
        <v>2004</v>
      </c>
      <c r="T653" s="54">
        <v>1.3</v>
      </c>
      <c r="U653" s="58">
        <f t="shared" si="69"/>
        <v>123.5</v>
      </c>
      <c r="V653" s="14">
        <f t="shared" si="70"/>
        <v>58.80952380952381</v>
      </c>
      <c r="W653" s="15">
        <f t="shared" si="46"/>
        <v>1</v>
      </c>
      <c r="X653" s="15">
        <f t="shared" si="47"/>
        <v>2.1</v>
      </c>
      <c r="Y653" s="15">
        <f t="shared" si="48"/>
        <v>2.1</v>
      </c>
      <c r="Z653" s="13">
        <f t="shared" si="49"/>
        <v>0</v>
      </c>
      <c r="AA653" s="16">
        <f>VLOOKUP(S653,[1]CPI!$A$2:$D$67,4,0)</f>
        <v>1.4344626786659609</v>
      </c>
      <c r="AB653" s="17">
        <f t="shared" si="71"/>
        <v>177.15614081524618</v>
      </c>
      <c r="AC653" s="17">
        <f t="shared" si="72"/>
        <v>84.360067054879124</v>
      </c>
      <c r="AD653" s="9" t="s">
        <v>1170</v>
      </c>
      <c r="AE653" s="46" t="s">
        <v>1263</v>
      </c>
      <c r="AF653" s="54"/>
      <c r="AG653" s="54"/>
      <c r="AH653" s="54"/>
      <c r="AI653" s="54"/>
    </row>
    <row r="654" spans="1:35" ht="15.75" customHeight="1" x14ac:dyDescent="0.2">
      <c r="A654" s="91"/>
      <c r="B654" s="91" t="s">
        <v>148</v>
      </c>
      <c r="C654" s="111" t="s">
        <v>1163</v>
      </c>
      <c r="D654" s="9" t="s">
        <v>92</v>
      </c>
      <c r="E654" s="111" t="s">
        <v>1264</v>
      </c>
      <c r="F654" s="54">
        <v>1986</v>
      </c>
      <c r="G654" s="54">
        <v>2003</v>
      </c>
      <c r="H654" s="54">
        <v>0</v>
      </c>
      <c r="I654" s="9">
        <v>13.7</v>
      </c>
      <c r="J654" s="55">
        <v>0.7</v>
      </c>
      <c r="K654" s="9">
        <v>9.6</v>
      </c>
      <c r="L654" s="54">
        <v>4.0999999999999996</v>
      </c>
      <c r="M654" s="54">
        <v>0</v>
      </c>
      <c r="N654" s="54">
        <v>14</v>
      </c>
      <c r="O654" s="54">
        <v>110</v>
      </c>
      <c r="P654" s="54" t="s">
        <v>1170</v>
      </c>
      <c r="Q654" s="56">
        <v>1474</v>
      </c>
      <c r="R654" s="54" t="s">
        <v>36</v>
      </c>
      <c r="S654" s="54">
        <v>1990</v>
      </c>
      <c r="T654" s="54">
        <v>1.3</v>
      </c>
      <c r="U654" s="58">
        <f t="shared" si="69"/>
        <v>1916.2</v>
      </c>
      <c r="V654" s="14">
        <f t="shared" si="70"/>
        <v>139.86861313868613</v>
      </c>
      <c r="W654" s="15">
        <f t="shared" si="46"/>
        <v>1</v>
      </c>
      <c r="X654" s="15">
        <f t="shared" si="47"/>
        <v>13.7</v>
      </c>
      <c r="Y654" s="15">
        <f t="shared" si="48"/>
        <v>9.6</v>
      </c>
      <c r="Z654" s="13">
        <f t="shared" si="49"/>
        <v>0</v>
      </c>
      <c r="AA654" s="16">
        <f>VLOOKUP(S654,[1]CPI!$A$2:$D$67,4,0)</f>
        <v>2.0732211170619745</v>
      </c>
      <c r="AB654" s="17">
        <f t="shared" si="71"/>
        <v>3972.7063045141558</v>
      </c>
      <c r="AC654" s="17">
        <f t="shared" si="72"/>
        <v>289.97856237329603</v>
      </c>
      <c r="AD654" s="9" t="s">
        <v>1170</v>
      </c>
      <c r="AE654" s="46" t="s">
        <v>1265</v>
      </c>
      <c r="AF654" s="54"/>
      <c r="AG654" s="54"/>
      <c r="AH654" s="54"/>
      <c r="AI654" s="54"/>
    </row>
    <row r="655" spans="1:35" ht="15.75" customHeight="1" x14ac:dyDescent="0.2">
      <c r="A655" s="91"/>
      <c r="B655" s="91" t="s">
        <v>148</v>
      </c>
      <c r="C655" s="111" t="s">
        <v>1163</v>
      </c>
      <c r="D655" s="9"/>
      <c r="E655" s="111" t="s">
        <v>1266</v>
      </c>
      <c r="F655" s="54">
        <v>2001</v>
      </c>
      <c r="G655" s="54">
        <v>2009</v>
      </c>
      <c r="H655" s="54">
        <v>0</v>
      </c>
      <c r="I655" s="9">
        <v>10.6</v>
      </c>
      <c r="J655" s="55">
        <v>1</v>
      </c>
      <c r="K655" s="9">
        <v>10.6</v>
      </c>
      <c r="L655" s="54">
        <v>0</v>
      </c>
      <c r="M655" s="54">
        <v>0</v>
      </c>
      <c r="N655" s="54">
        <v>5</v>
      </c>
      <c r="O655" s="54">
        <v>110</v>
      </c>
      <c r="P655" s="54" t="s">
        <v>1247</v>
      </c>
      <c r="Q655" s="56">
        <v>611</v>
      </c>
      <c r="R655" s="54" t="s">
        <v>36</v>
      </c>
      <c r="S655" s="54">
        <v>2005</v>
      </c>
      <c r="T655" s="54">
        <v>1.3</v>
      </c>
      <c r="U655" s="58">
        <f t="shared" si="69"/>
        <v>794.30000000000007</v>
      </c>
      <c r="V655" s="14">
        <f t="shared" si="70"/>
        <v>74.933962264150949</v>
      </c>
      <c r="W655" s="15">
        <f t="shared" si="46"/>
        <v>1</v>
      </c>
      <c r="X655" s="15">
        <f t="shared" si="47"/>
        <v>10.6</v>
      </c>
      <c r="Y655" s="15">
        <f t="shared" si="48"/>
        <v>10.6</v>
      </c>
      <c r="Z655" s="13">
        <f t="shared" si="49"/>
        <v>0</v>
      </c>
      <c r="AA655" s="16">
        <f>VLOOKUP(S655,[1]CPI!$A$2:$D$67,4,0)</f>
        <v>1.3874551971326166</v>
      </c>
      <c r="AB655" s="17">
        <f t="shared" si="71"/>
        <v>1102.0556630824374</v>
      </c>
      <c r="AC655" s="17">
        <f t="shared" si="72"/>
        <v>103.9675153851356</v>
      </c>
      <c r="AD655" s="9" t="s">
        <v>1170</v>
      </c>
      <c r="AE655" s="46" t="s">
        <v>1267</v>
      </c>
      <c r="AF655" s="54"/>
      <c r="AG655" s="54"/>
      <c r="AH655" s="54"/>
      <c r="AI655" s="54"/>
    </row>
    <row r="656" spans="1:35" ht="15.75" customHeight="1" x14ac:dyDescent="0.2">
      <c r="A656" s="91"/>
      <c r="B656" s="91" t="s">
        <v>148</v>
      </c>
      <c r="C656" s="111" t="s">
        <v>1163</v>
      </c>
      <c r="D656" s="9"/>
      <c r="E656" s="111" t="s">
        <v>1268</v>
      </c>
      <c r="F656" s="54">
        <v>1999</v>
      </c>
      <c r="G656" s="54">
        <v>2023</v>
      </c>
      <c r="H656" s="54">
        <v>0</v>
      </c>
      <c r="I656" s="9">
        <v>3.3</v>
      </c>
      <c r="J656" s="55">
        <v>1</v>
      </c>
      <c r="K656" s="9">
        <v>3.3</v>
      </c>
      <c r="L656" s="54">
        <v>0</v>
      </c>
      <c r="M656" s="54">
        <v>0</v>
      </c>
      <c r="N656" s="54">
        <v>4</v>
      </c>
      <c r="O656" s="54">
        <v>110</v>
      </c>
      <c r="P656" s="54" t="s">
        <v>1247</v>
      </c>
      <c r="Q656" s="56">
        <v>391</v>
      </c>
      <c r="R656" s="54" t="s">
        <v>36</v>
      </c>
      <c r="S656" s="54">
        <v>2010</v>
      </c>
      <c r="T656" s="54">
        <v>1.3</v>
      </c>
      <c r="U656" s="58">
        <f t="shared" si="69"/>
        <v>508.3</v>
      </c>
      <c r="V656" s="14">
        <f t="shared" si="70"/>
        <v>154.03030303030303</v>
      </c>
      <c r="W656" s="15">
        <f t="shared" si="46"/>
        <v>1</v>
      </c>
      <c r="X656" s="15">
        <f t="shared" si="47"/>
        <v>3.3</v>
      </c>
      <c r="Y656" s="15">
        <f t="shared" si="48"/>
        <v>3.3</v>
      </c>
      <c r="Z656" s="13">
        <f t="shared" si="49"/>
        <v>0</v>
      </c>
      <c r="AA656" s="16">
        <f>VLOOKUP(S656,[1]CPI!$A$2:$D$67,4,0)</f>
        <v>1.2426624353377114</v>
      </c>
      <c r="AB656" s="17">
        <f t="shared" si="71"/>
        <v>631.64531588215868</v>
      </c>
      <c r="AC656" s="17">
        <f t="shared" si="72"/>
        <v>191.40767147944203</v>
      </c>
      <c r="AD656" s="9" t="s">
        <v>1170</v>
      </c>
      <c r="AE656" s="46" t="s">
        <v>1265</v>
      </c>
      <c r="AF656" s="54"/>
      <c r="AG656" s="54"/>
      <c r="AH656" s="54"/>
      <c r="AI656" s="54"/>
    </row>
    <row r="657" spans="1:43" ht="15.75" customHeight="1" x14ac:dyDescent="0.2">
      <c r="A657" s="91"/>
      <c r="B657" s="91" t="s">
        <v>38</v>
      </c>
      <c r="C657" s="111" t="s">
        <v>1269</v>
      </c>
      <c r="D657" s="9"/>
      <c r="E657" s="111" t="s">
        <v>1270</v>
      </c>
      <c r="F657" s="54">
        <v>2016</v>
      </c>
      <c r="G657" s="54">
        <v>2023</v>
      </c>
      <c r="H657" s="54">
        <v>0</v>
      </c>
      <c r="I657" s="9">
        <v>13.1</v>
      </c>
      <c r="J657" s="55">
        <v>0.03</v>
      </c>
      <c r="K657" s="9">
        <v>0.4</v>
      </c>
      <c r="L657" s="54"/>
      <c r="M657" s="54"/>
      <c r="N657" s="54">
        <v>12</v>
      </c>
      <c r="O657" s="54">
        <v>125</v>
      </c>
      <c r="P657" s="54" t="s">
        <v>50</v>
      </c>
      <c r="Q657" s="56">
        <v>1800</v>
      </c>
      <c r="R657" s="54" t="s">
        <v>42</v>
      </c>
      <c r="S657" s="54">
        <v>2019</v>
      </c>
      <c r="T657" s="54">
        <v>0.80200000000000005</v>
      </c>
      <c r="U657" s="58">
        <f t="shared" si="69"/>
        <v>1443.6000000000001</v>
      </c>
      <c r="V657" s="14">
        <f t="shared" si="70"/>
        <v>110.19847328244276</v>
      </c>
      <c r="W657" s="15">
        <f t="shared" si="46"/>
        <v>0</v>
      </c>
      <c r="X657" s="15">
        <f t="shared" si="47"/>
        <v>0</v>
      </c>
      <c r="Y657" s="15">
        <f t="shared" si="48"/>
        <v>0</v>
      </c>
      <c r="Z657" s="13">
        <f t="shared" si="49"/>
        <v>1</v>
      </c>
      <c r="AA657" s="16">
        <f>VLOOKUP(S657,[1]CPI!$A$2:$D$67,4,0)</f>
        <v>1.0598966584134211</v>
      </c>
      <c r="AB657" s="17">
        <f t="shared" si="71"/>
        <v>1530.0668160856148</v>
      </c>
      <c r="AC657" s="17">
        <f t="shared" si="72"/>
        <v>116.79899359432174</v>
      </c>
      <c r="AD657" s="9" t="s">
        <v>43</v>
      </c>
      <c r="AE657" s="46" t="s">
        <v>1271</v>
      </c>
      <c r="AF657" s="54"/>
      <c r="AG657" s="54"/>
      <c r="AH657" s="54"/>
      <c r="AI657" s="54"/>
    </row>
    <row r="658" spans="1:43" ht="15.75" customHeight="1" x14ac:dyDescent="0.2">
      <c r="A658" s="140"/>
      <c r="B658" s="141" t="s">
        <v>267</v>
      </c>
      <c r="C658" s="142" t="s">
        <v>1272</v>
      </c>
      <c r="D658" s="142"/>
      <c r="E658" s="142" t="s">
        <v>1273</v>
      </c>
      <c r="F658" s="142"/>
      <c r="G658" s="142"/>
      <c r="H658" s="143">
        <v>0</v>
      </c>
      <c r="I658" s="143">
        <v>29.65</v>
      </c>
      <c r="J658" s="144">
        <v>0.2591</v>
      </c>
      <c r="K658" s="143">
        <v>7.681</v>
      </c>
      <c r="L658" s="143">
        <v>21.969000000000001</v>
      </c>
      <c r="M658" s="142"/>
      <c r="N658" s="143">
        <v>27</v>
      </c>
      <c r="O658" s="143"/>
      <c r="P658" s="142"/>
      <c r="Q658" s="145">
        <v>83796</v>
      </c>
      <c r="R658" s="142" t="s">
        <v>270</v>
      </c>
      <c r="S658" s="142"/>
      <c r="T658" s="142"/>
      <c r="U658" s="69"/>
      <c r="V658" s="70"/>
      <c r="W658" s="15">
        <f t="shared" si="46"/>
        <v>0</v>
      </c>
      <c r="X658" s="15">
        <f t="shared" si="47"/>
        <v>0</v>
      </c>
      <c r="Y658" s="15">
        <f t="shared" si="48"/>
        <v>0</v>
      </c>
      <c r="Z658" s="13">
        <f t="shared" si="49"/>
        <v>0</v>
      </c>
      <c r="AA658" s="16"/>
      <c r="AB658" s="17"/>
      <c r="AC658" s="17"/>
      <c r="AD658" s="142"/>
      <c r="AE658" s="146" t="s">
        <v>1274</v>
      </c>
      <c r="AF658" s="142"/>
      <c r="AG658" s="142"/>
      <c r="AH658" s="142"/>
      <c r="AI658" s="142"/>
      <c r="AJ658" s="147"/>
      <c r="AK658" s="147"/>
      <c r="AL658" s="147"/>
      <c r="AM658" s="147"/>
      <c r="AN658" s="147"/>
      <c r="AO658" s="147"/>
      <c r="AP658" s="147"/>
    </row>
    <row r="659" spans="1:43" x14ac:dyDescent="0.2">
      <c r="A659" s="54"/>
      <c r="B659" s="54" t="s">
        <v>672</v>
      </c>
      <c r="C659" s="54" t="s">
        <v>1275</v>
      </c>
      <c r="D659" s="54"/>
      <c r="E659" s="54" t="s">
        <v>679</v>
      </c>
      <c r="F659" s="72">
        <v>2019</v>
      </c>
      <c r="G659" s="54"/>
      <c r="H659" s="72">
        <v>0</v>
      </c>
      <c r="I659" s="72">
        <v>34.237000000000002</v>
      </c>
      <c r="J659" s="73">
        <v>0.92</v>
      </c>
      <c r="K659" s="72">
        <v>31.635000000000002</v>
      </c>
      <c r="L659" s="54"/>
      <c r="M659" s="54"/>
      <c r="N659" s="72">
        <v>29</v>
      </c>
      <c r="O659" s="72">
        <v>117</v>
      </c>
      <c r="P659" s="54"/>
      <c r="Q659" s="65">
        <v>23297</v>
      </c>
      <c r="R659" s="54" t="s">
        <v>676</v>
      </c>
      <c r="S659" s="54">
        <v>2021</v>
      </c>
      <c r="T659" s="61">
        <v>0.23899999999999999</v>
      </c>
      <c r="U659" s="69">
        <f t="shared" ref="U659:U674" si="74">Q659*T659</f>
        <v>5567.9830000000002</v>
      </c>
      <c r="V659" s="70">
        <f t="shared" ref="V659:V674" si="75">U659/I659</f>
        <v>162.63057510880043</v>
      </c>
      <c r="W659" s="15">
        <f t="shared" si="46"/>
        <v>0</v>
      </c>
      <c r="X659" s="15">
        <f t="shared" si="47"/>
        <v>0</v>
      </c>
      <c r="Y659" s="15">
        <f t="shared" si="48"/>
        <v>0</v>
      </c>
      <c r="Z659" s="13">
        <f t="shared" si="49"/>
        <v>0</v>
      </c>
      <c r="AA659" s="16">
        <f>VLOOKUP(S659,[1]CPI!$A$2:$D$67,4,0)</f>
        <v>1</v>
      </c>
      <c r="AB659" s="17">
        <f t="shared" ref="AB659:AB674" si="76">U659*AA659</f>
        <v>5567.9830000000002</v>
      </c>
      <c r="AC659" s="17">
        <f t="shared" ref="AC659:AC674" si="77">V659*AA659</f>
        <v>162.63057510880043</v>
      </c>
      <c r="AD659" s="54" t="s">
        <v>73</v>
      </c>
      <c r="AE659" s="46" t="s">
        <v>1276</v>
      </c>
      <c r="AF659" s="54"/>
      <c r="AG659" s="54"/>
      <c r="AH659" s="54"/>
      <c r="AI659" s="54"/>
    </row>
    <row r="660" spans="1:43" x14ac:dyDescent="0.2">
      <c r="A660" s="54"/>
      <c r="B660" s="54" t="s">
        <v>672</v>
      </c>
      <c r="C660" s="54" t="s">
        <v>1275</v>
      </c>
      <c r="D660" s="54"/>
      <c r="E660" s="54" t="s">
        <v>698</v>
      </c>
      <c r="F660" s="72">
        <v>2021</v>
      </c>
      <c r="G660" s="54"/>
      <c r="H660" s="72">
        <v>0</v>
      </c>
      <c r="I660" s="72">
        <v>19.79</v>
      </c>
      <c r="J660" s="73">
        <v>1</v>
      </c>
      <c r="K660" s="72">
        <v>19.79</v>
      </c>
      <c r="L660" s="54"/>
      <c r="M660" s="54"/>
      <c r="N660" s="72">
        <v>15</v>
      </c>
      <c r="O660" s="72">
        <v>117</v>
      </c>
      <c r="P660" s="54"/>
      <c r="Q660" s="65">
        <v>14864</v>
      </c>
      <c r="R660" s="54" t="s">
        <v>676</v>
      </c>
      <c r="S660" s="54">
        <v>2021</v>
      </c>
      <c r="T660" s="61">
        <v>0.23899999999999999</v>
      </c>
      <c r="U660" s="69">
        <f t="shared" si="74"/>
        <v>3552.4959999999996</v>
      </c>
      <c r="V660" s="70">
        <f t="shared" si="75"/>
        <v>179.50965133906013</v>
      </c>
      <c r="W660" s="15">
        <f t="shared" si="46"/>
        <v>0</v>
      </c>
      <c r="X660" s="15">
        <f t="shared" si="47"/>
        <v>0</v>
      </c>
      <c r="Y660" s="15">
        <f t="shared" si="48"/>
        <v>0</v>
      </c>
      <c r="Z660" s="13">
        <f t="shared" si="49"/>
        <v>0</v>
      </c>
      <c r="AA660" s="16">
        <f>VLOOKUP(S660,[1]CPI!$A$2:$D$67,4,0)</f>
        <v>1</v>
      </c>
      <c r="AB660" s="17">
        <f t="shared" si="76"/>
        <v>3552.4959999999996</v>
      </c>
      <c r="AC660" s="17">
        <f t="shared" si="77"/>
        <v>179.50965133906013</v>
      </c>
      <c r="AD660" s="54"/>
      <c r="AE660" s="46" t="s">
        <v>1277</v>
      </c>
      <c r="AF660" s="54"/>
      <c r="AG660" s="54"/>
      <c r="AH660" s="54"/>
      <c r="AI660" s="54"/>
    </row>
    <row r="661" spans="1:43" x14ac:dyDescent="0.2">
      <c r="A661" s="54"/>
      <c r="B661" s="54" t="s">
        <v>672</v>
      </c>
      <c r="C661" s="54" t="s">
        <v>1278</v>
      </c>
      <c r="D661" s="54"/>
      <c r="E661" s="54" t="s">
        <v>1279</v>
      </c>
      <c r="F661" s="72">
        <v>2007</v>
      </c>
      <c r="G661" s="72">
        <v>2011</v>
      </c>
      <c r="H661" s="72">
        <v>0</v>
      </c>
      <c r="I661" s="72">
        <v>32.159999999999997</v>
      </c>
      <c r="J661" s="73">
        <v>1</v>
      </c>
      <c r="K661" s="72">
        <v>32.159999999999997</v>
      </c>
      <c r="L661" s="54"/>
      <c r="M661" s="54"/>
      <c r="N661" s="72">
        <v>21</v>
      </c>
      <c r="O661" s="72">
        <v>78</v>
      </c>
      <c r="P661" s="54"/>
      <c r="Q661" s="65">
        <v>14519</v>
      </c>
      <c r="R661" s="54" t="s">
        <v>676</v>
      </c>
      <c r="S661" s="54">
        <v>2009</v>
      </c>
      <c r="T661" s="15">
        <v>0.317</v>
      </c>
      <c r="U661" s="69">
        <f t="shared" si="74"/>
        <v>4602.5230000000001</v>
      </c>
      <c r="V661" s="70">
        <f t="shared" si="75"/>
        <v>143.1132773631841</v>
      </c>
      <c r="W661" s="15">
        <f t="shared" si="46"/>
        <v>0</v>
      </c>
      <c r="X661" s="15">
        <f t="shared" si="47"/>
        <v>0</v>
      </c>
      <c r="Y661" s="15">
        <f t="shared" si="48"/>
        <v>0</v>
      </c>
      <c r="Z661" s="13">
        <f t="shared" si="49"/>
        <v>0</v>
      </c>
      <c r="AA661" s="16">
        <f>VLOOKUP(S661,[1]CPI!$A$2:$D$67,4,0)</f>
        <v>1.2630455352689747</v>
      </c>
      <c r="AB661" s="17">
        <f t="shared" si="76"/>
        <v>5813.1961261227671</v>
      </c>
      <c r="AC661" s="17">
        <f t="shared" si="77"/>
        <v>180.7585860112801</v>
      </c>
      <c r="AD661" s="54"/>
      <c r="AE661" s="84" t="s">
        <v>1280</v>
      </c>
      <c r="AF661" s="54"/>
      <c r="AG661" s="54"/>
      <c r="AH661" s="54"/>
      <c r="AI661" s="54"/>
    </row>
    <row r="662" spans="1:43" x14ac:dyDescent="0.2">
      <c r="A662" s="54"/>
      <c r="B662" s="54" t="s">
        <v>672</v>
      </c>
      <c r="C662" s="54" t="s">
        <v>1278</v>
      </c>
      <c r="D662" s="54"/>
      <c r="E662" s="54" t="s">
        <v>124</v>
      </c>
      <c r="F662" s="72">
        <v>2021</v>
      </c>
      <c r="G662" s="72">
        <v>2026</v>
      </c>
      <c r="H662" s="72">
        <v>0</v>
      </c>
      <c r="I662" s="72">
        <v>36.4</v>
      </c>
      <c r="J662" s="73">
        <v>0.66</v>
      </c>
      <c r="K662" s="72">
        <v>24</v>
      </c>
      <c r="L662" s="54"/>
      <c r="M662" s="54"/>
      <c r="N662" s="72">
        <v>18</v>
      </c>
      <c r="O662" s="72">
        <v>117</v>
      </c>
      <c r="P662" s="54"/>
      <c r="Q662" s="65">
        <v>26060</v>
      </c>
      <c r="R662" s="54" t="s">
        <v>676</v>
      </c>
      <c r="S662" s="54">
        <v>2021</v>
      </c>
      <c r="T662" s="61">
        <v>0.23899999999999999</v>
      </c>
      <c r="U662" s="69">
        <f t="shared" si="74"/>
        <v>6228.34</v>
      </c>
      <c r="V662" s="70">
        <f t="shared" si="75"/>
        <v>171.10824175824177</v>
      </c>
      <c r="W662" s="15">
        <f t="shared" si="46"/>
        <v>0</v>
      </c>
      <c r="X662" s="15">
        <f t="shared" si="47"/>
        <v>0</v>
      </c>
      <c r="Y662" s="15">
        <f t="shared" si="48"/>
        <v>0</v>
      </c>
      <c r="Z662" s="13">
        <f t="shared" si="49"/>
        <v>0</v>
      </c>
      <c r="AA662" s="16">
        <f>VLOOKUP(S662,[1]CPI!$A$2:$D$67,4,0)</f>
        <v>1</v>
      </c>
      <c r="AB662" s="17">
        <f t="shared" si="76"/>
        <v>6228.34</v>
      </c>
      <c r="AC662" s="17">
        <f t="shared" si="77"/>
        <v>171.10824175824177</v>
      </c>
      <c r="AD662" s="54" t="s">
        <v>73</v>
      </c>
      <c r="AE662" s="46" t="s">
        <v>1281</v>
      </c>
      <c r="AF662" s="54"/>
      <c r="AG662" s="54"/>
      <c r="AH662" s="54"/>
      <c r="AI662" s="54"/>
    </row>
    <row r="663" spans="1:43" x14ac:dyDescent="0.2">
      <c r="A663" s="54"/>
      <c r="B663" s="54" t="s">
        <v>672</v>
      </c>
      <c r="C663" s="54" t="s">
        <v>1282</v>
      </c>
      <c r="D663" s="54"/>
      <c r="E663" s="54" t="s">
        <v>92</v>
      </c>
      <c r="F663" s="72">
        <v>2020</v>
      </c>
      <c r="G663" s="54"/>
      <c r="H663" s="72">
        <v>0</v>
      </c>
      <c r="I663" s="72">
        <v>29.27</v>
      </c>
      <c r="J663" s="73">
        <v>0.06</v>
      </c>
      <c r="K663" s="72">
        <v>1.9</v>
      </c>
      <c r="L663" s="54"/>
      <c r="M663" s="54"/>
      <c r="N663" s="72">
        <v>13</v>
      </c>
      <c r="O663" s="54"/>
      <c r="P663" s="54"/>
      <c r="Q663" s="65">
        <v>8299</v>
      </c>
      <c r="R663" s="54" t="s">
        <v>676</v>
      </c>
      <c r="S663" s="54">
        <v>2020</v>
      </c>
      <c r="T663" s="61">
        <v>0.23899999999999999</v>
      </c>
      <c r="U663" s="69">
        <f t="shared" si="74"/>
        <v>1983.461</v>
      </c>
      <c r="V663" s="70">
        <f t="shared" si="75"/>
        <v>67.764297915954899</v>
      </c>
      <c r="W663" s="15">
        <f t="shared" si="46"/>
        <v>0</v>
      </c>
      <c r="X663" s="15">
        <f t="shared" si="47"/>
        <v>0</v>
      </c>
      <c r="Y663" s="15">
        <f t="shared" si="48"/>
        <v>0</v>
      </c>
      <c r="Z663" s="13">
        <f t="shared" si="49"/>
        <v>0</v>
      </c>
      <c r="AA663" s="16">
        <f>VLOOKUP(S663,[1]CPI!$A$2:$D$67,4,0)</f>
        <v>1.0469802288156225</v>
      </c>
      <c r="AB663" s="17">
        <f t="shared" si="76"/>
        <v>2076.6444516268634</v>
      </c>
      <c r="AC663" s="17">
        <f t="shared" si="77"/>
        <v>70.947880137576462</v>
      </c>
      <c r="AD663" s="54" t="s">
        <v>73</v>
      </c>
      <c r="AE663" s="46" t="s">
        <v>1283</v>
      </c>
      <c r="AF663" s="54"/>
      <c r="AG663" s="54"/>
      <c r="AH663" s="54"/>
      <c r="AI663" s="54"/>
    </row>
    <row r="664" spans="1:43" x14ac:dyDescent="0.2">
      <c r="A664" s="54"/>
      <c r="B664" s="54" t="s">
        <v>672</v>
      </c>
      <c r="C664" s="54" t="s">
        <v>1284</v>
      </c>
      <c r="D664" s="54" t="s">
        <v>99</v>
      </c>
      <c r="E664" s="54" t="s">
        <v>1285</v>
      </c>
      <c r="F664" s="72">
        <v>2016</v>
      </c>
      <c r="G664" s="54"/>
      <c r="H664" s="72">
        <v>0</v>
      </c>
      <c r="I664" s="72">
        <v>14.1</v>
      </c>
      <c r="J664" s="73">
        <v>1</v>
      </c>
      <c r="K664" s="72">
        <v>14.1</v>
      </c>
      <c r="L664" s="54"/>
      <c r="M664" s="54"/>
      <c r="N664" s="72">
        <v>11</v>
      </c>
      <c r="O664" s="72">
        <v>117</v>
      </c>
      <c r="P664" s="54"/>
      <c r="Q664" s="65">
        <v>8750</v>
      </c>
      <c r="R664" s="54" t="s">
        <v>676</v>
      </c>
      <c r="S664" s="54">
        <v>2016</v>
      </c>
      <c r="T664" s="15">
        <v>0.251</v>
      </c>
      <c r="U664" s="69">
        <f t="shared" si="74"/>
        <v>2196.25</v>
      </c>
      <c r="V664" s="70">
        <f t="shared" si="75"/>
        <v>155.76241134751774</v>
      </c>
      <c r="W664" s="15">
        <f t="shared" si="46"/>
        <v>0</v>
      </c>
      <c r="X664" s="15">
        <f t="shared" si="47"/>
        <v>0</v>
      </c>
      <c r="Y664" s="15">
        <f t="shared" si="48"/>
        <v>0</v>
      </c>
      <c r="Z664" s="13">
        <f t="shared" si="49"/>
        <v>0</v>
      </c>
      <c r="AA664" s="16">
        <f>VLOOKUP(S664,[1]CPI!$A$2:$D$67,4,0)</f>
        <v>1.1290087372451638</v>
      </c>
      <c r="AB664" s="17">
        <f t="shared" si="76"/>
        <v>2479.5854391746911</v>
      </c>
      <c r="AC664" s="17">
        <f t="shared" si="77"/>
        <v>175.85712334572278</v>
      </c>
      <c r="AD664" s="54" t="s">
        <v>35</v>
      </c>
      <c r="AE664" s="84" t="s">
        <v>1286</v>
      </c>
      <c r="AF664" s="54"/>
      <c r="AG664" s="54"/>
      <c r="AH664" s="54"/>
      <c r="AI664" s="54"/>
    </row>
    <row r="665" spans="1:43" x14ac:dyDescent="0.2">
      <c r="A665" s="54"/>
      <c r="B665" s="54" t="s">
        <v>672</v>
      </c>
      <c r="C665" s="54" t="s">
        <v>1284</v>
      </c>
      <c r="D665" s="9" t="s">
        <v>92</v>
      </c>
      <c r="E665" s="54" t="s">
        <v>1287</v>
      </c>
      <c r="F665" s="72">
        <v>2016</v>
      </c>
      <c r="G665" s="54"/>
      <c r="H665" s="72">
        <v>0</v>
      </c>
      <c r="I665" s="72">
        <v>2.6</v>
      </c>
      <c r="J665" s="73">
        <v>1</v>
      </c>
      <c r="K665" s="72">
        <v>2.6</v>
      </c>
      <c r="L665" s="54"/>
      <c r="M665" s="54"/>
      <c r="N665" s="72">
        <v>2</v>
      </c>
      <c r="O665" s="72">
        <v>117</v>
      </c>
      <c r="P665" s="54"/>
      <c r="Q665" s="65">
        <v>1750</v>
      </c>
      <c r="R665" s="54" t="s">
        <v>676</v>
      </c>
      <c r="S665" s="54">
        <v>2016</v>
      </c>
      <c r="T665" s="15">
        <v>0.251</v>
      </c>
      <c r="U665" s="69">
        <f t="shared" si="74"/>
        <v>439.25</v>
      </c>
      <c r="V665" s="70">
        <f t="shared" si="75"/>
        <v>168.94230769230768</v>
      </c>
      <c r="W665" s="15">
        <f t="shared" si="46"/>
        <v>0</v>
      </c>
      <c r="X665" s="15">
        <f t="shared" si="47"/>
        <v>0</v>
      </c>
      <c r="Y665" s="15">
        <f t="shared" si="48"/>
        <v>0</v>
      </c>
      <c r="Z665" s="13">
        <f t="shared" si="49"/>
        <v>0</v>
      </c>
      <c r="AA665" s="16">
        <f>VLOOKUP(S665,[1]CPI!$A$2:$D$67,4,0)</f>
        <v>1.1290087372451638</v>
      </c>
      <c r="AB665" s="17">
        <f t="shared" si="76"/>
        <v>495.91708783493823</v>
      </c>
      <c r="AC665" s="17">
        <f t="shared" si="77"/>
        <v>190.7373414749762</v>
      </c>
      <c r="AD665" s="54" t="s">
        <v>35</v>
      </c>
      <c r="AE665" s="84" t="s">
        <v>1286</v>
      </c>
      <c r="AF665" s="54"/>
      <c r="AG665" s="54"/>
      <c r="AH665" s="54"/>
      <c r="AI665" s="54"/>
    </row>
    <row r="666" spans="1:43" x14ac:dyDescent="0.2">
      <c r="A666" s="54"/>
      <c r="B666" s="54" t="s">
        <v>672</v>
      </c>
      <c r="C666" s="54" t="s">
        <v>1284</v>
      </c>
      <c r="D666" s="9" t="s">
        <v>99</v>
      </c>
      <c r="E666" s="54" t="s">
        <v>698</v>
      </c>
      <c r="F666" s="72">
        <v>2021</v>
      </c>
      <c r="G666" s="54"/>
      <c r="H666" s="72">
        <v>0</v>
      </c>
      <c r="I666" s="72">
        <v>28.7</v>
      </c>
      <c r="J666" s="72">
        <v>1</v>
      </c>
      <c r="K666" s="72">
        <v>28.7</v>
      </c>
      <c r="L666" s="54"/>
      <c r="M666" s="54"/>
      <c r="N666" s="72">
        <v>19</v>
      </c>
      <c r="O666" s="72">
        <v>117</v>
      </c>
      <c r="P666" s="54"/>
      <c r="Q666" s="104">
        <v>20488</v>
      </c>
      <c r="R666" s="54" t="s">
        <v>676</v>
      </c>
      <c r="S666" s="54">
        <v>2021</v>
      </c>
      <c r="T666" s="61">
        <v>0.23899999999999999</v>
      </c>
      <c r="U666" s="69">
        <f t="shared" si="74"/>
        <v>4896.6319999999996</v>
      </c>
      <c r="V666" s="70">
        <f t="shared" si="75"/>
        <v>170.61435540069687</v>
      </c>
      <c r="W666" s="15">
        <f t="shared" si="46"/>
        <v>0</v>
      </c>
      <c r="X666" s="15">
        <f t="shared" si="47"/>
        <v>0</v>
      </c>
      <c r="Y666" s="15">
        <f t="shared" si="48"/>
        <v>0</v>
      </c>
      <c r="Z666" s="13">
        <f t="shared" si="49"/>
        <v>0</v>
      </c>
      <c r="AA666" s="16">
        <f>VLOOKUP(S666,[1]CPI!$A$2:$D$67,4,0)</f>
        <v>1</v>
      </c>
      <c r="AB666" s="17">
        <f t="shared" si="76"/>
        <v>4896.6319999999996</v>
      </c>
      <c r="AC666" s="17">
        <f t="shared" si="77"/>
        <v>170.61435540069687</v>
      </c>
      <c r="AD666" s="54" t="s">
        <v>73</v>
      </c>
      <c r="AE666" s="46" t="s">
        <v>1288</v>
      </c>
      <c r="AF666" s="54" t="s">
        <v>1289</v>
      </c>
      <c r="AG666" s="54"/>
      <c r="AH666" s="54"/>
      <c r="AI666" s="54"/>
      <c r="AJ666" s="54"/>
      <c r="AK666" s="54"/>
      <c r="AL666" s="54"/>
      <c r="AM666" s="54"/>
      <c r="AN666" s="54"/>
      <c r="AO666" s="54"/>
      <c r="AP666" s="54"/>
      <c r="AQ666" s="54"/>
    </row>
    <row r="667" spans="1:43" x14ac:dyDescent="0.2">
      <c r="A667" s="54"/>
      <c r="B667" s="54" t="s">
        <v>672</v>
      </c>
      <c r="C667" s="54" t="s">
        <v>1284</v>
      </c>
      <c r="D667" s="9"/>
      <c r="E667" s="54" t="s">
        <v>730</v>
      </c>
      <c r="F667" s="72">
        <v>2021</v>
      </c>
      <c r="G667" s="54"/>
      <c r="H667" s="72">
        <v>0</v>
      </c>
      <c r="I667" s="72">
        <v>32.18</v>
      </c>
      <c r="J667" s="72">
        <v>1</v>
      </c>
      <c r="K667" s="72">
        <v>32.200000000000003</v>
      </c>
      <c r="L667" s="54"/>
      <c r="M667" s="54"/>
      <c r="N667" s="72">
        <v>31</v>
      </c>
      <c r="O667" s="72">
        <v>117</v>
      </c>
      <c r="P667" s="54"/>
      <c r="Q667" s="104">
        <v>26700</v>
      </c>
      <c r="R667" s="54" t="s">
        <v>676</v>
      </c>
      <c r="S667" s="54">
        <v>2021</v>
      </c>
      <c r="T667" s="61">
        <v>0.23899999999999999</v>
      </c>
      <c r="U667" s="69">
        <f t="shared" si="74"/>
        <v>6381.3</v>
      </c>
      <c r="V667" s="70">
        <f t="shared" si="75"/>
        <v>198.30018645121194</v>
      </c>
      <c r="W667" s="15">
        <f t="shared" si="46"/>
        <v>0</v>
      </c>
      <c r="X667" s="15">
        <f t="shared" si="47"/>
        <v>0</v>
      </c>
      <c r="Y667" s="15">
        <f t="shared" si="48"/>
        <v>0</v>
      </c>
      <c r="Z667" s="13">
        <f t="shared" si="49"/>
        <v>0</v>
      </c>
      <c r="AA667" s="16">
        <f>VLOOKUP(S667,[1]CPI!$A$2:$D$67,4,0)</f>
        <v>1</v>
      </c>
      <c r="AB667" s="17">
        <f t="shared" si="76"/>
        <v>6381.3</v>
      </c>
      <c r="AC667" s="17">
        <f t="shared" si="77"/>
        <v>198.30018645121194</v>
      </c>
      <c r="AD667" s="54" t="s">
        <v>73</v>
      </c>
      <c r="AE667" s="46" t="s">
        <v>1290</v>
      </c>
      <c r="AF667" s="54"/>
      <c r="AG667" s="54"/>
      <c r="AH667" s="54"/>
      <c r="AI667" s="54"/>
      <c r="AJ667" s="54"/>
      <c r="AK667" s="54"/>
      <c r="AL667" s="54"/>
      <c r="AM667" s="54"/>
      <c r="AN667" s="54"/>
      <c r="AO667" s="54"/>
      <c r="AP667" s="54"/>
      <c r="AQ667" s="54"/>
    </row>
    <row r="668" spans="1:43" x14ac:dyDescent="0.2">
      <c r="A668" s="54"/>
      <c r="B668" s="54" t="s">
        <v>672</v>
      </c>
      <c r="C668" s="54" t="s">
        <v>1284</v>
      </c>
      <c r="D668" s="9"/>
      <c r="E668" s="54" t="s">
        <v>706</v>
      </c>
      <c r="F668" s="72">
        <v>2016</v>
      </c>
      <c r="G668" s="54"/>
      <c r="H668" s="72">
        <v>0</v>
      </c>
      <c r="I668" s="72">
        <v>32.200000000000003</v>
      </c>
      <c r="J668" s="73">
        <v>1</v>
      </c>
      <c r="K668" s="72">
        <v>32.200000000000003</v>
      </c>
      <c r="L668" s="54"/>
      <c r="M668" s="54"/>
      <c r="N668" s="72">
        <v>27</v>
      </c>
      <c r="O668" s="54"/>
      <c r="P668" s="54"/>
      <c r="Q668" s="65">
        <v>23760</v>
      </c>
      <c r="R668" s="54" t="s">
        <v>676</v>
      </c>
      <c r="S668" s="54">
        <v>2016</v>
      </c>
      <c r="T668" s="15">
        <v>0.251</v>
      </c>
      <c r="U668" s="69">
        <f t="shared" si="74"/>
        <v>5963.76</v>
      </c>
      <c r="V668" s="70">
        <f t="shared" si="75"/>
        <v>185.20993788819874</v>
      </c>
      <c r="W668" s="15">
        <f t="shared" si="46"/>
        <v>0</v>
      </c>
      <c r="X668" s="15">
        <f t="shared" si="47"/>
        <v>0</v>
      </c>
      <c r="Y668" s="15">
        <f t="shared" si="48"/>
        <v>0</v>
      </c>
      <c r="Z668" s="13">
        <f t="shared" si="49"/>
        <v>0</v>
      </c>
      <c r="AA668" s="16">
        <f>VLOOKUP(S668,[1]CPI!$A$2:$D$67,4,0)</f>
        <v>1.1290087372451638</v>
      </c>
      <c r="AB668" s="17">
        <f t="shared" si="76"/>
        <v>6733.1371468332181</v>
      </c>
      <c r="AC668" s="17">
        <f t="shared" si="77"/>
        <v>209.10363810041048</v>
      </c>
      <c r="AD668" s="54" t="s">
        <v>35</v>
      </c>
      <c r="AE668" s="84" t="s">
        <v>1286</v>
      </c>
      <c r="AF668" s="85"/>
      <c r="AG668" s="85"/>
      <c r="AH668" s="54"/>
      <c r="AI668" s="54"/>
      <c r="AJ668" s="82"/>
      <c r="AK668" s="82"/>
      <c r="AL668" s="82"/>
      <c r="AM668" s="82"/>
      <c r="AN668" s="82"/>
      <c r="AO668" s="82"/>
      <c r="AP668" s="82"/>
      <c r="AQ668" s="82"/>
    </row>
    <row r="669" spans="1:43" x14ac:dyDescent="0.2">
      <c r="A669" s="54"/>
      <c r="B669" s="54" t="s">
        <v>672</v>
      </c>
      <c r="C669" s="54" t="s">
        <v>1284</v>
      </c>
      <c r="D669" s="9"/>
      <c r="E669" s="54" t="s">
        <v>708</v>
      </c>
      <c r="F669" s="72">
        <v>2016</v>
      </c>
      <c r="G669" s="54"/>
      <c r="H669" s="72">
        <v>0</v>
      </c>
      <c r="I669" s="72">
        <v>36.1</v>
      </c>
      <c r="J669" s="73">
        <v>1</v>
      </c>
      <c r="K669" s="72">
        <v>36.1</v>
      </c>
      <c r="L669" s="54"/>
      <c r="M669" s="54"/>
      <c r="N669" s="72">
        <v>25</v>
      </c>
      <c r="O669" s="54"/>
      <c r="P669" s="54"/>
      <c r="Q669" s="65">
        <v>22230</v>
      </c>
      <c r="R669" s="54" t="s">
        <v>676</v>
      </c>
      <c r="S669" s="54">
        <v>2016</v>
      </c>
      <c r="T669" s="15">
        <v>0.251</v>
      </c>
      <c r="U669" s="69">
        <f t="shared" si="74"/>
        <v>5579.7300000000005</v>
      </c>
      <c r="V669" s="70">
        <f t="shared" si="75"/>
        <v>154.56315789473686</v>
      </c>
      <c r="W669" s="15">
        <f t="shared" si="46"/>
        <v>0</v>
      </c>
      <c r="X669" s="15">
        <f t="shared" si="47"/>
        <v>0</v>
      </c>
      <c r="Y669" s="15">
        <f t="shared" si="48"/>
        <v>0</v>
      </c>
      <c r="Z669" s="13">
        <f t="shared" si="49"/>
        <v>0</v>
      </c>
      <c r="AA669" s="16">
        <f>VLOOKUP(S669,[1]CPI!$A$2:$D$67,4,0)</f>
        <v>1.1290087372451638</v>
      </c>
      <c r="AB669" s="17">
        <f t="shared" si="76"/>
        <v>6299.5639214689581</v>
      </c>
      <c r="AC669" s="17">
        <f t="shared" si="77"/>
        <v>174.50315571936173</v>
      </c>
      <c r="AD669" s="54" t="s">
        <v>35</v>
      </c>
      <c r="AE669" s="84" t="s">
        <v>1286</v>
      </c>
      <c r="AF669" s="85"/>
      <c r="AG669" s="85"/>
      <c r="AH669" s="54"/>
      <c r="AI669" s="54"/>
      <c r="AJ669" s="82"/>
      <c r="AK669" s="82"/>
      <c r="AL669" s="82"/>
      <c r="AM669" s="82"/>
      <c r="AN669" s="82"/>
      <c r="AO669" s="82"/>
      <c r="AP669" s="82"/>
      <c r="AQ669" s="82"/>
    </row>
    <row r="670" spans="1:43" x14ac:dyDescent="0.2">
      <c r="A670" s="54"/>
      <c r="B670" s="54" t="s">
        <v>672</v>
      </c>
      <c r="C670" s="54" t="s">
        <v>1284</v>
      </c>
      <c r="D670" s="9" t="s">
        <v>92</v>
      </c>
      <c r="E670" s="54" t="s">
        <v>679</v>
      </c>
      <c r="F670" s="72">
        <v>2005</v>
      </c>
      <c r="G670" s="54"/>
      <c r="H670" s="72">
        <v>0</v>
      </c>
      <c r="I670" s="72">
        <v>14.4</v>
      </c>
      <c r="J670" s="73">
        <v>1</v>
      </c>
      <c r="K670" s="72">
        <v>14.4</v>
      </c>
      <c r="L670" s="54"/>
      <c r="M670" s="54"/>
      <c r="N670" s="72">
        <v>16</v>
      </c>
      <c r="O670" s="72">
        <v>117</v>
      </c>
      <c r="P670" s="54"/>
      <c r="Q670" s="65">
        <v>5890</v>
      </c>
      <c r="R670" s="54" t="s">
        <v>676</v>
      </c>
      <c r="S670" s="54">
        <v>2005</v>
      </c>
      <c r="T670" s="15">
        <v>0.35199999999999998</v>
      </c>
      <c r="U670" s="69">
        <f t="shared" si="74"/>
        <v>2073.2799999999997</v>
      </c>
      <c r="V670" s="70">
        <f t="shared" si="75"/>
        <v>143.97777777777776</v>
      </c>
      <c r="W670" s="15">
        <f t="shared" si="46"/>
        <v>0</v>
      </c>
      <c r="X670" s="15">
        <f t="shared" si="47"/>
        <v>0</v>
      </c>
      <c r="Y670" s="15">
        <f t="shared" si="48"/>
        <v>0</v>
      </c>
      <c r="Z670" s="13">
        <f t="shared" si="49"/>
        <v>0</v>
      </c>
      <c r="AA670" s="16">
        <f>VLOOKUP(S670,[1]CPI!$A$2:$D$67,4,0)</f>
        <v>1.3874551971326166</v>
      </c>
      <c r="AB670" s="17">
        <f t="shared" si="76"/>
        <v>2876.5831111111111</v>
      </c>
      <c r="AC670" s="17">
        <f t="shared" si="77"/>
        <v>199.7627160493827</v>
      </c>
      <c r="AD670" s="54" t="s">
        <v>35</v>
      </c>
      <c r="AE670" s="46" t="s">
        <v>1291</v>
      </c>
      <c r="AF670" s="54"/>
      <c r="AG670" s="54"/>
      <c r="AH670" s="54"/>
      <c r="AI670" s="54"/>
      <c r="AJ670" s="82"/>
      <c r="AK670" s="82"/>
      <c r="AL670" s="82"/>
      <c r="AM670" s="82"/>
      <c r="AN670" s="82"/>
      <c r="AO670" s="82"/>
      <c r="AP670" s="82"/>
      <c r="AQ670" s="82"/>
    </row>
    <row r="671" spans="1:43" x14ac:dyDescent="0.2">
      <c r="A671" s="54"/>
      <c r="B671" s="54" t="s">
        <v>207</v>
      </c>
      <c r="C671" s="54" t="s">
        <v>1292</v>
      </c>
      <c r="D671" s="9" t="s">
        <v>99</v>
      </c>
      <c r="E671" s="54" t="s">
        <v>1293</v>
      </c>
      <c r="F671" s="72">
        <v>2020</v>
      </c>
      <c r="G671" s="54"/>
      <c r="H671" s="72">
        <v>0</v>
      </c>
      <c r="I671" s="72">
        <v>18.5</v>
      </c>
      <c r="J671" s="54"/>
      <c r="K671" s="54"/>
      <c r="L671" s="54"/>
      <c r="M671" s="54"/>
      <c r="N671" s="54"/>
      <c r="O671" s="72"/>
      <c r="P671" s="54"/>
      <c r="Q671" s="104">
        <v>1750200</v>
      </c>
      <c r="R671" s="54" t="s">
        <v>210</v>
      </c>
      <c r="S671" s="54">
        <v>2020</v>
      </c>
      <c r="T671" s="54">
        <v>1.2099999999999999E-3</v>
      </c>
      <c r="U671" s="69">
        <f t="shared" si="74"/>
        <v>2117.7419999999997</v>
      </c>
      <c r="V671" s="70">
        <f t="shared" si="75"/>
        <v>114.47254054054052</v>
      </c>
      <c r="W671" s="15">
        <f t="shared" si="46"/>
        <v>1</v>
      </c>
      <c r="X671" s="15">
        <f t="shared" si="47"/>
        <v>18.5</v>
      </c>
      <c r="Y671" s="15">
        <f t="shared" si="48"/>
        <v>0</v>
      </c>
      <c r="Z671" s="13">
        <f t="shared" si="49"/>
        <v>0</v>
      </c>
      <c r="AA671" s="16">
        <f>VLOOKUP(S671,[1]CPI!$A$2:$D$67,4,0)</f>
        <v>1.0469802288156225</v>
      </c>
      <c r="AB671" s="17">
        <f t="shared" si="76"/>
        <v>2217.2340037324539</v>
      </c>
      <c r="AC671" s="17">
        <f t="shared" si="77"/>
        <v>119.85048668824074</v>
      </c>
      <c r="AD671" s="54" t="s">
        <v>43</v>
      </c>
      <c r="AE671" s="46" t="s">
        <v>1294</v>
      </c>
      <c r="AF671" s="54"/>
      <c r="AG671" s="54"/>
      <c r="AH671" s="54"/>
      <c r="AI671" s="54"/>
    </row>
    <row r="672" spans="1:43" x14ac:dyDescent="0.2">
      <c r="A672" s="54"/>
      <c r="B672" s="54" t="s">
        <v>207</v>
      </c>
      <c r="C672" s="54" t="s">
        <v>1292</v>
      </c>
      <c r="D672" s="9" t="s">
        <v>99</v>
      </c>
      <c r="E672" s="54" t="s">
        <v>99</v>
      </c>
      <c r="F672" s="72">
        <v>2009</v>
      </c>
      <c r="G672" s="72">
        <v>2016</v>
      </c>
      <c r="H672" s="72">
        <v>0</v>
      </c>
      <c r="I672" s="72">
        <v>29.1</v>
      </c>
      <c r="J672" s="148">
        <v>0.78349999999999997</v>
      </c>
      <c r="K672" s="72">
        <v>22.8</v>
      </c>
      <c r="L672" s="54"/>
      <c r="M672" s="54"/>
      <c r="N672" s="72">
        <v>27</v>
      </c>
      <c r="O672" s="72"/>
      <c r="P672" s="54"/>
      <c r="Q672" s="104">
        <v>2459000</v>
      </c>
      <c r="R672" s="54" t="s">
        <v>210</v>
      </c>
      <c r="S672" s="54">
        <v>2012</v>
      </c>
      <c r="T672" s="54">
        <v>1.17E-3</v>
      </c>
      <c r="U672" s="69">
        <f t="shared" si="74"/>
        <v>2877.03</v>
      </c>
      <c r="V672" s="70">
        <f t="shared" si="75"/>
        <v>98.867010309278356</v>
      </c>
      <c r="W672" s="15">
        <f t="shared" si="46"/>
        <v>1</v>
      </c>
      <c r="X672" s="15">
        <f t="shared" si="47"/>
        <v>29.1</v>
      </c>
      <c r="Y672" s="15">
        <f t="shared" si="48"/>
        <v>22.8</v>
      </c>
      <c r="Z672" s="13">
        <f t="shared" si="49"/>
        <v>0</v>
      </c>
      <c r="AA672" s="16">
        <f>VLOOKUP(S672,[1]CPI!$A$2:$D$67,4,0)</f>
        <v>1.1802137686524912</v>
      </c>
      <c r="AB672" s="17">
        <f t="shared" si="76"/>
        <v>3395.5104188262767</v>
      </c>
      <c r="AC672" s="17">
        <f t="shared" si="77"/>
        <v>116.6842068325181</v>
      </c>
      <c r="AD672" s="54" t="s">
        <v>43</v>
      </c>
      <c r="AE672" s="84" t="s">
        <v>1295</v>
      </c>
      <c r="AF672" s="54"/>
      <c r="AG672" s="54"/>
      <c r="AH672" s="54"/>
      <c r="AI672" s="54"/>
    </row>
    <row r="673" spans="1:43" x14ac:dyDescent="0.2">
      <c r="A673" s="54"/>
      <c r="B673" s="54" t="s">
        <v>672</v>
      </c>
      <c r="C673" s="54" t="s">
        <v>1296</v>
      </c>
      <c r="D673" s="54"/>
      <c r="E673" s="54" t="s">
        <v>1297</v>
      </c>
      <c r="F673" s="72">
        <v>2020</v>
      </c>
      <c r="G673" s="54"/>
      <c r="H673" s="72">
        <v>1</v>
      </c>
      <c r="I673" s="72">
        <v>35.01</v>
      </c>
      <c r="J673" s="73">
        <v>0</v>
      </c>
      <c r="K673" s="72">
        <v>0</v>
      </c>
      <c r="L673" s="54"/>
      <c r="M673" s="54"/>
      <c r="N673" s="72">
        <v>8</v>
      </c>
      <c r="O673" s="72">
        <v>184</v>
      </c>
      <c r="P673" s="54"/>
      <c r="Q673" s="65">
        <v>17000</v>
      </c>
      <c r="R673" s="54" t="s">
        <v>676</v>
      </c>
      <c r="S673" s="54">
        <v>2020</v>
      </c>
      <c r="T673" s="61">
        <v>0.23899999999999999</v>
      </c>
      <c r="U673" s="69">
        <f t="shared" si="74"/>
        <v>4063</v>
      </c>
      <c r="V673" s="70">
        <f t="shared" si="75"/>
        <v>116.0525564124536</v>
      </c>
      <c r="W673" s="15">
        <f t="shared" si="46"/>
        <v>0</v>
      </c>
      <c r="X673" s="15">
        <f t="shared" si="47"/>
        <v>0</v>
      </c>
      <c r="Y673" s="15">
        <f t="shared" si="48"/>
        <v>0</v>
      </c>
      <c r="Z673" s="13">
        <f t="shared" si="49"/>
        <v>0</v>
      </c>
      <c r="AA673" s="16">
        <f>VLOOKUP(S673,[1]CPI!$A$2:$D$67,4,0)</f>
        <v>1.0469802288156225</v>
      </c>
      <c r="AB673" s="17">
        <f t="shared" si="76"/>
        <v>4253.8806696778738</v>
      </c>
      <c r="AC673" s="17">
        <f t="shared" si="77"/>
        <v>121.5047320673486</v>
      </c>
      <c r="AD673" s="54" t="s">
        <v>73</v>
      </c>
      <c r="AE673" s="46" t="s">
        <v>1298</v>
      </c>
      <c r="AF673" s="54"/>
      <c r="AG673" s="54"/>
      <c r="AH673" s="54"/>
      <c r="AI673" s="54"/>
    </row>
    <row r="674" spans="1:43" x14ac:dyDescent="0.2">
      <c r="A674" s="54"/>
      <c r="B674" s="54" t="s">
        <v>267</v>
      </c>
      <c r="C674" s="54" t="s">
        <v>1299</v>
      </c>
      <c r="D674" s="54"/>
      <c r="E674" s="54" t="s">
        <v>1300</v>
      </c>
      <c r="F674" s="72">
        <v>2019</v>
      </c>
      <c r="G674" s="72">
        <v>2022</v>
      </c>
      <c r="H674" s="72">
        <v>0</v>
      </c>
      <c r="I674" s="72">
        <v>32.384999999999998</v>
      </c>
      <c r="J674" s="148">
        <v>0.39900000000000002</v>
      </c>
      <c r="K674" s="72">
        <v>12.920999999999999</v>
      </c>
      <c r="L674" s="72">
        <v>19.463999999999999</v>
      </c>
      <c r="M674" s="54"/>
      <c r="N674" s="72">
        <v>31</v>
      </c>
      <c r="O674" s="54"/>
      <c r="P674" s="54"/>
      <c r="Q674" s="104">
        <v>110765</v>
      </c>
      <c r="R674" s="54" t="s">
        <v>270</v>
      </c>
      <c r="S674" s="54">
        <v>2021</v>
      </c>
      <c r="T674" s="15">
        <v>4.3200000000000002E-2</v>
      </c>
      <c r="U674" s="69">
        <f t="shared" si="74"/>
        <v>4785.0480000000007</v>
      </c>
      <c r="V674" s="70">
        <f t="shared" si="75"/>
        <v>147.75507179249655</v>
      </c>
      <c r="W674" s="15">
        <f t="shared" si="46"/>
        <v>0</v>
      </c>
      <c r="X674" s="15">
        <f t="shared" si="47"/>
        <v>0</v>
      </c>
      <c r="Y674" s="15">
        <f t="shared" si="48"/>
        <v>0</v>
      </c>
      <c r="Z674" s="13">
        <f t="shared" si="49"/>
        <v>0</v>
      </c>
      <c r="AA674" s="16">
        <f>VLOOKUP(S674,[1]CPI!$A$2:$D$67,4,0)</f>
        <v>1</v>
      </c>
      <c r="AB674" s="17">
        <f t="shared" si="76"/>
        <v>4785.0480000000007</v>
      </c>
      <c r="AC674" s="17">
        <f t="shared" si="77"/>
        <v>147.75507179249655</v>
      </c>
      <c r="AD674" s="54" t="s">
        <v>43</v>
      </c>
      <c r="AE674" s="84" t="s">
        <v>1301</v>
      </c>
      <c r="AF674" s="54"/>
      <c r="AG674" s="54"/>
      <c r="AH674" s="54"/>
      <c r="AI674" s="54"/>
    </row>
    <row r="675" spans="1:43" x14ac:dyDescent="0.2">
      <c r="A675" s="54"/>
      <c r="B675" s="54" t="s">
        <v>267</v>
      </c>
      <c r="C675" s="54" t="s">
        <v>1302</v>
      </c>
      <c r="D675" s="54"/>
      <c r="E675" s="54" t="s">
        <v>1273</v>
      </c>
      <c r="F675" s="54"/>
      <c r="G675" s="54"/>
      <c r="H675" s="72">
        <v>0</v>
      </c>
      <c r="I675" s="72">
        <v>39.6</v>
      </c>
      <c r="J675" s="148">
        <v>0.41160000000000002</v>
      </c>
      <c r="K675" s="72">
        <v>16.3</v>
      </c>
      <c r="L675" s="72">
        <v>23.3</v>
      </c>
      <c r="M675" s="54"/>
      <c r="N675" s="72">
        <v>25</v>
      </c>
      <c r="O675" s="72"/>
      <c r="P675" s="54"/>
      <c r="Q675" s="104">
        <v>133658</v>
      </c>
      <c r="R675" s="54" t="s">
        <v>270</v>
      </c>
      <c r="S675" s="54"/>
      <c r="T675" s="54"/>
      <c r="U675" s="69"/>
      <c r="V675" s="70"/>
      <c r="W675" s="15">
        <f t="shared" si="46"/>
        <v>0</v>
      </c>
      <c r="X675" s="15">
        <f t="shared" si="47"/>
        <v>0</v>
      </c>
      <c r="Y675" s="15">
        <f t="shared" si="48"/>
        <v>0</v>
      </c>
      <c r="Z675" s="13">
        <f t="shared" si="49"/>
        <v>0</v>
      </c>
      <c r="AA675" s="16"/>
      <c r="AB675" s="17"/>
      <c r="AC675" s="17"/>
      <c r="AD675" s="54" t="s">
        <v>43</v>
      </c>
      <c r="AE675" s="84" t="s">
        <v>1303</v>
      </c>
      <c r="AF675" s="54"/>
      <c r="AG675" s="54"/>
      <c r="AH675" s="54"/>
      <c r="AI675" s="54"/>
    </row>
    <row r="676" spans="1:43" x14ac:dyDescent="0.2">
      <c r="A676" s="54"/>
      <c r="B676" s="54" t="s">
        <v>267</v>
      </c>
      <c r="C676" s="54" t="s">
        <v>1304</v>
      </c>
      <c r="D676" s="54"/>
      <c r="E676" s="54" t="s">
        <v>103</v>
      </c>
      <c r="F676" s="54"/>
      <c r="G676" s="72"/>
      <c r="H676" s="54"/>
      <c r="I676" s="72">
        <v>23.3</v>
      </c>
      <c r="J676" s="148">
        <v>0</v>
      </c>
      <c r="K676" s="72">
        <v>0</v>
      </c>
      <c r="L676" s="72">
        <v>23.3</v>
      </c>
      <c r="M676" s="54"/>
      <c r="N676" s="72">
        <v>23</v>
      </c>
      <c r="O676" s="54"/>
      <c r="P676" s="54"/>
      <c r="Q676" s="104">
        <v>83140</v>
      </c>
      <c r="R676" s="54" t="s">
        <v>270</v>
      </c>
      <c r="S676" s="54"/>
      <c r="T676" s="54"/>
      <c r="U676" s="69"/>
      <c r="V676" s="70"/>
      <c r="W676" s="15">
        <f t="shared" si="46"/>
        <v>0</v>
      </c>
      <c r="X676" s="15">
        <f t="shared" si="47"/>
        <v>0</v>
      </c>
      <c r="Y676" s="15">
        <f t="shared" si="48"/>
        <v>0</v>
      </c>
      <c r="Z676" s="13">
        <f t="shared" si="49"/>
        <v>0</v>
      </c>
      <c r="AA676" s="16"/>
      <c r="AB676" s="17"/>
      <c r="AC676" s="17"/>
      <c r="AD676" s="54" t="s">
        <v>43</v>
      </c>
      <c r="AE676" s="84" t="s">
        <v>1305</v>
      </c>
      <c r="AF676" s="54"/>
      <c r="AG676" s="54"/>
      <c r="AH676" s="54"/>
      <c r="AI676" s="54"/>
    </row>
    <row r="677" spans="1:43" ht="15.75" customHeight="1" x14ac:dyDescent="0.2">
      <c r="A677" s="91"/>
      <c r="B677" s="149" t="s">
        <v>267</v>
      </c>
      <c r="C677" s="150" t="s">
        <v>1304</v>
      </c>
      <c r="D677" s="150"/>
      <c r="E677" s="150" t="s">
        <v>1273</v>
      </c>
      <c r="F677" s="54"/>
      <c r="G677" s="54"/>
      <c r="H677" s="72">
        <v>0</v>
      </c>
      <c r="I677" s="72">
        <v>33.1</v>
      </c>
      <c r="J677" s="148">
        <v>0.15379999999999999</v>
      </c>
      <c r="K677" s="72">
        <v>5.09</v>
      </c>
      <c r="L677" s="72">
        <v>28.01</v>
      </c>
      <c r="M677" s="54"/>
      <c r="N677" s="72">
        <v>29</v>
      </c>
      <c r="O677" s="54"/>
      <c r="P677" s="54"/>
      <c r="Q677" s="104">
        <v>114200</v>
      </c>
      <c r="R677" s="54" t="s">
        <v>270</v>
      </c>
      <c r="S677" s="54"/>
      <c r="T677" s="54"/>
      <c r="U677" s="69"/>
      <c r="V677" s="70"/>
      <c r="W677" s="15">
        <f t="shared" si="46"/>
        <v>0</v>
      </c>
      <c r="X677" s="15">
        <f t="shared" si="47"/>
        <v>0</v>
      </c>
      <c r="Y677" s="15">
        <f t="shared" si="48"/>
        <v>0</v>
      </c>
      <c r="Z677" s="13">
        <f t="shared" si="49"/>
        <v>0</v>
      </c>
      <c r="AA677" s="16"/>
      <c r="AB677" s="17"/>
      <c r="AC677" s="17"/>
      <c r="AD677" s="54" t="s">
        <v>43</v>
      </c>
      <c r="AE677" s="84" t="s">
        <v>1306</v>
      </c>
      <c r="AF677" s="54"/>
      <c r="AG677" s="54"/>
      <c r="AH677" s="54"/>
      <c r="AI677" s="54"/>
    </row>
    <row r="678" spans="1:43" ht="15.75" customHeight="1" x14ac:dyDescent="0.2">
      <c r="A678" s="91"/>
      <c r="B678" s="149" t="s">
        <v>672</v>
      </c>
      <c r="C678" s="150" t="s">
        <v>1307</v>
      </c>
      <c r="D678" s="150"/>
      <c r="E678" s="150" t="s">
        <v>1308</v>
      </c>
      <c r="F678" s="72">
        <v>2020</v>
      </c>
      <c r="G678" s="54"/>
      <c r="H678" s="72">
        <v>1</v>
      </c>
      <c r="I678" s="72">
        <v>23.8</v>
      </c>
      <c r="J678" s="73">
        <v>0.63</v>
      </c>
      <c r="K678" s="72">
        <v>14.9</v>
      </c>
      <c r="L678" s="54"/>
      <c r="M678" s="54"/>
      <c r="N678" s="54"/>
      <c r="O678" s="54"/>
      <c r="P678" s="54"/>
      <c r="Q678" s="65">
        <v>13530</v>
      </c>
      <c r="R678" s="54" t="s">
        <v>676</v>
      </c>
      <c r="S678" s="54">
        <v>2020</v>
      </c>
      <c r="T678" s="61">
        <v>0.23899999999999999</v>
      </c>
      <c r="U678" s="69">
        <f t="shared" ref="U678:U745" si="78">Q678*T678</f>
        <v>3233.67</v>
      </c>
      <c r="V678" s="70">
        <f t="shared" ref="V678:V745" si="79">U678/I678</f>
        <v>135.86848739495798</v>
      </c>
      <c r="W678" s="15">
        <f t="shared" si="46"/>
        <v>0</v>
      </c>
      <c r="X678" s="15">
        <f t="shared" si="47"/>
        <v>0</v>
      </c>
      <c r="Y678" s="15">
        <f t="shared" si="48"/>
        <v>0</v>
      </c>
      <c r="Z678" s="13">
        <f t="shared" si="49"/>
        <v>0</v>
      </c>
      <c r="AA678" s="16">
        <f>VLOOKUP(S678,[1]CPI!$A$2:$D$67,4,0)</f>
        <v>1.0469802288156225</v>
      </c>
      <c r="AB678" s="17">
        <f t="shared" ref="AB678:AB745" si="80">U678*AA678</f>
        <v>3385.5885565142139</v>
      </c>
      <c r="AC678" s="17">
        <f t="shared" ref="AC678:AC745" si="81">V678*AA678</f>
        <v>142.25162002160562</v>
      </c>
      <c r="AD678" s="54" t="s">
        <v>73</v>
      </c>
      <c r="AE678" s="46" t="s">
        <v>1309</v>
      </c>
      <c r="AF678" s="54"/>
      <c r="AG678" s="54"/>
      <c r="AH678" s="54"/>
      <c r="AI678" s="54"/>
    </row>
    <row r="679" spans="1:43" ht="15.75" customHeight="1" x14ac:dyDescent="0.2">
      <c r="A679" s="91"/>
      <c r="B679" s="149" t="s">
        <v>672</v>
      </c>
      <c r="C679" s="54" t="s">
        <v>1310</v>
      </c>
      <c r="D679" s="54"/>
      <c r="E679" s="54" t="s">
        <v>1311</v>
      </c>
      <c r="F679" s="72">
        <v>2016</v>
      </c>
      <c r="G679" s="72">
        <v>2021</v>
      </c>
      <c r="H679" s="72">
        <v>0</v>
      </c>
      <c r="I679" s="72">
        <v>20.3</v>
      </c>
      <c r="J679" s="73">
        <v>0.49</v>
      </c>
      <c r="K679" s="72">
        <v>9.8699999999999992</v>
      </c>
      <c r="L679" s="54"/>
      <c r="M679" s="54"/>
      <c r="N679" s="72">
        <v>10</v>
      </c>
      <c r="O679" s="72">
        <v>117</v>
      </c>
      <c r="P679" s="54"/>
      <c r="Q679" s="65">
        <v>12790</v>
      </c>
      <c r="R679" s="54" t="s">
        <v>676</v>
      </c>
      <c r="S679" s="54">
        <v>2019</v>
      </c>
      <c r="T679" s="61">
        <v>0.23799999999999999</v>
      </c>
      <c r="U679" s="69">
        <f t="shared" si="78"/>
        <v>3044.02</v>
      </c>
      <c r="V679" s="70">
        <f t="shared" si="79"/>
        <v>149.95172413793102</v>
      </c>
      <c r="W679" s="15">
        <f t="shared" si="46"/>
        <v>0</v>
      </c>
      <c r="X679" s="15">
        <f t="shared" si="47"/>
        <v>0</v>
      </c>
      <c r="Y679" s="15">
        <f t="shared" si="48"/>
        <v>0</v>
      </c>
      <c r="Z679" s="13">
        <f t="shared" si="49"/>
        <v>0</v>
      </c>
      <c r="AA679" s="16">
        <f>VLOOKUP(S679,[1]CPI!$A$2:$D$67,4,0)</f>
        <v>1.0598966584134211</v>
      </c>
      <c r="AB679" s="17">
        <f t="shared" si="80"/>
        <v>3226.346626143622</v>
      </c>
      <c r="AC679" s="17">
        <f t="shared" si="81"/>
        <v>158.93333133712423</v>
      </c>
      <c r="AD679" s="54" t="s">
        <v>73</v>
      </c>
      <c r="AE679" s="46" t="s">
        <v>1312</v>
      </c>
      <c r="AF679" s="80" t="s">
        <v>1313</v>
      </c>
      <c r="AG679" s="81"/>
      <c r="AH679" s="81"/>
      <c r="AI679" s="81"/>
    </row>
    <row r="680" spans="1:43" ht="15.75" customHeight="1" x14ac:dyDescent="0.2">
      <c r="A680" s="91"/>
      <c r="B680" s="54" t="s">
        <v>672</v>
      </c>
      <c r="C680" s="54" t="s">
        <v>1314</v>
      </c>
      <c r="D680" s="54"/>
      <c r="E680" s="54" t="s">
        <v>735</v>
      </c>
      <c r="F680" s="72">
        <v>2020</v>
      </c>
      <c r="G680" s="54"/>
      <c r="H680" s="72">
        <v>0</v>
      </c>
      <c r="I680" s="72">
        <v>15.76</v>
      </c>
      <c r="J680" s="73">
        <v>1</v>
      </c>
      <c r="K680" s="72">
        <v>15.76</v>
      </c>
      <c r="L680" s="54"/>
      <c r="M680" s="54"/>
      <c r="N680" s="72">
        <v>11</v>
      </c>
      <c r="O680" s="54"/>
      <c r="P680" s="54"/>
      <c r="Q680" s="65">
        <v>10063</v>
      </c>
      <c r="R680" s="54" t="s">
        <v>676</v>
      </c>
      <c r="S680" s="54">
        <v>2020</v>
      </c>
      <c r="T680" s="61">
        <v>0.23899999999999999</v>
      </c>
      <c r="U680" s="69">
        <f t="shared" si="78"/>
        <v>2405.0569999999998</v>
      </c>
      <c r="V680" s="70">
        <f t="shared" si="79"/>
        <v>152.60513959390863</v>
      </c>
      <c r="W680" s="15">
        <f t="shared" si="46"/>
        <v>0</v>
      </c>
      <c r="X680" s="15">
        <f t="shared" si="47"/>
        <v>0</v>
      </c>
      <c r="Y680" s="15">
        <f t="shared" si="48"/>
        <v>0</v>
      </c>
      <c r="Z680" s="13">
        <f t="shared" si="49"/>
        <v>0</v>
      </c>
      <c r="AA680" s="16">
        <f>VLOOKUP(S680,[1]CPI!$A$2:$D$67,4,0)</f>
        <v>1.0469802288156225</v>
      </c>
      <c r="AB680" s="17">
        <f t="shared" si="80"/>
        <v>2518.0471281746145</v>
      </c>
      <c r="AC680" s="17">
        <f t="shared" si="81"/>
        <v>159.77456397047047</v>
      </c>
      <c r="AD680" s="54" t="s">
        <v>73</v>
      </c>
      <c r="AE680" s="46" t="s">
        <v>1315</v>
      </c>
      <c r="AF680" s="54"/>
      <c r="AG680" s="54"/>
      <c r="AH680" s="54"/>
      <c r="AI680" s="54"/>
    </row>
    <row r="681" spans="1:43" ht="15.75" customHeight="1" x14ac:dyDescent="0.2">
      <c r="A681" s="91"/>
      <c r="B681" s="54" t="s">
        <v>672</v>
      </c>
      <c r="C681" s="54" t="s">
        <v>1314</v>
      </c>
      <c r="D681" s="54"/>
      <c r="E681" s="54" t="s">
        <v>142</v>
      </c>
      <c r="F681" s="72">
        <v>2020</v>
      </c>
      <c r="G681" s="54"/>
      <c r="H681" s="72">
        <v>0</v>
      </c>
      <c r="I681" s="72">
        <v>24.4</v>
      </c>
      <c r="J681" s="73">
        <v>1</v>
      </c>
      <c r="K681" s="72">
        <v>24.4</v>
      </c>
      <c r="L681" s="54"/>
      <c r="M681" s="54"/>
      <c r="N681" s="72">
        <v>21</v>
      </c>
      <c r="O681" s="54"/>
      <c r="P681" s="54"/>
      <c r="Q681" s="65">
        <v>17201</v>
      </c>
      <c r="R681" s="54" t="s">
        <v>676</v>
      </c>
      <c r="S681" s="54">
        <v>2020</v>
      </c>
      <c r="T681" s="61">
        <v>0.23899999999999999</v>
      </c>
      <c r="U681" s="69">
        <f t="shared" si="78"/>
        <v>4111.0389999999998</v>
      </c>
      <c r="V681" s="70">
        <f t="shared" si="79"/>
        <v>168.48520491803279</v>
      </c>
      <c r="W681" s="15">
        <f t="shared" si="46"/>
        <v>0</v>
      </c>
      <c r="X681" s="15">
        <f t="shared" si="47"/>
        <v>0</v>
      </c>
      <c r="Y681" s="15">
        <f t="shared" si="48"/>
        <v>0</v>
      </c>
      <c r="Z681" s="13">
        <f t="shared" si="49"/>
        <v>0</v>
      </c>
      <c r="AA681" s="16">
        <f>VLOOKUP(S681,[1]CPI!$A$2:$D$67,4,0)</f>
        <v>1.0469802288156225</v>
      </c>
      <c r="AB681" s="17">
        <f t="shared" si="80"/>
        <v>4304.1765528899477</v>
      </c>
      <c r="AC681" s="17">
        <f t="shared" si="81"/>
        <v>176.40067839712901</v>
      </c>
      <c r="AD681" s="54" t="s">
        <v>73</v>
      </c>
      <c r="AE681" s="46" t="s">
        <v>1316</v>
      </c>
      <c r="AF681" s="54"/>
      <c r="AG681" s="54"/>
      <c r="AH681" s="54"/>
      <c r="AI681" s="54"/>
    </row>
    <row r="682" spans="1:43" ht="15.75" customHeight="1" x14ac:dyDescent="0.2">
      <c r="A682" s="91"/>
      <c r="B682" s="54" t="s">
        <v>267</v>
      </c>
      <c r="C682" s="54" t="s">
        <v>1317</v>
      </c>
      <c r="D682" s="54"/>
      <c r="E682" s="54" t="s">
        <v>1300</v>
      </c>
      <c r="F682" s="72">
        <v>2021</v>
      </c>
      <c r="G682" s="72">
        <v>2023</v>
      </c>
      <c r="H682" s="72">
        <v>0</v>
      </c>
      <c r="I682" s="72">
        <v>40.35</v>
      </c>
      <c r="J682" s="148">
        <v>0.1603</v>
      </c>
      <c r="K682" s="72">
        <v>6.47</v>
      </c>
      <c r="L682" s="72">
        <v>33.880000000000003</v>
      </c>
      <c r="M682" s="54"/>
      <c r="N682" s="72">
        <v>38</v>
      </c>
      <c r="O682" s="54"/>
      <c r="P682" s="54"/>
      <c r="Q682" s="104">
        <v>120203</v>
      </c>
      <c r="R682" s="54" t="s">
        <v>270</v>
      </c>
      <c r="S682" s="54">
        <v>2021</v>
      </c>
      <c r="T682" s="15">
        <v>4.3200000000000002E-2</v>
      </c>
      <c r="U682" s="69">
        <f t="shared" si="78"/>
        <v>5192.7696000000005</v>
      </c>
      <c r="V682" s="70">
        <f t="shared" si="79"/>
        <v>128.69317472118959</v>
      </c>
      <c r="W682" s="15">
        <f t="shared" si="46"/>
        <v>0</v>
      </c>
      <c r="X682" s="15">
        <f t="shared" si="47"/>
        <v>0</v>
      </c>
      <c r="Y682" s="15">
        <f t="shared" si="48"/>
        <v>0</v>
      </c>
      <c r="Z682" s="13">
        <f t="shared" si="49"/>
        <v>0</v>
      </c>
      <c r="AA682" s="16">
        <f>VLOOKUP(S682,[1]CPI!$A$2:$D$67,4,0)</f>
        <v>1</v>
      </c>
      <c r="AB682" s="17">
        <f t="shared" si="80"/>
        <v>5192.7696000000005</v>
      </c>
      <c r="AC682" s="17">
        <f t="shared" si="81"/>
        <v>128.69317472118959</v>
      </c>
      <c r="AD682" s="54" t="s">
        <v>43</v>
      </c>
      <c r="AE682" s="84" t="s">
        <v>1318</v>
      </c>
      <c r="AF682" s="54"/>
      <c r="AG682" s="54"/>
      <c r="AH682" s="54"/>
      <c r="AI682" s="54"/>
    </row>
    <row r="683" spans="1:43" ht="15.75" customHeight="1" x14ac:dyDescent="0.2">
      <c r="A683" s="91"/>
      <c r="B683" s="54" t="s">
        <v>672</v>
      </c>
      <c r="C683" s="54" t="s">
        <v>1016</v>
      </c>
      <c r="D683" s="54"/>
      <c r="E683" s="54" t="s">
        <v>1319</v>
      </c>
      <c r="F683" s="72">
        <v>2022</v>
      </c>
      <c r="G683" s="54"/>
      <c r="H683" s="72">
        <v>0</v>
      </c>
      <c r="I683" s="72">
        <v>31.17</v>
      </c>
      <c r="J683" s="73">
        <v>0.09</v>
      </c>
      <c r="K683" s="72">
        <v>2.8</v>
      </c>
      <c r="L683" s="54"/>
      <c r="M683" s="54"/>
      <c r="N683" s="72">
        <v>12</v>
      </c>
      <c r="O683" s="72">
        <v>138</v>
      </c>
      <c r="P683" s="54"/>
      <c r="Q683" s="65">
        <v>12240</v>
      </c>
      <c r="R683" s="54" t="s">
        <v>676</v>
      </c>
      <c r="S683" s="54">
        <v>2021</v>
      </c>
      <c r="T683" s="61">
        <v>0.23899999999999999</v>
      </c>
      <c r="U683" s="69">
        <f t="shared" si="78"/>
        <v>2925.3599999999997</v>
      </c>
      <c r="V683" s="70">
        <f t="shared" si="79"/>
        <v>93.851780558229052</v>
      </c>
      <c r="W683" s="15">
        <f t="shared" si="46"/>
        <v>0</v>
      </c>
      <c r="X683" s="15">
        <f t="shared" si="47"/>
        <v>0</v>
      </c>
      <c r="Y683" s="15">
        <f t="shared" si="48"/>
        <v>0</v>
      </c>
      <c r="Z683" s="13">
        <f t="shared" si="49"/>
        <v>0</v>
      </c>
      <c r="AA683" s="16">
        <f>VLOOKUP(S683,[1]CPI!$A$2:$D$67,4,0)</f>
        <v>1</v>
      </c>
      <c r="AB683" s="17">
        <f t="shared" si="80"/>
        <v>2925.3599999999997</v>
      </c>
      <c r="AC683" s="17">
        <f t="shared" si="81"/>
        <v>93.851780558229052</v>
      </c>
      <c r="AD683" s="54"/>
      <c r="AE683" s="46" t="s">
        <v>1019</v>
      </c>
      <c r="AF683" s="54"/>
      <c r="AG683" s="54"/>
      <c r="AH683" s="54"/>
      <c r="AI683" s="54"/>
    </row>
    <row r="684" spans="1:43" ht="15.75" customHeight="1" x14ac:dyDescent="0.2">
      <c r="A684" s="91"/>
      <c r="B684" s="54" t="s">
        <v>672</v>
      </c>
      <c r="C684" s="54" t="s">
        <v>1320</v>
      </c>
      <c r="D684" s="54"/>
      <c r="E684" s="54" t="s">
        <v>948</v>
      </c>
      <c r="F684" s="72">
        <v>2019</v>
      </c>
      <c r="G684" s="72">
        <v>2023</v>
      </c>
      <c r="H684" s="72">
        <v>0</v>
      </c>
      <c r="I684" s="72">
        <v>30.4</v>
      </c>
      <c r="J684" s="73">
        <v>0.35</v>
      </c>
      <c r="K684" s="72">
        <v>10.5</v>
      </c>
      <c r="L684" s="54"/>
      <c r="M684" s="54"/>
      <c r="N684" s="72">
        <v>9</v>
      </c>
      <c r="O684" s="72">
        <v>117</v>
      </c>
      <c r="P684" s="54"/>
      <c r="Q684" s="65">
        <v>14403</v>
      </c>
      <c r="R684" s="54" t="s">
        <v>676</v>
      </c>
      <c r="S684" s="54">
        <v>2021</v>
      </c>
      <c r="T684" s="61">
        <v>0.23899999999999999</v>
      </c>
      <c r="U684" s="69">
        <f t="shared" si="78"/>
        <v>3442.317</v>
      </c>
      <c r="V684" s="70">
        <f t="shared" si="79"/>
        <v>113.23411184210526</v>
      </c>
      <c r="W684" s="15">
        <f t="shared" si="46"/>
        <v>0</v>
      </c>
      <c r="X684" s="15">
        <f t="shared" si="47"/>
        <v>0</v>
      </c>
      <c r="Y684" s="15">
        <f t="shared" si="48"/>
        <v>0</v>
      </c>
      <c r="Z684" s="13">
        <f t="shared" si="49"/>
        <v>0</v>
      </c>
      <c r="AA684" s="16">
        <f>VLOOKUP(S684,[1]CPI!$A$2:$D$67,4,0)</f>
        <v>1</v>
      </c>
      <c r="AB684" s="17">
        <f t="shared" si="80"/>
        <v>3442.317</v>
      </c>
      <c r="AC684" s="17">
        <f t="shared" si="81"/>
        <v>113.23411184210526</v>
      </c>
      <c r="AD684" s="54"/>
      <c r="AE684" s="46" t="s">
        <v>1321</v>
      </c>
      <c r="AF684" s="54"/>
      <c r="AG684" s="54"/>
      <c r="AH684" s="54"/>
      <c r="AI684" s="54"/>
    </row>
    <row r="685" spans="1:43" ht="15.75" customHeight="1" x14ac:dyDescent="0.2">
      <c r="A685" s="91"/>
      <c r="B685" s="54" t="s">
        <v>672</v>
      </c>
      <c r="C685" s="54" t="s">
        <v>1320</v>
      </c>
      <c r="D685" s="54"/>
      <c r="E685" s="54" t="s">
        <v>706</v>
      </c>
      <c r="F685" s="72">
        <v>2021</v>
      </c>
      <c r="G685" s="54"/>
      <c r="H685" s="72">
        <v>0</v>
      </c>
      <c r="I685" s="72">
        <v>24.4</v>
      </c>
      <c r="J685" s="73">
        <v>1</v>
      </c>
      <c r="K685" s="72">
        <v>24.4</v>
      </c>
      <c r="L685" s="54"/>
      <c r="M685" s="54"/>
      <c r="N685" s="72">
        <v>18</v>
      </c>
      <c r="O685" s="72">
        <v>117</v>
      </c>
      <c r="P685" s="54"/>
      <c r="Q685" s="65">
        <v>18318</v>
      </c>
      <c r="R685" s="54" t="s">
        <v>676</v>
      </c>
      <c r="S685" s="54">
        <v>2021</v>
      </c>
      <c r="T685" s="61">
        <v>0.23899999999999999</v>
      </c>
      <c r="U685" s="69">
        <f t="shared" si="78"/>
        <v>4378.0019999999995</v>
      </c>
      <c r="V685" s="70">
        <f t="shared" si="79"/>
        <v>179.42631147540982</v>
      </c>
      <c r="W685" s="15">
        <f t="shared" si="46"/>
        <v>0</v>
      </c>
      <c r="X685" s="15">
        <f t="shared" si="47"/>
        <v>0</v>
      </c>
      <c r="Y685" s="15">
        <f t="shared" si="48"/>
        <v>0</v>
      </c>
      <c r="Z685" s="13">
        <f t="shared" si="49"/>
        <v>0</v>
      </c>
      <c r="AA685" s="16">
        <f>VLOOKUP(S685,[1]CPI!$A$2:$D$67,4,0)</f>
        <v>1</v>
      </c>
      <c r="AB685" s="17">
        <f t="shared" si="80"/>
        <v>4378.0019999999995</v>
      </c>
      <c r="AC685" s="17">
        <f t="shared" si="81"/>
        <v>179.42631147540982</v>
      </c>
      <c r="AD685" s="54"/>
      <c r="AE685" s="46" t="s">
        <v>1322</v>
      </c>
      <c r="AF685" s="54"/>
      <c r="AG685" s="54"/>
      <c r="AH685" s="54"/>
      <c r="AI685" s="54"/>
      <c r="AJ685" s="82"/>
      <c r="AK685" s="82"/>
      <c r="AL685" s="82"/>
      <c r="AM685" s="82"/>
      <c r="AN685" s="82"/>
      <c r="AO685" s="82"/>
      <c r="AP685" s="82"/>
      <c r="AQ685" s="82"/>
    </row>
    <row r="686" spans="1:43" ht="15.75" customHeight="1" x14ac:dyDescent="0.2">
      <c r="A686" s="91"/>
      <c r="B686" s="54" t="s">
        <v>672</v>
      </c>
      <c r="C686" s="54" t="s">
        <v>1320</v>
      </c>
      <c r="D686" s="54"/>
      <c r="E686" s="54" t="s">
        <v>698</v>
      </c>
      <c r="F686" s="72">
        <v>2010</v>
      </c>
      <c r="G686" s="72">
        <v>2014</v>
      </c>
      <c r="H686" s="72">
        <v>0</v>
      </c>
      <c r="I686" s="72">
        <v>26.3</v>
      </c>
      <c r="J686" s="73">
        <v>0.75</v>
      </c>
      <c r="K686" s="72">
        <v>19.600000000000001</v>
      </c>
      <c r="L686" s="54"/>
      <c r="M686" s="54"/>
      <c r="N686" s="72">
        <v>20</v>
      </c>
      <c r="O686" s="72">
        <v>117</v>
      </c>
      <c r="P686" s="54"/>
      <c r="Q686" s="65">
        <v>17487</v>
      </c>
      <c r="R686" s="54" t="s">
        <v>676</v>
      </c>
      <c r="S686" s="54">
        <v>2012</v>
      </c>
      <c r="T686" s="61">
        <v>0.28100000000000003</v>
      </c>
      <c r="U686" s="69">
        <f t="shared" si="78"/>
        <v>4913.8470000000007</v>
      </c>
      <c r="V686" s="70">
        <f t="shared" si="79"/>
        <v>186.83828897338404</v>
      </c>
      <c r="W686" s="15">
        <f t="shared" si="46"/>
        <v>0</v>
      </c>
      <c r="X686" s="15">
        <f t="shared" si="47"/>
        <v>0</v>
      </c>
      <c r="Y686" s="15">
        <f t="shared" si="48"/>
        <v>0</v>
      </c>
      <c r="Z686" s="13">
        <f t="shared" si="49"/>
        <v>0</v>
      </c>
      <c r="AA686" s="16">
        <f>VLOOKUP(S686,[1]CPI!$A$2:$D$67,4,0)</f>
        <v>1.1802137686524912</v>
      </c>
      <c r="AB686" s="17">
        <f t="shared" si="80"/>
        <v>5799.3898864517387</v>
      </c>
      <c r="AC686" s="17">
        <f t="shared" si="81"/>
        <v>220.50912115786076</v>
      </c>
      <c r="AD686" s="54"/>
      <c r="AE686" s="46" t="s">
        <v>1323</v>
      </c>
      <c r="AF686" s="80" t="s">
        <v>1324</v>
      </c>
      <c r="AG686" s="81"/>
      <c r="AH686" s="81"/>
      <c r="AI686" s="81"/>
      <c r="AJ686" s="82"/>
      <c r="AK686" s="82"/>
      <c r="AL686" s="82"/>
      <c r="AM686" s="82"/>
      <c r="AN686" s="82"/>
      <c r="AO686" s="82"/>
      <c r="AP686" s="82"/>
      <c r="AQ686" s="82"/>
    </row>
    <row r="687" spans="1:43" ht="15.75" customHeight="1" x14ac:dyDescent="0.2">
      <c r="A687" s="91"/>
      <c r="B687" s="54" t="s">
        <v>672</v>
      </c>
      <c r="C687" s="54" t="s">
        <v>1320</v>
      </c>
      <c r="D687" s="54" t="s">
        <v>92</v>
      </c>
      <c r="E687" s="54" t="s">
        <v>1325</v>
      </c>
      <c r="F687" s="54"/>
      <c r="G687" s="72">
        <v>2019</v>
      </c>
      <c r="H687" s="72">
        <v>0</v>
      </c>
      <c r="I687" s="72">
        <v>5.1870000000000003</v>
      </c>
      <c r="J687" s="73">
        <v>1</v>
      </c>
      <c r="K687" s="72">
        <v>5.1870000000000003</v>
      </c>
      <c r="L687" s="54"/>
      <c r="M687" s="54"/>
      <c r="N687" s="72">
        <v>3</v>
      </c>
      <c r="O687" s="72">
        <v>117</v>
      </c>
      <c r="P687" s="54"/>
      <c r="Q687" s="65">
        <v>2598</v>
      </c>
      <c r="R687" s="54" t="s">
        <v>676</v>
      </c>
      <c r="S687" s="54">
        <v>2019</v>
      </c>
      <c r="T687" s="61">
        <v>0.23799999999999999</v>
      </c>
      <c r="U687" s="69">
        <f t="shared" si="78"/>
        <v>618.32399999999996</v>
      </c>
      <c r="V687" s="70">
        <f t="shared" si="79"/>
        <v>119.2064777327935</v>
      </c>
      <c r="W687" s="15">
        <f t="shared" si="46"/>
        <v>0</v>
      </c>
      <c r="X687" s="15">
        <f t="shared" si="47"/>
        <v>0</v>
      </c>
      <c r="Y687" s="15">
        <f t="shared" si="48"/>
        <v>0</v>
      </c>
      <c r="Z687" s="13">
        <f t="shared" si="49"/>
        <v>0</v>
      </c>
      <c r="AA687" s="16">
        <f>VLOOKUP(S687,[1]CPI!$A$2:$D$67,4,0)</f>
        <v>1.0598966584134211</v>
      </c>
      <c r="AB687" s="17">
        <f t="shared" si="80"/>
        <v>655.35954141682009</v>
      </c>
      <c r="AC687" s="17">
        <f t="shared" si="81"/>
        <v>126.34654741022172</v>
      </c>
      <c r="AD687" s="54"/>
      <c r="AE687" s="46" t="s">
        <v>1326</v>
      </c>
      <c r="AF687" s="54"/>
      <c r="AG687" s="54"/>
      <c r="AH687" s="54"/>
      <c r="AI687" s="54"/>
      <c r="AJ687" s="82"/>
      <c r="AK687" s="82"/>
      <c r="AL687" s="82"/>
      <c r="AM687" s="82"/>
      <c r="AN687" s="82"/>
      <c r="AO687" s="82"/>
      <c r="AP687" s="82"/>
      <c r="AQ687" s="82"/>
    </row>
    <row r="688" spans="1:43" ht="15.75" customHeight="1" x14ac:dyDescent="0.2">
      <c r="A688" s="91"/>
      <c r="B688" s="54" t="s">
        <v>672</v>
      </c>
      <c r="C688" s="54" t="s">
        <v>1320</v>
      </c>
      <c r="D688" s="54"/>
      <c r="E688" s="54" t="s">
        <v>1327</v>
      </c>
      <c r="F688" s="72">
        <v>2022</v>
      </c>
      <c r="G688" s="54"/>
      <c r="H688" s="72">
        <v>0</v>
      </c>
      <c r="I688" s="72">
        <v>30</v>
      </c>
      <c r="J688" s="54"/>
      <c r="K688" s="54"/>
      <c r="L688" s="54"/>
      <c r="M688" s="54"/>
      <c r="N688" s="72">
        <v>6</v>
      </c>
      <c r="O688" s="72">
        <v>92</v>
      </c>
      <c r="P688" s="54"/>
      <c r="Q688" s="65">
        <v>15716</v>
      </c>
      <c r="R688" s="54" t="s">
        <v>676</v>
      </c>
      <c r="S688" s="54">
        <v>2021</v>
      </c>
      <c r="T688" s="61">
        <v>0.23899999999999999</v>
      </c>
      <c r="U688" s="69">
        <f t="shared" si="78"/>
        <v>3756.1239999999998</v>
      </c>
      <c r="V688" s="70">
        <f t="shared" si="79"/>
        <v>125.20413333333333</v>
      </c>
      <c r="W688" s="15">
        <f t="shared" si="46"/>
        <v>0</v>
      </c>
      <c r="X688" s="15">
        <f t="shared" si="47"/>
        <v>0</v>
      </c>
      <c r="Y688" s="15">
        <f t="shared" si="48"/>
        <v>0</v>
      </c>
      <c r="Z688" s="13">
        <f t="shared" si="49"/>
        <v>0</v>
      </c>
      <c r="AA688" s="16">
        <f>VLOOKUP(S688,[1]CPI!$A$2:$D$67,4,0)</f>
        <v>1</v>
      </c>
      <c r="AB688" s="17">
        <f t="shared" si="80"/>
        <v>3756.1239999999998</v>
      </c>
      <c r="AC688" s="17">
        <f t="shared" si="81"/>
        <v>125.20413333333333</v>
      </c>
      <c r="AD688" s="54"/>
      <c r="AE688" s="46" t="s">
        <v>1328</v>
      </c>
      <c r="AF688" s="54"/>
      <c r="AG688" s="54"/>
      <c r="AH688" s="54"/>
      <c r="AI688" s="54"/>
      <c r="AJ688" s="82"/>
      <c r="AK688" s="82"/>
      <c r="AL688" s="82"/>
      <c r="AM688" s="82"/>
      <c r="AN688" s="82"/>
      <c r="AO688" s="82"/>
      <c r="AP688" s="82"/>
      <c r="AQ688" s="82"/>
    </row>
    <row r="689" spans="1:43" ht="15.75" customHeight="1" x14ac:dyDescent="0.2">
      <c r="A689" s="91"/>
      <c r="B689" s="54" t="s">
        <v>672</v>
      </c>
      <c r="C689" s="54" t="s">
        <v>1320</v>
      </c>
      <c r="D689" s="54" t="s">
        <v>92</v>
      </c>
      <c r="E689" s="54" t="s">
        <v>679</v>
      </c>
      <c r="F689" s="72">
        <v>2014</v>
      </c>
      <c r="G689" s="54"/>
      <c r="H689" s="72">
        <v>0</v>
      </c>
      <c r="I689" s="72">
        <v>29.4</v>
      </c>
      <c r="J689" s="73">
        <v>0.83</v>
      </c>
      <c r="K689" s="72">
        <v>24.4</v>
      </c>
      <c r="L689" s="54"/>
      <c r="M689" s="54"/>
      <c r="N689" s="72">
        <v>24</v>
      </c>
      <c r="O689" s="72">
        <v>117</v>
      </c>
      <c r="P689" s="54"/>
      <c r="Q689" s="65">
        <v>18500</v>
      </c>
      <c r="R689" s="54" t="s">
        <v>676</v>
      </c>
      <c r="S689" s="54">
        <v>2014</v>
      </c>
      <c r="T689" s="15">
        <v>0.26600000000000001</v>
      </c>
      <c r="U689" s="69">
        <f t="shared" si="78"/>
        <v>4921</v>
      </c>
      <c r="V689" s="70">
        <f t="shared" si="79"/>
        <v>167.38095238095238</v>
      </c>
      <c r="W689" s="15">
        <f t="shared" si="46"/>
        <v>0</v>
      </c>
      <c r="X689" s="15">
        <f t="shared" si="47"/>
        <v>0</v>
      </c>
      <c r="Y689" s="15">
        <f t="shared" si="48"/>
        <v>0</v>
      </c>
      <c r="Z689" s="13">
        <f t="shared" si="49"/>
        <v>0</v>
      </c>
      <c r="AA689" s="16">
        <f>VLOOKUP(S689,[1]CPI!$A$2:$D$67,4,0)</f>
        <v>1.1446083400919169</v>
      </c>
      <c r="AB689" s="17">
        <f t="shared" si="80"/>
        <v>5632.6176415923228</v>
      </c>
      <c r="AC689" s="17">
        <f t="shared" si="81"/>
        <v>191.58563406776608</v>
      </c>
      <c r="AD689" s="54"/>
      <c r="AE689" s="46" t="s">
        <v>1329</v>
      </c>
      <c r="AF689" s="54"/>
      <c r="AG689" s="54"/>
      <c r="AH689" s="54"/>
      <c r="AI689" s="54"/>
      <c r="AJ689" s="82"/>
      <c r="AK689" s="82"/>
      <c r="AL689" s="82"/>
      <c r="AM689" s="82"/>
      <c r="AN689" s="82"/>
      <c r="AO689" s="82"/>
      <c r="AP689" s="82"/>
      <c r="AQ689" s="82"/>
    </row>
    <row r="690" spans="1:43" ht="15.75" customHeight="1" x14ac:dyDescent="0.2">
      <c r="A690" s="91"/>
      <c r="B690" s="54" t="s">
        <v>672</v>
      </c>
      <c r="C690" s="54" t="s">
        <v>1320</v>
      </c>
      <c r="D690" s="54"/>
      <c r="E690" s="54" t="s">
        <v>907</v>
      </c>
      <c r="F690" s="72">
        <v>2020</v>
      </c>
      <c r="G690" s="54"/>
      <c r="H690" s="72">
        <v>0</v>
      </c>
      <c r="I690" s="72">
        <v>28.5</v>
      </c>
      <c r="J690" s="73">
        <v>1</v>
      </c>
      <c r="K690" s="72">
        <v>28.5</v>
      </c>
      <c r="L690" s="54"/>
      <c r="M690" s="54"/>
      <c r="N690" s="72">
        <v>21</v>
      </c>
      <c r="O690" s="72">
        <v>117</v>
      </c>
      <c r="P690" s="54"/>
      <c r="Q690" s="65">
        <v>20538</v>
      </c>
      <c r="R690" s="54" t="s">
        <v>676</v>
      </c>
      <c r="S690" s="54">
        <v>2020</v>
      </c>
      <c r="T690" s="61">
        <v>0.23899999999999999</v>
      </c>
      <c r="U690" s="69">
        <f t="shared" si="78"/>
        <v>4908.5819999999994</v>
      </c>
      <c r="V690" s="70">
        <f t="shared" si="79"/>
        <v>172.23094736842103</v>
      </c>
      <c r="W690" s="15">
        <f t="shared" si="46"/>
        <v>0</v>
      </c>
      <c r="X690" s="15">
        <f t="shared" si="47"/>
        <v>0</v>
      </c>
      <c r="Y690" s="15">
        <f t="shared" si="48"/>
        <v>0</v>
      </c>
      <c r="Z690" s="13">
        <f t="shared" si="49"/>
        <v>0</v>
      </c>
      <c r="AA690" s="16">
        <f>VLOOKUP(S690,[1]CPI!$A$2:$D$67,4,0)</f>
        <v>1.0469802288156225</v>
      </c>
      <c r="AB690" s="17">
        <f t="shared" si="80"/>
        <v>5139.1883055202452</v>
      </c>
      <c r="AC690" s="17">
        <f t="shared" si="81"/>
        <v>180.32239668492088</v>
      </c>
      <c r="AD690" s="54"/>
      <c r="AE690" s="46" t="s">
        <v>1330</v>
      </c>
      <c r="AF690" s="54"/>
      <c r="AG690" s="54"/>
      <c r="AH690" s="54"/>
      <c r="AI690" s="54"/>
      <c r="AJ690" s="82"/>
      <c r="AK690" s="82"/>
      <c r="AL690" s="82"/>
      <c r="AM690" s="82"/>
      <c r="AN690" s="82"/>
      <c r="AO690" s="82"/>
      <c r="AP690" s="82"/>
      <c r="AQ690" s="82"/>
    </row>
    <row r="691" spans="1:43" ht="15.75" customHeight="1" x14ac:dyDescent="0.2">
      <c r="A691" s="54"/>
      <c r="B691" s="54" t="s">
        <v>672</v>
      </c>
      <c r="C691" s="54" t="s">
        <v>1331</v>
      </c>
      <c r="D691" s="54"/>
      <c r="E691" s="54" t="s">
        <v>1332</v>
      </c>
      <c r="F691" s="72">
        <v>2020</v>
      </c>
      <c r="G691" s="54"/>
      <c r="H691" s="72">
        <v>0</v>
      </c>
      <c r="I691" s="72">
        <v>107.17</v>
      </c>
      <c r="J691" s="54"/>
      <c r="K691" s="54"/>
      <c r="L691" s="54"/>
      <c r="M691" s="54"/>
      <c r="N691" s="72">
        <v>31</v>
      </c>
      <c r="O691" s="72">
        <v>117</v>
      </c>
      <c r="P691" s="54" t="s">
        <v>73</v>
      </c>
      <c r="Q691" s="65">
        <v>34683</v>
      </c>
      <c r="R691" s="54" t="s">
        <v>676</v>
      </c>
      <c r="S691" s="54">
        <v>2020</v>
      </c>
      <c r="T691" s="61">
        <v>0.23899999999999999</v>
      </c>
      <c r="U691" s="69">
        <f t="shared" si="78"/>
        <v>8289.2369999999992</v>
      </c>
      <c r="V691" s="70">
        <f t="shared" si="79"/>
        <v>77.346617523560695</v>
      </c>
      <c r="W691" s="15">
        <f t="shared" si="46"/>
        <v>0</v>
      </c>
      <c r="X691" s="15">
        <f t="shared" si="47"/>
        <v>0</v>
      </c>
      <c r="Y691" s="15">
        <f t="shared" si="48"/>
        <v>0</v>
      </c>
      <c r="Z691" s="13">
        <f t="shared" si="49"/>
        <v>0</v>
      </c>
      <c r="AA691" s="16">
        <f>VLOOKUP(S691,[1]CPI!$A$2:$D$67,4,0)</f>
        <v>1.0469802288156225</v>
      </c>
      <c r="AB691" s="17">
        <f t="shared" si="80"/>
        <v>8678.6672509669224</v>
      </c>
      <c r="AC691" s="17">
        <f t="shared" si="81"/>
        <v>80.980379312932016</v>
      </c>
      <c r="AD691" s="54" t="s">
        <v>73</v>
      </c>
      <c r="AE691" s="46" t="s">
        <v>1333</v>
      </c>
      <c r="AF691" s="54"/>
      <c r="AG691" s="54"/>
      <c r="AH691" s="54"/>
      <c r="AI691" s="54"/>
    </row>
    <row r="692" spans="1:43" ht="15.75" customHeight="1" x14ac:dyDescent="0.2">
      <c r="A692" s="91"/>
      <c r="B692" s="54" t="s">
        <v>672</v>
      </c>
      <c r="C692" s="54" t="s">
        <v>1334</v>
      </c>
      <c r="D692" s="54"/>
      <c r="E692" s="54" t="s">
        <v>92</v>
      </c>
      <c r="F692" s="72">
        <v>2020</v>
      </c>
      <c r="G692" s="54"/>
      <c r="H692" s="72">
        <v>0</v>
      </c>
      <c r="I692" s="72">
        <v>20.82</v>
      </c>
      <c r="J692" s="73">
        <v>0.62</v>
      </c>
      <c r="K692" s="72">
        <v>12.86</v>
      </c>
      <c r="L692" s="54"/>
      <c r="M692" s="54"/>
      <c r="N692" s="72">
        <v>15</v>
      </c>
      <c r="O692" s="54"/>
      <c r="P692" s="54" t="s">
        <v>73</v>
      </c>
      <c r="Q692" s="65">
        <v>13451.89</v>
      </c>
      <c r="R692" s="54" t="s">
        <v>676</v>
      </c>
      <c r="S692" s="54">
        <v>2020</v>
      </c>
      <c r="T692" s="61">
        <v>0.23899999999999999</v>
      </c>
      <c r="U692" s="69">
        <f t="shared" si="78"/>
        <v>3215.0017099999995</v>
      </c>
      <c r="V692" s="70">
        <f t="shared" si="79"/>
        <v>154.41891018251678</v>
      </c>
      <c r="W692" s="15">
        <f t="shared" si="46"/>
        <v>0</v>
      </c>
      <c r="X692" s="15">
        <f t="shared" si="47"/>
        <v>0</v>
      </c>
      <c r="Y692" s="15">
        <f t="shared" si="48"/>
        <v>0</v>
      </c>
      <c r="Z692" s="13">
        <f t="shared" si="49"/>
        <v>0</v>
      </c>
      <c r="AA692" s="16">
        <f>VLOOKUP(S692,[1]CPI!$A$2:$D$67,4,0)</f>
        <v>1.0469802288156225</v>
      </c>
      <c r="AB692" s="17">
        <f t="shared" si="80"/>
        <v>3366.043225978417</v>
      </c>
      <c r="AC692" s="17">
        <f t="shared" si="81"/>
        <v>161.67354591635046</v>
      </c>
      <c r="AD692" s="54" t="s">
        <v>73</v>
      </c>
      <c r="AE692" s="46" t="s">
        <v>1335</v>
      </c>
      <c r="AF692" s="54"/>
      <c r="AG692" s="54"/>
      <c r="AH692" s="54"/>
      <c r="AI692" s="54"/>
    </row>
    <row r="693" spans="1:43" ht="15.75" customHeight="1" x14ac:dyDescent="0.2">
      <c r="A693" s="91"/>
      <c r="B693" s="54" t="s">
        <v>672</v>
      </c>
      <c r="C693" s="54" t="s">
        <v>1278</v>
      </c>
      <c r="D693" s="54" t="s">
        <v>99</v>
      </c>
      <c r="E693" s="54" t="s">
        <v>862</v>
      </c>
      <c r="F693" s="54">
        <v>2021</v>
      </c>
      <c r="G693" s="54">
        <v>2026</v>
      </c>
      <c r="H693" s="54">
        <v>0</v>
      </c>
      <c r="I693" s="54">
        <v>23.5</v>
      </c>
      <c r="J693" s="54">
        <v>0.54</v>
      </c>
      <c r="K693" s="54">
        <v>12.7</v>
      </c>
      <c r="L693" s="54"/>
      <c r="M693" s="54"/>
      <c r="N693" s="54">
        <v>10</v>
      </c>
      <c r="O693" s="54">
        <v>117</v>
      </c>
      <c r="P693" s="54"/>
      <c r="Q693" s="54">
        <v>12228</v>
      </c>
      <c r="R693" s="54" t="s">
        <v>676</v>
      </c>
      <c r="S693" s="54">
        <v>2021</v>
      </c>
      <c r="T693" s="61">
        <v>0.23899999999999999</v>
      </c>
      <c r="U693" s="69">
        <f t="shared" si="78"/>
        <v>2922.4919999999997</v>
      </c>
      <c r="V693" s="70">
        <f t="shared" si="79"/>
        <v>124.36136170212765</v>
      </c>
      <c r="W693" s="15">
        <f t="shared" si="46"/>
        <v>0</v>
      </c>
      <c r="X693" s="15">
        <f t="shared" si="47"/>
        <v>0</v>
      </c>
      <c r="Y693" s="15">
        <f t="shared" si="48"/>
        <v>0</v>
      </c>
      <c r="Z693" s="13">
        <f t="shared" si="49"/>
        <v>0</v>
      </c>
      <c r="AA693" s="16">
        <f>VLOOKUP(S693,[1]CPI!$A$2:$D$67,4,0)</f>
        <v>1</v>
      </c>
      <c r="AB693" s="17">
        <f t="shared" si="80"/>
        <v>2922.4919999999997</v>
      </c>
      <c r="AC693" s="17">
        <f t="shared" si="81"/>
        <v>124.36136170212765</v>
      </c>
      <c r="AD693" s="54"/>
      <c r="AE693" s="46" t="s">
        <v>1336</v>
      </c>
      <c r="AF693" s="80" t="s">
        <v>1337</v>
      </c>
      <c r="AG693" s="81"/>
      <c r="AH693" s="81"/>
      <c r="AI693" s="81"/>
    </row>
    <row r="694" spans="1:43" x14ac:dyDescent="0.2">
      <c r="A694" s="54"/>
      <c r="B694" s="54" t="s">
        <v>672</v>
      </c>
      <c r="C694" s="54" t="s">
        <v>1278</v>
      </c>
      <c r="D694" s="54"/>
      <c r="E694" s="54" t="s">
        <v>907</v>
      </c>
      <c r="F694" s="72">
        <v>2016</v>
      </c>
      <c r="G694" s="72">
        <v>2022</v>
      </c>
      <c r="H694" s="72">
        <v>0</v>
      </c>
      <c r="I694" s="72">
        <v>69.5</v>
      </c>
      <c r="J694" s="73">
        <v>0.86</v>
      </c>
      <c r="K694" s="72">
        <v>59.5</v>
      </c>
      <c r="L694" s="54"/>
      <c r="M694" s="54"/>
      <c r="N694" s="72">
        <v>37</v>
      </c>
      <c r="O694" s="72">
        <v>117</v>
      </c>
      <c r="P694" s="54"/>
      <c r="Q694" s="65">
        <v>42572</v>
      </c>
      <c r="R694" s="54" t="s">
        <v>676</v>
      </c>
      <c r="S694" s="54">
        <v>2019</v>
      </c>
      <c r="T694" s="61">
        <v>0.23799999999999999</v>
      </c>
      <c r="U694" s="69">
        <f t="shared" si="78"/>
        <v>10132.136</v>
      </c>
      <c r="V694" s="70">
        <f t="shared" si="79"/>
        <v>145.78612949640288</v>
      </c>
      <c r="W694" s="15">
        <f t="shared" si="46"/>
        <v>0</v>
      </c>
      <c r="X694" s="15">
        <f t="shared" si="47"/>
        <v>0</v>
      </c>
      <c r="Y694" s="15">
        <f t="shared" si="48"/>
        <v>0</v>
      </c>
      <c r="Z694" s="13">
        <f t="shared" si="49"/>
        <v>0</v>
      </c>
      <c r="AA694" s="16">
        <f>VLOOKUP(S694,[1]CPI!$A$2:$D$67,4,0)</f>
        <v>1.0598966584134211</v>
      </c>
      <c r="AB694" s="17">
        <f t="shared" si="80"/>
        <v>10739.017088990327</v>
      </c>
      <c r="AC694" s="17">
        <f t="shared" si="81"/>
        <v>154.5182314962637</v>
      </c>
      <c r="AD694" s="54"/>
      <c r="AE694" s="46" t="s">
        <v>1338</v>
      </c>
      <c r="AF694" s="54"/>
      <c r="AG694" s="54"/>
      <c r="AH694" s="54"/>
      <c r="AI694" s="54"/>
      <c r="AJ694" s="82"/>
      <c r="AK694" s="82"/>
      <c r="AL694" s="82"/>
      <c r="AM694" s="82"/>
      <c r="AN694" s="82"/>
      <c r="AO694" s="82"/>
      <c r="AP694" s="82"/>
      <c r="AQ694" s="82"/>
    </row>
    <row r="695" spans="1:43" x14ac:dyDescent="0.2">
      <c r="A695" s="54"/>
      <c r="B695" s="54" t="s">
        <v>672</v>
      </c>
      <c r="C695" s="54" t="s">
        <v>1278</v>
      </c>
      <c r="D695" s="54" t="s">
        <v>99</v>
      </c>
      <c r="E695" s="54" t="s">
        <v>698</v>
      </c>
      <c r="F695" s="72">
        <v>2014</v>
      </c>
      <c r="G695" s="72">
        <v>2021</v>
      </c>
      <c r="H695" s="72">
        <v>0</v>
      </c>
      <c r="I695" s="72">
        <v>32.409999999999997</v>
      </c>
      <c r="J695" s="73">
        <v>0.78</v>
      </c>
      <c r="K695" s="72">
        <v>25.3</v>
      </c>
      <c r="L695" s="54"/>
      <c r="M695" s="54"/>
      <c r="N695" s="72">
        <v>17</v>
      </c>
      <c r="O695" s="72">
        <v>117</v>
      </c>
      <c r="P695" s="54"/>
      <c r="Q695" s="65">
        <v>20671</v>
      </c>
      <c r="R695" s="54" t="s">
        <v>676</v>
      </c>
      <c r="S695" s="54">
        <v>2018</v>
      </c>
      <c r="T695" s="15">
        <v>0.23699999999999999</v>
      </c>
      <c r="U695" s="69">
        <f t="shared" si="78"/>
        <v>4899.027</v>
      </c>
      <c r="V695" s="70">
        <f t="shared" si="79"/>
        <v>151.15788336933048</v>
      </c>
      <c r="W695" s="15">
        <f t="shared" si="46"/>
        <v>0</v>
      </c>
      <c r="X695" s="15">
        <f t="shared" si="47"/>
        <v>0</v>
      </c>
      <c r="Y695" s="15">
        <f t="shared" si="48"/>
        <v>0</v>
      </c>
      <c r="Z695" s="13">
        <f t="shared" si="49"/>
        <v>0</v>
      </c>
      <c r="AA695" s="16">
        <f>VLOOKUP(S695,[1]CPI!$A$2:$D$67,4,0)</f>
        <v>1.0791017375063221</v>
      </c>
      <c r="AB695" s="17">
        <f t="shared" si="80"/>
        <v>5286.5485477903849</v>
      </c>
      <c r="AC695" s="17">
        <f t="shared" si="81"/>
        <v>163.11473458162251</v>
      </c>
      <c r="AD695" s="54"/>
      <c r="AE695" s="46" t="s">
        <v>1339</v>
      </c>
      <c r="AF695" s="54"/>
      <c r="AG695" s="54"/>
      <c r="AH695" s="54"/>
      <c r="AI695" s="54"/>
      <c r="AJ695" s="82"/>
      <c r="AK695" s="82"/>
      <c r="AL695" s="82"/>
      <c r="AM695" s="82"/>
      <c r="AN695" s="82"/>
      <c r="AO695" s="82"/>
      <c r="AP695" s="82"/>
      <c r="AQ695" s="82"/>
    </row>
    <row r="696" spans="1:43" x14ac:dyDescent="0.2">
      <c r="A696" s="54"/>
      <c r="B696" s="54" t="s">
        <v>672</v>
      </c>
      <c r="C696" s="54" t="s">
        <v>1278</v>
      </c>
      <c r="D696" s="54"/>
      <c r="E696" s="54" t="s">
        <v>706</v>
      </c>
      <c r="F696" s="72">
        <v>2021</v>
      </c>
      <c r="G696" s="72">
        <v>2026</v>
      </c>
      <c r="H696" s="72">
        <v>0</v>
      </c>
      <c r="I696" s="72">
        <v>55.91</v>
      </c>
      <c r="J696" s="73">
        <v>0.88</v>
      </c>
      <c r="K696" s="72">
        <v>49.1</v>
      </c>
      <c r="L696" s="54"/>
      <c r="M696" s="54"/>
      <c r="N696" s="72">
        <v>33</v>
      </c>
      <c r="O696" s="72">
        <v>117</v>
      </c>
      <c r="P696" s="54"/>
      <c r="Q696" s="65">
        <v>44601</v>
      </c>
      <c r="R696" s="54" t="s">
        <v>676</v>
      </c>
      <c r="S696" s="54">
        <v>2021</v>
      </c>
      <c r="T696" s="61">
        <v>0.23899999999999999</v>
      </c>
      <c r="U696" s="69">
        <f t="shared" si="78"/>
        <v>10659.638999999999</v>
      </c>
      <c r="V696" s="70">
        <f t="shared" si="79"/>
        <v>190.65710964049364</v>
      </c>
      <c r="W696" s="15">
        <f t="shared" si="46"/>
        <v>0</v>
      </c>
      <c r="X696" s="15">
        <f t="shared" si="47"/>
        <v>0</v>
      </c>
      <c r="Y696" s="15">
        <f t="shared" si="48"/>
        <v>0</v>
      </c>
      <c r="Z696" s="13">
        <f t="shared" si="49"/>
        <v>0</v>
      </c>
      <c r="AA696" s="16">
        <f>VLOOKUP(S696,[1]CPI!$A$2:$D$67,4,0)</f>
        <v>1</v>
      </c>
      <c r="AB696" s="17">
        <f t="shared" si="80"/>
        <v>10659.638999999999</v>
      </c>
      <c r="AC696" s="17">
        <f t="shared" si="81"/>
        <v>190.65710964049364</v>
      </c>
      <c r="AD696" s="54"/>
      <c r="AE696" s="46" t="s">
        <v>1340</v>
      </c>
      <c r="AF696" s="46" t="s">
        <v>1336</v>
      </c>
      <c r="AG696" s="80" t="s">
        <v>1337</v>
      </c>
      <c r="AH696" s="81"/>
      <c r="AI696" s="81"/>
      <c r="AJ696" s="82"/>
      <c r="AK696" s="82"/>
      <c r="AL696" s="82"/>
      <c r="AM696" s="82"/>
      <c r="AN696" s="82"/>
      <c r="AO696" s="82"/>
      <c r="AP696" s="82"/>
      <c r="AQ696" s="82"/>
    </row>
    <row r="697" spans="1:43" x14ac:dyDescent="0.2">
      <c r="A697" s="54"/>
      <c r="B697" s="54" t="s">
        <v>672</v>
      </c>
      <c r="C697" s="54" t="s">
        <v>1341</v>
      </c>
      <c r="D697" s="54"/>
      <c r="E697" s="54" t="s">
        <v>142</v>
      </c>
      <c r="F697" s="72">
        <v>2010</v>
      </c>
      <c r="G697" s="72">
        <v>2022</v>
      </c>
      <c r="H697" s="54">
        <v>0</v>
      </c>
      <c r="I697" s="54">
        <v>24.484000000000002</v>
      </c>
      <c r="J697" s="72">
        <v>1</v>
      </c>
      <c r="K697" s="72">
        <v>24.484000000000002</v>
      </c>
      <c r="L697" s="54"/>
      <c r="M697" s="54"/>
      <c r="N697" s="54">
        <v>18</v>
      </c>
      <c r="O697" s="54">
        <v>117</v>
      </c>
      <c r="P697" s="54" t="s">
        <v>73</v>
      </c>
      <c r="Q697" s="65">
        <v>18217</v>
      </c>
      <c r="R697" s="54" t="s">
        <v>676</v>
      </c>
      <c r="S697" s="54">
        <v>2016</v>
      </c>
      <c r="T697" s="15">
        <v>0.251</v>
      </c>
      <c r="U697" s="69">
        <f t="shared" si="78"/>
        <v>4572.4669999999996</v>
      </c>
      <c r="V697" s="70">
        <f t="shared" si="79"/>
        <v>186.75326743996075</v>
      </c>
      <c r="W697" s="15">
        <f t="shared" si="46"/>
        <v>0</v>
      </c>
      <c r="X697" s="15">
        <f t="shared" si="47"/>
        <v>0</v>
      </c>
      <c r="Y697" s="15">
        <f t="shared" si="48"/>
        <v>0</v>
      </c>
      <c r="Z697" s="13">
        <f t="shared" si="49"/>
        <v>0</v>
      </c>
      <c r="AA697" s="16">
        <f>VLOOKUP(S697,[1]CPI!$A$2:$D$67,4,0)</f>
        <v>1.1290087372451638</v>
      </c>
      <c r="AB697" s="17">
        <f t="shared" si="80"/>
        <v>5162.3551937651819</v>
      </c>
      <c r="AC697" s="17">
        <f t="shared" si="81"/>
        <v>210.84607064879845</v>
      </c>
      <c r="AD697" s="54" t="s">
        <v>73</v>
      </c>
      <c r="AE697" s="46" t="s">
        <v>1342</v>
      </c>
      <c r="AF697" s="54"/>
      <c r="AG697" s="54"/>
      <c r="AH697" s="54"/>
      <c r="AI697" s="54"/>
    </row>
    <row r="698" spans="1:43" x14ac:dyDescent="0.2">
      <c r="A698" s="54"/>
      <c r="B698" s="54" t="s">
        <v>672</v>
      </c>
      <c r="C698" s="54" t="s">
        <v>1341</v>
      </c>
      <c r="D698" s="54" t="s">
        <v>92</v>
      </c>
      <c r="E698" s="54" t="s">
        <v>944</v>
      </c>
      <c r="F698" s="72">
        <v>2010</v>
      </c>
      <c r="G698" s="72">
        <v>2021</v>
      </c>
      <c r="H698" s="72">
        <v>0</v>
      </c>
      <c r="I698" s="72">
        <v>13.2</v>
      </c>
      <c r="J698" s="73">
        <v>0.14000000000000001</v>
      </c>
      <c r="K698" s="72">
        <v>1.8</v>
      </c>
      <c r="L698" s="54"/>
      <c r="M698" s="54"/>
      <c r="N698" s="72">
        <v>3</v>
      </c>
      <c r="O698" s="72">
        <v>117</v>
      </c>
      <c r="P698" s="54" t="s">
        <v>35</v>
      </c>
      <c r="Q698" s="65">
        <v>7200</v>
      </c>
      <c r="R698" s="54" t="s">
        <v>676</v>
      </c>
      <c r="S698" s="54">
        <v>2016</v>
      </c>
      <c r="T698" s="15">
        <v>0.251</v>
      </c>
      <c r="U698" s="69">
        <f t="shared" si="78"/>
        <v>1807.2</v>
      </c>
      <c r="V698" s="70">
        <f t="shared" si="79"/>
        <v>136.90909090909091</v>
      </c>
      <c r="W698" s="15">
        <f t="shared" si="46"/>
        <v>0</v>
      </c>
      <c r="X698" s="15">
        <f t="shared" si="47"/>
        <v>0</v>
      </c>
      <c r="Y698" s="15">
        <f t="shared" si="48"/>
        <v>0</v>
      </c>
      <c r="Z698" s="13">
        <f t="shared" si="49"/>
        <v>0</v>
      </c>
      <c r="AA698" s="16">
        <f>VLOOKUP(S698,[1]CPI!$A$2:$D$67,4,0)</f>
        <v>1.1290087372451638</v>
      </c>
      <c r="AB698" s="17">
        <f t="shared" si="80"/>
        <v>2040.3445899494602</v>
      </c>
      <c r="AC698" s="17">
        <f t="shared" si="81"/>
        <v>154.57155984465606</v>
      </c>
      <c r="AD698" s="54" t="s">
        <v>35</v>
      </c>
      <c r="AE698" s="46" t="s">
        <v>1343</v>
      </c>
      <c r="AF698" s="54"/>
      <c r="AG698" s="54"/>
      <c r="AH698" s="54"/>
      <c r="AI698" s="54"/>
    </row>
    <row r="699" spans="1:43" x14ac:dyDescent="0.2">
      <c r="A699" s="54"/>
      <c r="B699" s="54" t="s">
        <v>672</v>
      </c>
      <c r="C699" s="54" t="s">
        <v>866</v>
      </c>
      <c r="D699" s="54" t="s">
        <v>92</v>
      </c>
      <c r="E699" s="54" t="s">
        <v>1344</v>
      </c>
      <c r="F699" s="72">
        <v>2015</v>
      </c>
      <c r="G699" s="72">
        <v>2020</v>
      </c>
      <c r="H699" s="72">
        <v>0</v>
      </c>
      <c r="I699" s="72">
        <v>4.9240000000000004</v>
      </c>
      <c r="J699" s="73">
        <v>1</v>
      </c>
      <c r="K699" s="72">
        <v>4.9240000000000004</v>
      </c>
      <c r="L699" s="54"/>
      <c r="M699" s="54"/>
      <c r="N699" s="72">
        <v>4</v>
      </c>
      <c r="O699" s="72">
        <v>117</v>
      </c>
      <c r="P699" s="54"/>
      <c r="Q699" s="65">
        <v>2883</v>
      </c>
      <c r="R699" s="54" t="s">
        <v>676</v>
      </c>
      <c r="S699" s="54">
        <v>2018</v>
      </c>
      <c r="T699" s="15">
        <v>0.23699999999999999</v>
      </c>
      <c r="U699" s="69">
        <f t="shared" si="78"/>
        <v>683.27099999999996</v>
      </c>
      <c r="V699" s="70">
        <f t="shared" si="79"/>
        <v>138.76340373679932</v>
      </c>
      <c r="W699" s="15">
        <f t="shared" si="46"/>
        <v>0</v>
      </c>
      <c r="X699" s="15">
        <f t="shared" si="47"/>
        <v>0</v>
      </c>
      <c r="Y699" s="15">
        <f t="shared" si="48"/>
        <v>0</v>
      </c>
      <c r="Z699" s="13">
        <f t="shared" si="49"/>
        <v>0</v>
      </c>
      <c r="AA699" s="16">
        <f>VLOOKUP(S699,[1]CPI!$A$2:$D$67,4,0)</f>
        <v>1.0791017375063221</v>
      </c>
      <c r="AB699" s="17">
        <f t="shared" si="80"/>
        <v>737.3189232876822</v>
      </c>
      <c r="AC699" s="17">
        <f t="shared" si="81"/>
        <v>149.7398300746714</v>
      </c>
      <c r="AD699" s="54"/>
      <c r="AE699" s="46" t="s">
        <v>1345</v>
      </c>
      <c r="AF699" s="54"/>
      <c r="AG699" s="54"/>
      <c r="AH699" s="54"/>
      <c r="AI699" s="54"/>
      <c r="AJ699" s="82"/>
      <c r="AK699" s="82"/>
      <c r="AL699" s="82"/>
      <c r="AM699" s="82"/>
      <c r="AN699" s="82"/>
      <c r="AO699" s="82"/>
      <c r="AP699" s="82"/>
      <c r="AQ699" s="82"/>
    </row>
    <row r="700" spans="1:43" x14ac:dyDescent="0.2">
      <c r="A700" s="54"/>
      <c r="B700" s="54" t="s">
        <v>672</v>
      </c>
      <c r="C700" s="54" t="s">
        <v>866</v>
      </c>
      <c r="D700" s="54"/>
      <c r="E700" s="54" t="s">
        <v>1346</v>
      </c>
      <c r="F700" s="72">
        <v>2021</v>
      </c>
      <c r="G700" s="54"/>
      <c r="H700" s="72">
        <v>0</v>
      </c>
      <c r="I700" s="72">
        <v>62.4</v>
      </c>
      <c r="J700" s="73">
        <v>0.76</v>
      </c>
      <c r="K700" s="72">
        <v>47.2</v>
      </c>
      <c r="L700" s="54"/>
      <c r="M700" s="54"/>
      <c r="N700" s="72">
        <v>15</v>
      </c>
      <c r="O700" s="72">
        <v>138</v>
      </c>
      <c r="P700" s="54"/>
      <c r="Q700" s="65">
        <v>39890</v>
      </c>
      <c r="R700" s="54" t="s">
        <v>676</v>
      </c>
      <c r="S700" s="54">
        <v>2021</v>
      </c>
      <c r="T700" s="61">
        <v>0.23899999999999999</v>
      </c>
      <c r="U700" s="69">
        <f t="shared" si="78"/>
        <v>9533.7099999999991</v>
      </c>
      <c r="V700" s="70">
        <f t="shared" si="79"/>
        <v>152.78381410256409</v>
      </c>
      <c r="W700" s="15">
        <f t="shared" si="46"/>
        <v>0</v>
      </c>
      <c r="X700" s="15">
        <f t="shared" si="47"/>
        <v>0</v>
      </c>
      <c r="Y700" s="15">
        <f t="shared" si="48"/>
        <v>0</v>
      </c>
      <c r="Z700" s="13">
        <f t="shared" si="49"/>
        <v>0</v>
      </c>
      <c r="AA700" s="16">
        <f>VLOOKUP(S700,[1]CPI!$A$2:$D$67,4,0)</f>
        <v>1</v>
      </c>
      <c r="AB700" s="17">
        <f t="shared" si="80"/>
        <v>9533.7099999999991</v>
      </c>
      <c r="AC700" s="17">
        <f t="shared" si="81"/>
        <v>152.78381410256409</v>
      </c>
      <c r="AD700" s="54"/>
      <c r="AE700" s="84" t="s">
        <v>1347</v>
      </c>
      <c r="AF700" s="54"/>
      <c r="AG700" s="54"/>
      <c r="AH700" s="54"/>
      <c r="AI700" s="54"/>
      <c r="AJ700" s="82"/>
      <c r="AK700" s="82"/>
      <c r="AL700" s="82"/>
      <c r="AM700" s="82"/>
      <c r="AN700" s="82"/>
      <c r="AO700" s="82"/>
      <c r="AP700" s="82"/>
      <c r="AQ700" s="82"/>
    </row>
    <row r="701" spans="1:43" x14ac:dyDescent="0.2">
      <c r="A701" s="54"/>
      <c r="B701" s="54" t="s">
        <v>672</v>
      </c>
      <c r="C701" s="54" t="s">
        <v>866</v>
      </c>
      <c r="D701" s="54"/>
      <c r="E701" s="54" t="s">
        <v>1348</v>
      </c>
      <c r="F701" s="72">
        <v>2020</v>
      </c>
      <c r="G701" s="54"/>
      <c r="H701" s="72">
        <v>0</v>
      </c>
      <c r="I701" s="72">
        <v>16.88</v>
      </c>
      <c r="J701" s="73">
        <v>1</v>
      </c>
      <c r="K701" s="72">
        <v>16.88</v>
      </c>
      <c r="L701" s="54"/>
      <c r="M701" s="54"/>
      <c r="N701" s="72">
        <v>12</v>
      </c>
      <c r="O701" s="72">
        <v>117</v>
      </c>
      <c r="P701" s="54"/>
      <c r="Q701" s="65">
        <v>12706</v>
      </c>
      <c r="R701" s="54" t="s">
        <v>676</v>
      </c>
      <c r="S701" s="54">
        <v>2020</v>
      </c>
      <c r="T701" s="61">
        <v>0.23899999999999999</v>
      </c>
      <c r="U701" s="69">
        <f t="shared" si="78"/>
        <v>3036.7339999999999</v>
      </c>
      <c r="V701" s="70">
        <f t="shared" si="79"/>
        <v>179.90130331753556</v>
      </c>
      <c r="W701" s="15">
        <f t="shared" si="46"/>
        <v>0</v>
      </c>
      <c r="X701" s="15">
        <f t="shared" si="47"/>
        <v>0</v>
      </c>
      <c r="Y701" s="15">
        <f t="shared" si="48"/>
        <v>0</v>
      </c>
      <c r="Z701" s="13">
        <f t="shared" si="49"/>
        <v>0</v>
      </c>
      <c r="AA701" s="16">
        <f>VLOOKUP(S701,[1]CPI!$A$2:$D$67,4,0)</f>
        <v>1.0469802288156225</v>
      </c>
      <c r="AB701" s="17">
        <f t="shared" si="80"/>
        <v>3179.4004581721806</v>
      </c>
      <c r="AC701" s="17">
        <f t="shared" si="81"/>
        <v>188.3531077116221</v>
      </c>
      <c r="AD701" s="54"/>
      <c r="AE701" s="46" t="s">
        <v>1349</v>
      </c>
      <c r="AF701" s="84" t="s">
        <v>1350</v>
      </c>
      <c r="AG701" s="54"/>
      <c r="AH701" s="54"/>
      <c r="AI701" s="54"/>
    </row>
    <row r="702" spans="1:43" x14ac:dyDescent="0.2">
      <c r="A702" s="54"/>
      <c r="B702" s="54" t="s">
        <v>672</v>
      </c>
      <c r="C702" s="54" t="s">
        <v>866</v>
      </c>
      <c r="D702" s="54" t="s">
        <v>92</v>
      </c>
      <c r="E702" s="54" t="s">
        <v>679</v>
      </c>
      <c r="F702" s="72">
        <v>2009</v>
      </c>
      <c r="G702" s="72">
        <v>2017</v>
      </c>
      <c r="H702" s="72">
        <v>0</v>
      </c>
      <c r="I702" s="72">
        <v>24.6</v>
      </c>
      <c r="J702" s="73">
        <v>1</v>
      </c>
      <c r="K702" s="72">
        <v>24.6</v>
      </c>
      <c r="L702" s="54"/>
      <c r="M702" s="54"/>
      <c r="N702" s="72">
        <v>21</v>
      </c>
      <c r="O702" s="72">
        <v>117</v>
      </c>
      <c r="P702" s="54"/>
      <c r="Q702" s="65">
        <v>17337</v>
      </c>
      <c r="R702" s="54" t="s">
        <v>676</v>
      </c>
      <c r="S702" s="54">
        <v>2013</v>
      </c>
      <c r="T702" s="15">
        <v>0.27300000000000002</v>
      </c>
      <c r="U702" s="69">
        <f t="shared" si="78"/>
        <v>4733.0010000000002</v>
      </c>
      <c r="V702" s="70">
        <f t="shared" si="79"/>
        <v>192.39841463414635</v>
      </c>
      <c r="W702" s="15">
        <f t="shared" si="46"/>
        <v>0</v>
      </c>
      <c r="X702" s="15">
        <f t="shared" si="47"/>
        <v>0</v>
      </c>
      <c r="Y702" s="15">
        <f t="shared" si="48"/>
        <v>0</v>
      </c>
      <c r="Z702" s="13">
        <f t="shared" si="49"/>
        <v>0</v>
      </c>
      <c r="AA702" s="16">
        <f>VLOOKUP(S702,[1]CPI!$A$2:$D$67,4,0)</f>
        <v>1.16317603677932</v>
      </c>
      <c r="AB702" s="17">
        <f t="shared" si="80"/>
        <v>5505.313345252559</v>
      </c>
      <c r="AC702" s="17">
        <f t="shared" si="81"/>
        <v>223.79322541677067</v>
      </c>
      <c r="AD702" s="54"/>
      <c r="AE702" s="84" t="s">
        <v>1351</v>
      </c>
      <c r="AF702" s="85"/>
      <c r="AG702" s="85"/>
      <c r="AH702" s="85"/>
      <c r="AI702" s="85"/>
      <c r="AJ702" s="95"/>
      <c r="AK702" s="95"/>
      <c r="AL702" s="95"/>
      <c r="AM702" s="95"/>
      <c r="AN702" s="95"/>
      <c r="AO702" s="95"/>
      <c r="AP702" s="82"/>
      <c r="AQ702" s="82"/>
    </row>
    <row r="703" spans="1:43" x14ac:dyDescent="0.2">
      <c r="A703" s="54"/>
      <c r="B703" s="54" t="s">
        <v>672</v>
      </c>
      <c r="C703" s="54" t="s">
        <v>1352</v>
      </c>
      <c r="D703" s="54"/>
      <c r="E703" s="54" t="s">
        <v>99</v>
      </c>
      <c r="F703" s="72">
        <v>2020</v>
      </c>
      <c r="G703" s="54"/>
      <c r="H703" s="72">
        <v>0</v>
      </c>
      <c r="I703" s="72">
        <v>27.3</v>
      </c>
      <c r="J703" s="73">
        <v>1</v>
      </c>
      <c r="K703" s="72">
        <v>27.3</v>
      </c>
      <c r="L703" s="54"/>
      <c r="M703" s="54"/>
      <c r="N703" s="72">
        <v>24</v>
      </c>
      <c r="O703" s="72">
        <v>117</v>
      </c>
      <c r="P703" s="54"/>
      <c r="Q703" s="65">
        <v>20304</v>
      </c>
      <c r="R703" s="54" t="s">
        <v>676</v>
      </c>
      <c r="S703" s="54">
        <v>2020</v>
      </c>
      <c r="T703" s="61">
        <v>0.23899999999999999</v>
      </c>
      <c r="U703" s="69">
        <f t="shared" si="78"/>
        <v>4852.6559999999999</v>
      </c>
      <c r="V703" s="70">
        <f t="shared" si="79"/>
        <v>177.75296703296704</v>
      </c>
      <c r="W703" s="15">
        <f t="shared" si="46"/>
        <v>0</v>
      </c>
      <c r="X703" s="15">
        <f t="shared" si="47"/>
        <v>0</v>
      </c>
      <c r="Y703" s="15">
        <f t="shared" si="48"/>
        <v>0</v>
      </c>
      <c r="Z703" s="13">
        <f t="shared" si="49"/>
        <v>0</v>
      </c>
      <c r="AA703" s="16">
        <f>VLOOKUP(S703,[1]CPI!$A$2:$D$67,4,0)</f>
        <v>1.0469802288156225</v>
      </c>
      <c r="AB703" s="17">
        <f t="shared" si="80"/>
        <v>5080.6348892435035</v>
      </c>
      <c r="AC703" s="17">
        <f t="shared" si="81"/>
        <v>186.10384209683161</v>
      </c>
      <c r="AD703" s="54"/>
      <c r="AE703" s="46" t="s">
        <v>1353</v>
      </c>
      <c r="AF703" s="54"/>
      <c r="AG703" s="54"/>
      <c r="AH703" s="54"/>
      <c r="AI703" s="54"/>
      <c r="AJ703" s="82"/>
      <c r="AK703" s="82"/>
      <c r="AL703" s="82"/>
      <c r="AM703" s="82"/>
      <c r="AN703" s="82"/>
      <c r="AO703" s="82"/>
      <c r="AP703" s="82"/>
      <c r="AQ703" s="82"/>
    </row>
    <row r="704" spans="1:43" x14ac:dyDescent="0.2">
      <c r="A704" s="54"/>
      <c r="B704" s="54" t="s">
        <v>672</v>
      </c>
      <c r="C704" s="54" t="s">
        <v>1354</v>
      </c>
      <c r="D704" s="54"/>
      <c r="E704" s="54" t="s">
        <v>92</v>
      </c>
      <c r="F704" s="72">
        <v>2018</v>
      </c>
      <c r="G704" s="54"/>
      <c r="H704" s="72">
        <v>0</v>
      </c>
      <c r="I704" s="72">
        <v>58</v>
      </c>
      <c r="J704" s="54"/>
      <c r="K704" s="54"/>
      <c r="L704" s="54"/>
      <c r="M704" s="54"/>
      <c r="N704" s="72">
        <v>26</v>
      </c>
      <c r="O704" s="54"/>
      <c r="P704" s="54"/>
      <c r="Q704" s="65">
        <v>40000</v>
      </c>
      <c r="R704" s="54" t="s">
        <v>676</v>
      </c>
      <c r="S704" s="54">
        <v>2018</v>
      </c>
      <c r="T704" s="15">
        <v>0.23699999999999999</v>
      </c>
      <c r="U704" s="69">
        <f t="shared" si="78"/>
        <v>9480</v>
      </c>
      <c r="V704" s="70">
        <f t="shared" si="79"/>
        <v>163.44827586206895</v>
      </c>
      <c r="W704" s="15">
        <f t="shared" si="46"/>
        <v>0</v>
      </c>
      <c r="X704" s="15">
        <f t="shared" si="47"/>
        <v>0</v>
      </c>
      <c r="Y704" s="15">
        <f t="shared" si="48"/>
        <v>0</v>
      </c>
      <c r="Z704" s="13">
        <f t="shared" si="49"/>
        <v>0</v>
      </c>
      <c r="AA704" s="16">
        <f>VLOOKUP(S704,[1]CPI!$A$2:$D$67,4,0)</f>
        <v>1.0791017375063221</v>
      </c>
      <c r="AB704" s="17">
        <f t="shared" si="80"/>
        <v>10229.884471559933</v>
      </c>
      <c r="AC704" s="17">
        <f t="shared" si="81"/>
        <v>176.37731847517125</v>
      </c>
      <c r="AD704" s="54"/>
      <c r="AE704" s="46" t="s">
        <v>1355</v>
      </c>
      <c r="AF704" s="54"/>
      <c r="AG704" s="54"/>
      <c r="AH704" s="54"/>
      <c r="AI704" s="54"/>
      <c r="AJ704" s="82"/>
      <c r="AK704" s="82"/>
      <c r="AL704" s="82"/>
      <c r="AM704" s="82"/>
      <c r="AN704" s="82"/>
      <c r="AO704" s="82"/>
      <c r="AP704" s="82"/>
      <c r="AQ704" s="82"/>
    </row>
    <row r="705" spans="1:43" x14ac:dyDescent="0.2">
      <c r="A705" s="54"/>
      <c r="B705" s="54" t="s">
        <v>672</v>
      </c>
      <c r="C705" s="54" t="s">
        <v>1356</v>
      </c>
      <c r="D705" s="54"/>
      <c r="E705" s="54" t="s">
        <v>907</v>
      </c>
      <c r="F705" s="54"/>
      <c r="G705" s="72">
        <v>2022</v>
      </c>
      <c r="H705" s="72">
        <v>0</v>
      </c>
      <c r="I705" s="72">
        <v>21.57</v>
      </c>
      <c r="J705" s="72">
        <v>1</v>
      </c>
      <c r="K705" s="72">
        <v>21.6</v>
      </c>
      <c r="L705" s="54"/>
      <c r="M705" s="54"/>
      <c r="N705" s="72">
        <v>13</v>
      </c>
      <c r="O705" s="72">
        <v>117</v>
      </c>
      <c r="P705" s="54"/>
      <c r="Q705" s="72">
        <v>13446</v>
      </c>
      <c r="R705" s="54" t="s">
        <v>676</v>
      </c>
      <c r="S705" s="54">
        <v>2021</v>
      </c>
      <c r="T705" s="61">
        <v>0.23899999999999999</v>
      </c>
      <c r="U705" s="69">
        <f t="shared" si="78"/>
        <v>3213.5940000000001</v>
      </c>
      <c r="V705" s="70">
        <f t="shared" si="79"/>
        <v>148.98442280945758</v>
      </c>
      <c r="W705" s="15">
        <f t="shared" si="46"/>
        <v>0</v>
      </c>
      <c r="X705" s="15">
        <f t="shared" si="47"/>
        <v>0</v>
      </c>
      <c r="Y705" s="15">
        <f t="shared" si="48"/>
        <v>0</v>
      </c>
      <c r="Z705" s="13">
        <f t="shared" si="49"/>
        <v>0</v>
      </c>
      <c r="AA705" s="16">
        <f>VLOOKUP(S705,[1]CPI!$A$2:$D$67,4,0)</f>
        <v>1</v>
      </c>
      <c r="AB705" s="17">
        <f t="shared" si="80"/>
        <v>3213.5940000000001</v>
      </c>
      <c r="AC705" s="17">
        <f t="shared" si="81"/>
        <v>148.98442280945758</v>
      </c>
      <c r="AD705" s="54"/>
      <c r="AE705" s="46" t="s">
        <v>1357</v>
      </c>
      <c r="AF705" s="84" t="s">
        <v>1358</v>
      </c>
      <c r="AG705" s="54"/>
      <c r="AH705" s="54"/>
      <c r="AI705" s="54"/>
      <c r="AJ705" s="54"/>
      <c r="AK705" s="54"/>
      <c r="AL705" s="54"/>
      <c r="AM705" s="54"/>
      <c r="AN705" s="54"/>
      <c r="AO705" s="54"/>
      <c r="AP705" s="54"/>
      <c r="AQ705" s="54"/>
    </row>
    <row r="706" spans="1:43" ht="15.75" customHeight="1" x14ac:dyDescent="0.2">
      <c r="A706" s="91"/>
      <c r="B706" s="54" t="s">
        <v>672</v>
      </c>
      <c r="C706" s="54" t="s">
        <v>1356</v>
      </c>
      <c r="D706" s="54"/>
      <c r="E706" s="54" t="s">
        <v>99</v>
      </c>
      <c r="F706" s="72">
        <v>2021</v>
      </c>
      <c r="G706" s="54"/>
      <c r="H706" s="72">
        <v>0</v>
      </c>
      <c r="I706" s="72">
        <v>36.39</v>
      </c>
      <c r="J706" s="73">
        <v>0.95</v>
      </c>
      <c r="K706" s="72">
        <v>34.6</v>
      </c>
      <c r="L706" s="54"/>
      <c r="M706" s="54"/>
      <c r="N706" s="72">
        <v>18</v>
      </c>
      <c r="O706" s="72">
        <v>117</v>
      </c>
      <c r="P706" s="54"/>
      <c r="Q706" s="65">
        <v>22800</v>
      </c>
      <c r="R706" s="54" t="s">
        <v>676</v>
      </c>
      <c r="S706" s="54">
        <v>2021</v>
      </c>
      <c r="T706" s="61">
        <v>0.23899999999999999</v>
      </c>
      <c r="U706" s="69">
        <f t="shared" si="78"/>
        <v>5449.2</v>
      </c>
      <c r="V706" s="70">
        <f t="shared" si="79"/>
        <v>149.74443528441878</v>
      </c>
      <c r="W706" s="15">
        <f t="shared" si="46"/>
        <v>0</v>
      </c>
      <c r="X706" s="15">
        <f t="shared" si="47"/>
        <v>0</v>
      </c>
      <c r="Y706" s="15">
        <f t="shared" si="48"/>
        <v>0</v>
      </c>
      <c r="Z706" s="13">
        <f t="shared" si="49"/>
        <v>0</v>
      </c>
      <c r="AA706" s="16">
        <f>VLOOKUP(S706,[1]CPI!$A$2:$D$67,4,0)</f>
        <v>1</v>
      </c>
      <c r="AB706" s="17">
        <f t="shared" si="80"/>
        <v>5449.2</v>
      </c>
      <c r="AC706" s="17">
        <f t="shared" si="81"/>
        <v>149.74443528441878</v>
      </c>
      <c r="AD706" s="54"/>
      <c r="AE706" s="46" t="s">
        <v>1359</v>
      </c>
      <c r="AF706" s="54"/>
      <c r="AG706" s="54"/>
      <c r="AH706" s="54"/>
      <c r="AI706" s="54"/>
      <c r="AJ706" s="82"/>
      <c r="AK706" s="82"/>
      <c r="AL706" s="82"/>
      <c r="AM706" s="82"/>
      <c r="AN706" s="82"/>
      <c r="AO706" s="82"/>
      <c r="AP706" s="82"/>
      <c r="AQ706" s="82"/>
    </row>
    <row r="707" spans="1:43" ht="15.75" customHeight="1" x14ac:dyDescent="0.2">
      <c r="A707" s="91"/>
      <c r="B707" s="54" t="s">
        <v>672</v>
      </c>
      <c r="C707" s="54" t="s">
        <v>1356</v>
      </c>
      <c r="D707" s="54"/>
      <c r="E707" s="54" t="s">
        <v>706</v>
      </c>
      <c r="F707" s="72">
        <v>2021</v>
      </c>
      <c r="G707" s="54"/>
      <c r="H707" s="72">
        <v>0</v>
      </c>
      <c r="I707" s="72">
        <v>40.299999999999997</v>
      </c>
      <c r="J707" s="72">
        <v>1</v>
      </c>
      <c r="K707" s="72">
        <v>40.299999999999997</v>
      </c>
      <c r="L707" s="54"/>
      <c r="M707" s="54"/>
      <c r="N707" s="72">
        <v>33</v>
      </c>
      <c r="O707" s="72">
        <v>138</v>
      </c>
      <c r="P707" s="54"/>
      <c r="Q707" s="72">
        <v>39900</v>
      </c>
      <c r="R707" s="54" t="s">
        <v>676</v>
      </c>
      <c r="S707" s="54">
        <v>2021</v>
      </c>
      <c r="T707" s="61">
        <v>0.23900000000000099</v>
      </c>
      <c r="U707" s="69">
        <f t="shared" si="78"/>
        <v>9536.1000000000404</v>
      </c>
      <c r="V707" s="70">
        <f t="shared" si="79"/>
        <v>236.62779156327645</v>
      </c>
      <c r="W707" s="15">
        <f t="shared" si="46"/>
        <v>0</v>
      </c>
      <c r="X707" s="15">
        <f t="shared" si="47"/>
        <v>0</v>
      </c>
      <c r="Y707" s="15">
        <f t="shared" si="48"/>
        <v>0</v>
      </c>
      <c r="Z707" s="13">
        <f t="shared" si="49"/>
        <v>0</v>
      </c>
      <c r="AA707" s="16">
        <f>VLOOKUP(S707,[1]CPI!$A$2:$D$67,4,0)</f>
        <v>1</v>
      </c>
      <c r="AB707" s="17">
        <f t="shared" si="80"/>
        <v>9536.1000000000404</v>
      </c>
      <c r="AC707" s="17">
        <f t="shared" si="81"/>
        <v>236.62779156327645</v>
      </c>
      <c r="AD707" s="54"/>
      <c r="AE707" s="46" t="s">
        <v>1360</v>
      </c>
      <c r="AF707" s="54"/>
      <c r="AG707" s="54"/>
      <c r="AH707" s="54"/>
      <c r="AI707" s="54"/>
    </row>
    <row r="708" spans="1:43" ht="15.75" customHeight="1" x14ac:dyDescent="0.2">
      <c r="A708" s="91"/>
      <c r="B708" s="54" t="s">
        <v>672</v>
      </c>
      <c r="C708" s="54" t="s">
        <v>1361</v>
      </c>
      <c r="D708" s="54"/>
      <c r="E708" s="54" t="s">
        <v>99</v>
      </c>
      <c r="F708" s="72">
        <v>2022</v>
      </c>
      <c r="G708" s="54"/>
      <c r="H708" s="72">
        <v>0</v>
      </c>
      <c r="I708" s="72">
        <v>18.216000000000001</v>
      </c>
      <c r="J708" s="73">
        <v>1</v>
      </c>
      <c r="K708" s="72">
        <v>18.216000000000001</v>
      </c>
      <c r="L708" s="54"/>
      <c r="M708" s="54"/>
      <c r="N708" s="72">
        <v>15</v>
      </c>
      <c r="O708" s="72">
        <v>117</v>
      </c>
      <c r="P708" s="54"/>
      <c r="Q708" s="65">
        <v>14832.21</v>
      </c>
      <c r="R708" s="54" t="s">
        <v>676</v>
      </c>
      <c r="S708" s="54">
        <v>2021</v>
      </c>
      <c r="T708" s="61">
        <v>0.23900000000000099</v>
      </c>
      <c r="U708" s="69">
        <f t="shared" si="78"/>
        <v>3544.8981900000144</v>
      </c>
      <c r="V708" s="70">
        <f t="shared" si="79"/>
        <v>194.60354578392699</v>
      </c>
      <c r="W708" s="15">
        <f t="shared" si="46"/>
        <v>0</v>
      </c>
      <c r="X708" s="15">
        <f t="shared" si="47"/>
        <v>0</v>
      </c>
      <c r="Y708" s="15">
        <f t="shared" si="48"/>
        <v>0</v>
      </c>
      <c r="Z708" s="13">
        <f t="shared" si="49"/>
        <v>0</v>
      </c>
      <c r="AA708" s="16">
        <f>VLOOKUP(S708,[1]CPI!$A$2:$D$67,4,0)</f>
        <v>1</v>
      </c>
      <c r="AB708" s="17">
        <f t="shared" si="80"/>
        <v>3544.8981900000144</v>
      </c>
      <c r="AC708" s="17">
        <f t="shared" si="81"/>
        <v>194.60354578392699</v>
      </c>
      <c r="AD708" s="54"/>
      <c r="AE708" s="46" t="s">
        <v>1362</v>
      </c>
      <c r="AF708" s="54"/>
      <c r="AG708" s="54"/>
      <c r="AH708" s="54"/>
      <c r="AI708" s="54"/>
      <c r="AJ708" s="82"/>
      <c r="AK708" s="82"/>
      <c r="AL708" s="82"/>
      <c r="AM708" s="82"/>
      <c r="AN708" s="82"/>
      <c r="AO708" s="82"/>
      <c r="AP708" s="82"/>
      <c r="AQ708" s="82"/>
    </row>
    <row r="709" spans="1:43" ht="15.75" customHeight="1" x14ac:dyDescent="0.2">
      <c r="A709" s="91"/>
      <c r="B709" s="54" t="s">
        <v>672</v>
      </c>
      <c r="C709" s="54" t="s">
        <v>1363</v>
      </c>
      <c r="D709" s="54"/>
      <c r="E709" s="85" t="s">
        <v>1364</v>
      </c>
      <c r="F709" s="54"/>
      <c r="G709" s="72">
        <v>2019</v>
      </c>
      <c r="H709" s="72">
        <v>0</v>
      </c>
      <c r="I709" s="72">
        <v>21.59</v>
      </c>
      <c r="J709" s="73">
        <v>0.04</v>
      </c>
      <c r="K709" s="72">
        <v>0.84</v>
      </c>
      <c r="L709" s="54"/>
      <c r="M709" s="54"/>
      <c r="N709" s="72">
        <v>9</v>
      </c>
      <c r="O709" s="72">
        <v>117</v>
      </c>
      <c r="P709" s="54"/>
      <c r="Q709" s="65">
        <v>7386</v>
      </c>
      <c r="R709" s="54" t="s">
        <v>676</v>
      </c>
      <c r="S709" s="54">
        <v>2019</v>
      </c>
      <c r="T709" s="61">
        <v>0.23799999999999999</v>
      </c>
      <c r="U709" s="69">
        <f t="shared" si="78"/>
        <v>1757.8679999999999</v>
      </c>
      <c r="V709" s="70">
        <f t="shared" si="79"/>
        <v>81.420472440944877</v>
      </c>
      <c r="W709" s="15">
        <f t="shared" si="46"/>
        <v>0</v>
      </c>
      <c r="X709" s="15">
        <f t="shared" si="47"/>
        <v>0</v>
      </c>
      <c r="Y709" s="15">
        <f t="shared" si="48"/>
        <v>0</v>
      </c>
      <c r="Z709" s="13">
        <f t="shared" si="49"/>
        <v>0</v>
      </c>
      <c r="AA709" s="16">
        <f>VLOOKUP(S709,[1]CPI!$A$2:$D$67,4,0)</f>
        <v>1.0598966584134211</v>
      </c>
      <c r="AB709" s="17">
        <f t="shared" si="80"/>
        <v>1863.1584191318836</v>
      </c>
      <c r="AC709" s="17">
        <f t="shared" si="81"/>
        <v>86.297286666599518</v>
      </c>
      <c r="AD709" s="54"/>
      <c r="AE709" s="46" t="s">
        <v>1365</v>
      </c>
      <c r="AF709" s="54"/>
      <c r="AG709" s="54"/>
      <c r="AH709" s="54"/>
      <c r="AI709" s="54"/>
      <c r="AJ709" s="82"/>
      <c r="AK709" s="82"/>
      <c r="AL709" s="82"/>
      <c r="AM709" s="82"/>
      <c r="AN709" s="82"/>
      <c r="AO709" s="82"/>
      <c r="AP709" s="82"/>
      <c r="AQ709" s="82"/>
    </row>
    <row r="710" spans="1:43" ht="15.75" customHeight="1" x14ac:dyDescent="0.2">
      <c r="A710" s="91"/>
      <c r="B710" s="54" t="s">
        <v>672</v>
      </c>
      <c r="C710" s="54" t="s">
        <v>1363</v>
      </c>
      <c r="D710" s="54" t="s">
        <v>103</v>
      </c>
      <c r="E710" s="54" t="s">
        <v>768</v>
      </c>
      <c r="F710" s="72">
        <v>2020</v>
      </c>
      <c r="G710" s="54"/>
      <c r="H710" s="72">
        <v>0</v>
      </c>
      <c r="I710" s="72">
        <v>12.7</v>
      </c>
      <c r="J710" s="73">
        <v>0.17</v>
      </c>
      <c r="K710" s="72">
        <v>2.2000000000000002</v>
      </c>
      <c r="L710" s="54"/>
      <c r="M710" s="54"/>
      <c r="N710" s="72">
        <v>6</v>
      </c>
      <c r="O710" s="72">
        <v>117</v>
      </c>
      <c r="P710" s="54"/>
      <c r="Q710" s="65">
        <v>5200</v>
      </c>
      <c r="R710" s="54" t="s">
        <v>676</v>
      </c>
      <c r="S710" s="54">
        <v>2020</v>
      </c>
      <c r="T710" s="61">
        <v>0.23899999999999999</v>
      </c>
      <c r="U710" s="69">
        <f t="shared" si="78"/>
        <v>1242.8</v>
      </c>
      <c r="V710" s="70">
        <f t="shared" si="79"/>
        <v>97.858267716535437</v>
      </c>
      <c r="W710" s="15">
        <f t="shared" si="46"/>
        <v>0</v>
      </c>
      <c r="X710" s="15">
        <f t="shared" si="47"/>
        <v>0</v>
      </c>
      <c r="Y710" s="15">
        <f t="shared" si="48"/>
        <v>0</v>
      </c>
      <c r="Z710" s="13">
        <f t="shared" si="49"/>
        <v>0</v>
      </c>
      <c r="AA710" s="16">
        <f>VLOOKUP(S710,[1]CPI!$A$2:$D$67,4,0)</f>
        <v>1.0469802288156225</v>
      </c>
      <c r="AB710" s="17">
        <f t="shared" si="80"/>
        <v>1301.1870283720555</v>
      </c>
      <c r="AC710" s="17">
        <f t="shared" si="81"/>
        <v>102.45567152535871</v>
      </c>
      <c r="AD710" s="54"/>
      <c r="AE710" s="46" t="s">
        <v>1366</v>
      </c>
      <c r="AF710" s="54"/>
      <c r="AG710" s="54"/>
      <c r="AH710" s="54"/>
      <c r="AI710" s="54"/>
      <c r="AJ710" s="82"/>
      <c r="AK710" s="82"/>
      <c r="AL710" s="82"/>
      <c r="AM710" s="82"/>
      <c r="AN710" s="82"/>
      <c r="AO710" s="82"/>
      <c r="AP710" s="82"/>
      <c r="AQ710" s="82"/>
    </row>
    <row r="711" spans="1:43" ht="15.75" customHeight="1" x14ac:dyDescent="0.2">
      <c r="A711" s="91"/>
      <c r="B711" s="54" t="s">
        <v>672</v>
      </c>
      <c r="C711" s="54" t="s">
        <v>1363</v>
      </c>
      <c r="D711" s="54"/>
      <c r="E711" s="54" t="s">
        <v>142</v>
      </c>
      <c r="F711" s="54"/>
      <c r="G711" s="72">
        <v>2021</v>
      </c>
      <c r="H711" s="72">
        <v>0</v>
      </c>
      <c r="I711" s="72">
        <v>35.950000000000003</v>
      </c>
      <c r="J711" s="73">
        <v>0.68</v>
      </c>
      <c r="K711" s="72">
        <v>24.45</v>
      </c>
      <c r="L711" s="54"/>
      <c r="M711" s="54"/>
      <c r="N711" s="72">
        <v>25</v>
      </c>
      <c r="O711" s="72">
        <v>117</v>
      </c>
      <c r="P711" s="54"/>
      <c r="Q711" s="65">
        <v>20560</v>
      </c>
      <c r="R711" s="54" t="s">
        <v>676</v>
      </c>
      <c r="S711" s="54">
        <v>2021</v>
      </c>
      <c r="T711" s="61">
        <v>0.23899999999999999</v>
      </c>
      <c r="U711" s="69">
        <f t="shared" si="78"/>
        <v>4913.84</v>
      </c>
      <c r="V711" s="70">
        <f t="shared" si="79"/>
        <v>136.68539638386648</v>
      </c>
      <c r="W711" s="15">
        <f t="shared" si="46"/>
        <v>0</v>
      </c>
      <c r="X711" s="15">
        <f t="shared" si="47"/>
        <v>0</v>
      </c>
      <c r="Y711" s="15">
        <f t="shared" si="48"/>
        <v>0</v>
      </c>
      <c r="Z711" s="13">
        <f t="shared" si="49"/>
        <v>0</v>
      </c>
      <c r="AA711" s="16">
        <f>VLOOKUP(S711,[1]CPI!$A$2:$D$67,4,0)</f>
        <v>1</v>
      </c>
      <c r="AB711" s="17">
        <f t="shared" si="80"/>
        <v>4913.84</v>
      </c>
      <c r="AC711" s="17">
        <f t="shared" si="81"/>
        <v>136.68539638386648</v>
      </c>
      <c r="AD711" s="54"/>
      <c r="AE711" s="46" t="s">
        <v>1367</v>
      </c>
      <c r="AF711" s="54"/>
      <c r="AG711" s="54"/>
      <c r="AH711" s="54"/>
      <c r="AI711" s="54"/>
      <c r="AJ711" s="82"/>
      <c r="AK711" s="82"/>
      <c r="AL711" s="82"/>
      <c r="AM711" s="82"/>
      <c r="AN711" s="82"/>
      <c r="AO711" s="82"/>
      <c r="AP711" s="82"/>
      <c r="AQ711" s="82"/>
    </row>
    <row r="712" spans="1:43" ht="15.75" customHeight="1" x14ac:dyDescent="0.2">
      <c r="A712" s="91"/>
      <c r="B712" s="54" t="s">
        <v>672</v>
      </c>
      <c r="C712" s="54" t="s">
        <v>1363</v>
      </c>
      <c r="D712" s="54"/>
      <c r="E712" s="54" t="s">
        <v>1368</v>
      </c>
      <c r="F712" s="72">
        <v>2013</v>
      </c>
      <c r="G712" s="72">
        <v>2020</v>
      </c>
      <c r="H712" s="72">
        <v>0</v>
      </c>
      <c r="I712" s="72">
        <v>100.1</v>
      </c>
      <c r="J712" s="54"/>
      <c r="K712" s="54"/>
      <c r="L712" s="54"/>
      <c r="M712" s="54"/>
      <c r="N712" s="54"/>
      <c r="O712" s="72">
        <v>117</v>
      </c>
      <c r="P712" s="54"/>
      <c r="Q712" s="65">
        <v>64040</v>
      </c>
      <c r="R712" s="54" t="s">
        <v>676</v>
      </c>
      <c r="S712" s="54">
        <v>2017</v>
      </c>
      <c r="T712" s="15">
        <v>0.23899999999999999</v>
      </c>
      <c r="U712" s="69">
        <f t="shared" si="78"/>
        <v>15305.56</v>
      </c>
      <c r="V712" s="70">
        <f t="shared" si="79"/>
        <v>152.90269730269731</v>
      </c>
      <c r="W712" s="15">
        <f t="shared" si="46"/>
        <v>0</v>
      </c>
      <c r="X712" s="15">
        <f t="shared" si="47"/>
        <v>0</v>
      </c>
      <c r="Y712" s="15">
        <f t="shared" si="48"/>
        <v>0</v>
      </c>
      <c r="Z712" s="13">
        <f t="shared" si="49"/>
        <v>0</v>
      </c>
      <c r="AA712" s="16">
        <f>VLOOKUP(S712,[1]CPI!$A$2:$D$67,4,0)</f>
        <v>1.1054585509138382</v>
      </c>
      <c r="AB712" s="17">
        <f t="shared" si="80"/>
        <v>16919.662178524803</v>
      </c>
      <c r="AC712" s="17">
        <f t="shared" si="81"/>
        <v>169.02759419105701</v>
      </c>
      <c r="AD712" s="54"/>
      <c r="AE712" s="84" t="s">
        <v>1369</v>
      </c>
      <c r="AF712" s="54"/>
      <c r="AG712" s="54"/>
      <c r="AH712" s="54"/>
      <c r="AI712" s="54"/>
      <c r="AJ712" s="82"/>
      <c r="AK712" s="82"/>
      <c r="AL712" s="82"/>
      <c r="AM712" s="82"/>
      <c r="AN712" s="82"/>
      <c r="AO712" s="82"/>
      <c r="AP712" s="82"/>
      <c r="AQ712" s="82"/>
    </row>
    <row r="713" spans="1:43" ht="15.75" customHeight="1" x14ac:dyDescent="0.2">
      <c r="A713" s="91"/>
      <c r="B713" s="54" t="s">
        <v>672</v>
      </c>
      <c r="C713" s="54" t="s">
        <v>1363</v>
      </c>
      <c r="D713" s="54" t="s">
        <v>119</v>
      </c>
      <c r="E713" s="54" t="s">
        <v>708</v>
      </c>
      <c r="F713" s="72">
        <v>2021</v>
      </c>
      <c r="G713" s="54"/>
      <c r="H713" s="72">
        <v>0</v>
      </c>
      <c r="I713" s="72">
        <v>27.91</v>
      </c>
      <c r="J713" s="73">
        <v>1</v>
      </c>
      <c r="K713" s="72">
        <v>27.91</v>
      </c>
      <c r="L713" s="54"/>
      <c r="M713" s="54"/>
      <c r="N713" s="72">
        <v>22</v>
      </c>
      <c r="O713" s="72">
        <v>117</v>
      </c>
      <c r="P713" s="54"/>
      <c r="Q713" s="65">
        <v>19900</v>
      </c>
      <c r="R713" s="54" t="s">
        <v>676</v>
      </c>
      <c r="S713" s="54">
        <v>2021</v>
      </c>
      <c r="T713" s="61">
        <v>0.23900000000000099</v>
      </c>
      <c r="U713" s="69">
        <f t="shared" si="78"/>
        <v>4756.1000000000195</v>
      </c>
      <c r="V713" s="70">
        <f t="shared" si="79"/>
        <v>170.40845575062772</v>
      </c>
      <c r="W713" s="15">
        <f t="shared" si="46"/>
        <v>0</v>
      </c>
      <c r="X713" s="15">
        <f t="shared" si="47"/>
        <v>0</v>
      </c>
      <c r="Y713" s="15">
        <f t="shared" si="48"/>
        <v>0</v>
      </c>
      <c r="Z713" s="13">
        <f t="shared" si="49"/>
        <v>0</v>
      </c>
      <c r="AA713" s="16">
        <f>VLOOKUP(S713,[1]CPI!$A$2:$D$67,4,0)</f>
        <v>1</v>
      </c>
      <c r="AB713" s="17">
        <f t="shared" si="80"/>
        <v>4756.1000000000195</v>
      </c>
      <c r="AC713" s="17">
        <f t="shared" si="81"/>
        <v>170.40845575062772</v>
      </c>
      <c r="AD713" s="54"/>
      <c r="AE713" s="46" t="s">
        <v>1370</v>
      </c>
      <c r="AF713" s="54"/>
      <c r="AG713" s="54"/>
      <c r="AH713" s="54"/>
      <c r="AI713" s="54"/>
      <c r="AJ713" s="82"/>
      <c r="AK713" s="82"/>
      <c r="AL713" s="82"/>
      <c r="AM713" s="82"/>
      <c r="AN713" s="82"/>
      <c r="AO713" s="82"/>
      <c r="AP713" s="82"/>
      <c r="AQ713" s="82"/>
    </row>
    <row r="714" spans="1:43" ht="15.75" customHeight="1" x14ac:dyDescent="0.2">
      <c r="A714" s="91"/>
      <c r="B714" s="54" t="s">
        <v>672</v>
      </c>
      <c r="C714" s="54" t="s">
        <v>1363</v>
      </c>
      <c r="D714" s="54" t="s">
        <v>103</v>
      </c>
      <c r="E714" s="54" t="s">
        <v>730</v>
      </c>
      <c r="F714" s="72">
        <v>2021</v>
      </c>
      <c r="G714" s="54"/>
      <c r="H714" s="72">
        <v>0</v>
      </c>
      <c r="I714" s="72">
        <v>9.0500000000000007</v>
      </c>
      <c r="J714" s="73">
        <v>1</v>
      </c>
      <c r="K714" s="72">
        <v>9.0500000000000007</v>
      </c>
      <c r="L714" s="54"/>
      <c r="M714" s="54"/>
      <c r="N714" s="72">
        <v>5</v>
      </c>
      <c r="O714" s="72">
        <v>117</v>
      </c>
      <c r="P714" s="54"/>
      <c r="Q714" s="65">
        <v>7485</v>
      </c>
      <c r="R714" s="54" t="s">
        <v>676</v>
      </c>
      <c r="S714" s="54">
        <v>2021</v>
      </c>
      <c r="T714" s="61">
        <v>0.23900000000000099</v>
      </c>
      <c r="U714" s="69">
        <f t="shared" si="78"/>
        <v>1788.9150000000075</v>
      </c>
      <c r="V714" s="70">
        <f t="shared" si="79"/>
        <v>197.67016574585716</v>
      </c>
      <c r="W714" s="15">
        <f t="shared" si="46"/>
        <v>0</v>
      </c>
      <c r="X714" s="15">
        <f t="shared" si="47"/>
        <v>0</v>
      </c>
      <c r="Y714" s="15">
        <f t="shared" si="48"/>
        <v>0</v>
      </c>
      <c r="Z714" s="13">
        <f t="shared" si="49"/>
        <v>0</v>
      </c>
      <c r="AA714" s="16">
        <f>VLOOKUP(S714,[1]CPI!$A$2:$D$67,4,0)</f>
        <v>1</v>
      </c>
      <c r="AB714" s="17">
        <f t="shared" si="80"/>
        <v>1788.9150000000075</v>
      </c>
      <c r="AC714" s="17">
        <f t="shared" si="81"/>
        <v>197.67016574585716</v>
      </c>
      <c r="AD714" s="54"/>
      <c r="AE714" s="46" t="s">
        <v>1371</v>
      </c>
      <c r="AF714" s="54"/>
      <c r="AG714" s="54"/>
      <c r="AH714" s="54"/>
      <c r="AI714" s="54"/>
      <c r="AJ714" s="82"/>
      <c r="AK714" s="82"/>
      <c r="AL714" s="82"/>
      <c r="AM714" s="82"/>
      <c r="AN714" s="82"/>
      <c r="AO714" s="82"/>
      <c r="AP714" s="82"/>
      <c r="AQ714" s="82"/>
    </row>
    <row r="715" spans="1:43" ht="15.75" customHeight="1" x14ac:dyDescent="0.2">
      <c r="A715" s="91"/>
      <c r="B715" s="54" t="s">
        <v>672</v>
      </c>
      <c r="C715" s="54" t="s">
        <v>1363</v>
      </c>
      <c r="D715" s="54" t="s">
        <v>103</v>
      </c>
      <c r="E715" s="54" t="s">
        <v>907</v>
      </c>
      <c r="F715" s="54"/>
      <c r="G715" s="72">
        <v>2019</v>
      </c>
      <c r="H715" s="72">
        <v>0</v>
      </c>
      <c r="I715" s="72">
        <v>16.73</v>
      </c>
      <c r="J715" s="73">
        <v>1</v>
      </c>
      <c r="K715" s="72">
        <v>16.73</v>
      </c>
      <c r="L715" s="54"/>
      <c r="M715" s="54"/>
      <c r="N715" s="72">
        <v>15</v>
      </c>
      <c r="O715" s="72">
        <v>117</v>
      </c>
      <c r="P715" s="54"/>
      <c r="Q715" s="65">
        <v>14870</v>
      </c>
      <c r="R715" s="54" t="s">
        <v>676</v>
      </c>
      <c r="S715" s="54">
        <v>2019</v>
      </c>
      <c r="T715" s="61">
        <v>0.23799999999999999</v>
      </c>
      <c r="U715" s="69">
        <f t="shared" si="78"/>
        <v>3539.06</v>
      </c>
      <c r="V715" s="70">
        <f t="shared" si="79"/>
        <v>211.53974895397488</v>
      </c>
      <c r="W715" s="15">
        <f t="shared" si="46"/>
        <v>0</v>
      </c>
      <c r="X715" s="15">
        <f t="shared" si="47"/>
        <v>0</v>
      </c>
      <c r="Y715" s="15">
        <f t="shared" si="48"/>
        <v>0</v>
      </c>
      <c r="Z715" s="13">
        <f t="shared" si="49"/>
        <v>0</v>
      </c>
      <c r="AA715" s="16">
        <f>VLOOKUP(S715,[1]CPI!$A$2:$D$67,4,0)</f>
        <v>1.0598966584134211</v>
      </c>
      <c r="AB715" s="17">
        <f t="shared" si="80"/>
        <v>3751.0378679246019</v>
      </c>
      <c r="AC715" s="17">
        <f t="shared" si="81"/>
        <v>224.21027303793196</v>
      </c>
      <c r="AD715" s="54"/>
      <c r="AE715" s="46" t="s">
        <v>1372</v>
      </c>
      <c r="AF715" s="80" t="s">
        <v>1373</v>
      </c>
      <c r="AG715" s="81"/>
      <c r="AH715" s="81"/>
      <c r="AI715" s="81"/>
      <c r="AJ715" s="82"/>
      <c r="AK715" s="82"/>
      <c r="AL715" s="82"/>
      <c r="AM715" s="82"/>
      <c r="AN715" s="82"/>
      <c r="AO715" s="82"/>
      <c r="AP715" s="82"/>
      <c r="AQ715" s="82"/>
    </row>
    <row r="716" spans="1:43" ht="15.75" customHeight="1" x14ac:dyDescent="0.2">
      <c r="A716" s="91"/>
      <c r="B716" s="54" t="s">
        <v>672</v>
      </c>
      <c r="C716" s="54" t="s">
        <v>1374</v>
      </c>
      <c r="D716" s="54"/>
      <c r="E716" s="54" t="s">
        <v>124</v>
      </c>
      <c r="F716" s="54"/>
      <c r="G716" s="72">
        <v>2018</v>
      </c>
      <c r="H716" s="72">
        <v>0</v>
      </c>
      <c r="I716" s="72">
        <v>58.35</v>
      </c>
      <c r="J716" s="73">
        <v>0.1</v>
      </c>
      <c r="K716" s="72">
        <v>5.81</v>
      </c>
      <c r="L716" s="54"/>
      <c r="M716" s="54"/>
      <c r="N716" s="72">
        <v>22</v>
      </c>
      <c r="O716" s="72">
        <v>117</v>
      </c>
      <c r="P716" s="54"/>
      <c r="Q716" s="65">
        <v>19500</v>
      </c>
      <c r="R716" s="54" t="s">
        <v>676</v>
      </c>
      <c r="S716" s="54">
        <v>2018</v>
      </c>
      <c r="T716" s="15">
        <v>0.23699999999999999</v>
      </c>
      <c r="U716" s="69">
        <f t="shared" si="78"/>
        <v>4621.5</v>
      </c>
      <c r="V716" s="70">
        <f t="shared" si="79"/>
        <v>79.203084832904878</v>
      </c>
      <c r="W716" s="15">
        <f t="shared" si="46"/>
        <v>0</v>
      </c>
      <c r="X716" s="15">
        <f t="shared" si="47"/>
        <v>0</v>
      </c>
      <c r="Y716" s="15">
        <f t="shared" si="48"/>
        <v>0</v>
      </c>
      <c r="Z716" s="13">
        <f t="shared" si="49"/>
        <v>0</v>
      </c>
      <c r="AA716" s="16">
        <f>VLOOKUP(S716,[1]CPI!$A$2:$D$67,4,0)</f>
        <v>1.0791017375063221</v>
      </c>
      <c r="AB716" s="17">
        <f t="shared" si="80"/>
        <v>4987.0686798854676</v>
      </c>
      <c r="AC716" s="17">
        <f t="shared" si="81"/>
        <v>85.468186459048283</v>
      </c>
      <c r="AD716" s="54"/>
      <c r="AE716" s="46" t="s">
        <v>1375</v>
      </c>
      <c r="AF716" s="80" t="s">
        <v>1376</v>
      </c>
      <c r="AG716" s="81"/>
      <c r="AH716" s="81"/>
      <c r="AI716" s="81"/>
      <c r="AJ716" s="82"/>
      <c r="AK716" s="82"/>
      <c r="AL716" s="82"/>
      <c r="AM716" s="82"/>
      <c r="AN716" s="82"/>
      <c r="AO716" s="82"/>
      <c r="AP716" s="82"/>
      <c r="AQ716" s="82"/>
    </row>
    <row r="717" spans="1:43" ht="15.75" customHeight="1" x14ac:dyDescent="0.2">
      <c r="A717" s="91"/>
      <c r="B717" s="54" t="s">
        <v>672</v>
      </c>
      <c r="C717" s="54" t="s">
        <v>1374</v>
      </c>
      <c r="D717" s="54"/>
      <c r="E717" s="85" t="s">
        <v>1377</v>
      </c>
      <c r="F717" s="54"/>
      <c r="G717" s="72">
        <v>2020</v>
      </c>
      <c r="H717" s="72">
        <v>0</v>
      </c>
      <c r="I717" s="72">
        <v>60</v>
      </c>
      <c r="J717" s="73">
        <v>0.2</v>
      </c>
      <c r="K717" s="72">
        <v>12</v>
      </c>
      <c r="L717" s="54"/>
      <c r="M717" s="54"/>
      <c r="N717" s="72">
        <v>10</v>
      </c>
      <c r="O717" s="72">
        <v>117</v>
      </c>
      <c r="P717" s="54"/>
      <c r="Q717" s="65">
        <v>20763</v>
      </c>
      <c r="R717" s="54" t="s">
        <v>676</v>
      </c>
      <c r="S717" s="54">
        <v>2020</v>
      </c>
      <c r="T717" s="15">
        <v>0.23899999999999999</v>
      </c>
      <c r="U717" s="69">
        <f t="shared" si="78"/>
        <v>4962.357</v>
      </c>
      <c r="V717" s="70">
        <f t="shared" si="79"/>
        <v>82.705950000000001</v>
      </c>
      <c r="W717" s="15">
        <f t="shared" si="46"/>
        <v>0</v>
      </c>
      <c r="X717" s="15">
        <f t="shared" si="47"/>
        <v>0</v>
      </c>
      <c r="Y717" s="15">
        <f t="shared" si="48"/>
        <v>0</v>
      </c>
      <c r="Z717" s="13">
        <f t="shared" si="49"/>
        <v>0</v>
      </c>
      <c r="AA717" s="16">
        <f>VLOOKUP(S717,[1]CPI!$A$2:$D$67,4,0)</f>
        <v>1.0469802288156225</v>
      </c>
      <c r="AB717" s="17">
        <f t="shared" si="80"/>
        <v>5195.4896673248059</v>
      </c>
      <c r="AC717" s="17">
        <f t="shared" si="81"/>
        <v>86.591494455413439</v>
      </c>
      <c r="AD717" s="54"/>
      <c r="AE717" s="46" t="s">
        <v>1378</v>
      </c>
      <c r="AF717" s="54"/>
      <c r="AG717" s="54"/>
      <c r="AH717" s="54"/>
      <c r="AI717" s="54"/>
      <c r="AJ717" s="82"/>
      <c r="AK717" s="82"/>
      <c r="AL717" s="82"/>
      <c r="AM717" s="82"/>
      <c r="AN717" s="82"/>
      <c r="AO717" s="82"/>
      <c r="AP717" s="82"/>
      <c r="AQ717" s="82"/>
    </row>
    <row r="718" spans="1:43" ht="15.75" customHeight="1" x14ac:dyDescent="0.2">
      <c r="A718" s="91"/>
      <c r="B718" s="54" t="s">
        <v>672</v>
      </c>
      <c r="C718" s="54" t="s">
        <v>1374</v>
      </c>
      <c r="D718" s="54" t="s">
        <v>674</v>
      </c>
      <c r="E718" s="54" t="s">
        <v>1379</v>
      </c>
      <c r="F718" s="72">
        <v>2021</v>
      </c>
      <c r="G718" s="72">
        <v>2026</v>
      </c>
      <c r="H718" s="72">
        <v>0</v>
      </c>
      <c r="I718" s="72">
        <v>18.8</v>
      </c>
      <c r="J718" s="73">
        <v>1</v>
      </c>
      <c r="K718" s="72">
        <v>18.8</v>
      </c>
      <c r="L718" s="54"/>
      <c r="M718" s="54"/>
      <c r="N718" s="72">
        <v>9</v>
      </c>
      <c r="O718" s="72">
        <v>117</v>
      </c>
      <c r="P718" s="54"/>
      <c r="Q718" s="65">
        <v>11492</v>
      </c>
      <c r="R718" s="54" t="s">
        <v>676</v>
      </c>
      <c r="S718" s="54">
        <v>2021</v>
      </c>
      <c r="T718" s="61">
        <v>0.23900000000000099</v>
      </c>
      <c r="U718" s="69">
        <f t="shared" si="78"/>
        <v>2746.5880000000116</v>
      </c>
      <c r="V718" s="70">
        <f t="shared" si="79"/>
        <v>146.09510638297934</v>
      </c>
      <c r="W718" s="15">
        <f t="shared" si="46"/>
        <v>0</v>
      </c>
      <c r="X718" s="15">
        <f t="shared" si="47"/>
        <v>0</v>
      </c>
      <c r="Y718" s="15">
        <f t="shared" si="48"/>
        <v>0</v>
      </c>
      <c r="Z718" s="13">
        <f t="shared" si="49"/>
        <v>0</v>
      </c>
      <c r="AA718" s="16">
        <f>VLOOKUP(S718,[1]CPI!$A$2:$D$67,4,0)</f>
        <v>1</v>
      </c>
      <c r="AB718" s="17">
        <f t="shared" si="80"/>
        <v>2746.5880000000116</v>
      </c>
      <c r="AC718" s="17">
        <f t="shared" si="81"/>
        <v>146.09510638297934</v>
      </c>
      <c r="AD718" s="54"/>
      <c r="AE718" s="46" t="s">
        <v>1380</v>
      </c>
      <c r="AF718" s="54"/>
      <c r="AG718" s="54"/>
      <c r="AH718" s="54"/>
      <c r="AI718" s="54"/>
      <c r="AJ718" s="82"/>
      <c r="AK718" s="82"/>
      <c r="AL718" s="82"/>
      <c r="AM718" s="82"/>
      <c r="AN718" s="82"/>
      <c r="AO718" s="82"/>
      <c r="AP718" s="82"/>
      <c r="AQ718" s="82"/>
    </row>
    <row r="719" spans="1:43" ht="15.75" customHeight="1" x14ac:dyDescent="0.2">
      <c r="A719" s="91"/>
      <c r="B719" s="149" t="s">
        <v>672</v>
      </c>
      <c r="C719" s="54" t="s">
        <v>1374</v>
      </c>
      <c r="D719" s="54" t="s">
        <v>674</v>
      </c>
      <c r="E719" s="54" t="s">
        <v>674</v>
      </c>
      <c r="F719" s="54"/>
      <c r="G719" s="72">
        <v>2021</v>
      </c>
      <c r="H719" s="72">
        <v>0</v>
      </c>
      <c r="I719" s="72">
        <v>61.4</v>
      </c>
      <c r="J719" s="90"/>
      <c r="K719" s="54"/>
      <c r="L719" s="54"/>
      <c r="M719" s="54"/>
      <c r="N719" s="72">
        <v>16</v>
      </c>
      <c r="O719" s="72">
        <v>117</v>
      </c>
      <c r="P719" s="54"/>
      <c r="Q719" s="65">
        <v>32100</v>
      </c>
      <c r="R719" s="54" t="s">
        <v>676</v>
      </c>
      <c r="S719" s="54">
        <v>2021</v>
      </c>
      <c r="T719" s="61">
        <v>0.23900000000000099</v>
      </c>
      <c r="U719" s="69">
        <f t="shared" si="78"/>
        <v>7671.9000000000315</v>
      </c>
      <c r="V719" s="70">
        <f t="shared" si="79"/>
        <v>124.94951140065199</v>
      </c>
      <c r="W719" s="15">
        <f t="shared" si="46"/>
        <v>0</v>
      </c>
      <c r="X719" s="15">
        <f t="shared" si="47"/>
        <v>0</v>
      </c>
      <c r="Y719" s="15">
        <f t="shared" si="48"/>
        <v>0</v>
      </c>
      <c r="Z719" s="13">
        <f t="shared" si="49"/>
        <v>0</v>
      </c>
      <c r="AA719" s="16">
        <f>VLOOKUP(S719,[1]CPI!$A$2:$D$67,4,0)</f>
        <v>1</v>
      </c>
      <c r="AB719" s="17">
        <f t="shared" si="80"/>
        <v>7671.9000000000315</v>
      </c>
      <c r="AC719" s="17">
        <f t="shared" si="81"/>
        <v>124.94951140065199</v>
      </c>
      <c r="AD719" s="54"/>
      <c r="AE719" s="46" t="s">
        <v>1381</v>
      </c>
      <c r="AF719" s="54"/>
      <c r="AG719" s="54"/>
      <c r="AH719" s="54"/>
      <c r="AI719" s="54"/>
      <c r="AJ719" s="82"/>
      <c r="AK719" s="82"/>
      <c r="AL719" s="82"/>
      <c r="AM719" s="82"/>
      <c r="AN719" s="82"/>
      <c r="AO719" s="82"/>
      <c r="AP719" s="82"/>
      <c r="AQ719" s="82"/>
    </row>
    <row r="720" spans="1:43" ht="15.75" customHeight="1" x14ac:dyDescent="0.2">
      <c r="A720" s="91"/>
      <c r="B720" s="149" t="s">
        <v>672</v>
      </c>
      <c r="C720" s="54" t="s">
        <v>1374</v>
      </c>
      <c r="D720" s="54"/>
      <c r="E720" s="54" t="s">
        <v>1382</v>
      </c>
      <c r="F720" s="72">
        <v>2021</v>
      </c>
      <c r="G720" s="72">
        <v>2026</v>
      </c>
      <c r="H720" s="72">
        <v>0</v>
      </c>
      <c r="I720" s="72">
        <v>13.85</v>
      </c>
      <c r="J720" s="73">
        <v>1</v>
      </c>
      <c r="K720" s="72">
        <v>13.85</v>
      </c>
      <c r="L720" s="54"/>
      <c r="M720" s="54"/>
      <c r="N720" s="72">
        <v>10</v>
      </c>
      <c r="O720" s="72">
        <v>117</v>
      </c>
      <c r="P720" s="54"/>
      <c r="Q720" s="65">
        <v>8302</v>
      </c>
      <c r="R720" s="54" t="s">
        <v>676</v>
      </c>
      <c r="S720" s="54">
        <v>2021</v>
      </c>
      <c r="T720" s="61">
        <v>0.23900000000000099</v>
      </c>
      <c r="U720" s="69">
        <f t="shared" si="78"/>
        <v>1984.1780000000083</v>
      </c>
      <c r="V720" s="70">
        <f t="shared" si="79"/>
        <v>143.26194945848437</v>
      </c>
      <c r="W720" s="15">
        <f t="shared" si="46"/>
        <v>0</v>
      </c>
      <c r="X720" s="15">
        <f t="shared" si="47"/>
        <v>0</v>
      </c>
      <c r="Y720" s="15">
        <f t="shared" si="48"/>
        <v>0</v>
      </c>
      <c r="Z720" s="13">
        <f t="shared" si="49"/>
        <v>0</v>
      </c>
      <c r="AA720" s="16">
        <f>VLOOKUP(S720,[1]CPI!$A$2:$D$67,4,0)</f>
        <v>1</v>
      </c>
      <c r="AB720" s="17">
        <f t="shared" si="80"/>
        <v>1984.1780000000083</v>
      </c>
      <c r="AC720" s="17">
        <f t="shared" si="81"/>
        <v>143.26194945848437</v>
      </c>
      <c r="AD720" s="54"/>
      <c r="AE720" s="46" t="s">
        <v>1383</v>
      </c>
      <c r="AF720" s="84" t="s">
        <v>1380</v>
      </c>
      <c r="AG720" s="85"/>
      <c r="AH720" s="85"/>
      <c r="AI720" s="54"/>
      <c r="AJ720" s="82"/>
      <c r="AK720" s="82"/>
      <c r="AL720" s="82"/>
      <c r="AM720" s="82"/>
      <c r="AN720" s="82"/>
      <c r="AO720" s="82"/>
      <c r="AP720" s="82"/>
      <c r="AQ720" s="82"/>
    </row>
    <row r="721" spans="1:43" ht="15.75" customHeight="1" x14ac:dyDescent="0.2">
      <c r="A721" s="91"/>
      <c r="B721" s="149" t="s">
        <v>672</v>
      </c>
      <c r="C721" s="54" t="s">
        <v>1374</v>
      </c>
      <c r="D721" s="54"/>
      <c r="E721" s="54" t="s">
        <v>1078</v>
      </c>
      <c r="F721" s="72">
        <v>2021</v>
      </c>
      <c r="G721" s="72">
        <v>2026</v>
      </c>
      <c r="H721" s="72">
        <v>0</v>
      </c>
      <c r="I721" s="72">
        <v>30.8</v>
      </c>
      <c r="J721" s="73">
        <v>1</v>
      </c>
      <c r="K721" s="72">
        <v>30.8</v>
      </c>
      <c r="L721" s="54"/>
      <c r="M721" s="54"/>
      <c r="N721" s="72">
        <v>17</v>
      </c>
      <c r="O721" s="72">
        <v>117</v>
      </c>
      <c r="P721" s="54"/>
      <c r="Q721" s="65">
        <v>19478</v>
      </c>
      <c r="R721" s="54" t="s">
        <v>676</v>
      </c>
      <c r="S721" s="54">
        <v>2021</v>
      </c>
      <c r="T721" s="61">
        <v>0.23900000000000099</v>
      </c>
      <c r="U721" s="69">
        <f t="shared" si="78"/>
        <v>4655.2420000000193</v>
      </c>
      <c r="V721" s="70">
        <f t="shared" si="79"/>
        <v>151.1442207792214</v>
      </c>
      <c r="W721" s="15">
        <f t="shared" si="46"/>
        <v>0</v>
      </c>
      <c r="X721" s="15">
        <f t="shared" si="47"/>
        <v>0</v>
      </c>
      <c r="Y721" s="15">
        <f t="shared" si="48"/>
        <v>0</v>
      </c>
      <c r="Z721" s="13">
        <f t="shared" si="49"/>
        <v>0</v>
      </c>
      <c r="AA721" s="16">
        <f>VLOOKUP(S721,[1]CPI!$A$2:$D$67,4,0)</f>
        <v>1</v>
      </c>
      <c r="AB721" s="17">
        <f t="shared" si="80"/>
        <v>4655.2420000000193</v>
      </c>
      <c r="AC721" s="17">
        <f t="shared" si="81"/>
        <v>151.1442207792214</v>
      </c>
      <c r="AD721" s="54"/>
      <c r="AE721" s="46" t="s">
        <v>1384</v>
      </c>
      <c r="AF721" s="84" t="s">
        <v>1380</v>
      </c>
      <c r="AG721" s="85"/>
      <c r="AH721" s="85"/>
      <c r="AI721" s="54"/>
      <c r="AJ721" s="82"/>
      <c r="AK721" s="82"/>
      <c r="AL721" s="82"/>
      <c r="AM721" s="82"/>
      <c r="AN721" s="82"/>
      <c r="AO721" s="82"/>
      <c r="AP721" s="82"/>
      <c r="AQ721" s="82"/>
    </row>
    <row r="722" spans="1:43" ht="15.75" customHeight="1" x14ac:dyDescent="0.2">
      <c r="A722" s="91"/>
      <c r="B722" s="149" t="s">
        <v>672</v>
      </c>
      <c r="C722" s="54" t="s">
        <v>1374</v>
      </c>
      <c r="D722" s="54"/>
      <c r="E722" s="54" t="s">
        <v>1385</v>
      </c>
      <c r="F722" s="54"/>
      <c r="G722" s="72">
        <v>2021</v>
      </c>
      <c r="H722" s="72">
        <v>0</v>
      </c>
      <c r="I722" s="72">
        <v>59.97</v>
      </c>
      <c r="J722" s="73">
        <v>1</v>
      </c>
      <c r="K722" s="72">
        <v>59.97</v>
      </c>
      <c r="L722" s="54"/>
      <c r="M722" s="54"/>
      <c r="N722" s="72">
        <v>40</v>
      </c>
      <c r="O722" s="72">
        <v>117</v>
      </c>
      <c r="P722" s="54"/>
      <c r="Q722" s="65">
        <v>39990</v>
      </c>
      <c r="R722" s="54" t="s">
        <v>676</v>
      </c>
      <c r="S722" s="54">
        <v>2021</v>
      </c>
      <c r="T722" s="61">
        <v>0.23900000000000099</v>
      </c>
      <c r="U722" s="69">
        <f t="shared" si="78"/>
        <v>9557.6100000000388</v>
      </c>
      <c r="V722" s="70">
        <f t="shared" si="79"/>
        <v>159.37318659329731</v>
      </c>
      <c r="W722" s="15">
        <f t="shared" si="46"/>
        <v>0</v>
      </c>
      <c r="X722" s="15">
        <f t="shared" si="47"/>
        <v>0</v>
      </c>
      <c r="Y722" s="15">
        <f t="shared" si="48"/>
        <v>0</v>
      </c>
      <c r="Z722" s="13">
        <f t="shared" si="49"/>
        <v>0</v>
      </c>
      <c r="AA722" s="16">
        <f>VLOOKUP(S722,[1]CPI!$A$2:$D$67,4,0)</f>
        <v>1</v>
      </c>
      <c r="AB722" s="17">
        <f t="shared" si="80"/>
        <v>9557.6100000000388</v>
      </c>
      <c r="AC722" s="17">
        <f t="shared" si="81"/>
        <v>159.37318659329731</v>
      </c>
      <c r="AD722" s="54"/>
      <c r="AE722" s="46" t="s">
        <v>1386</v>
      </c>
      <c r="AF722" s="54"/>
      <c r="AG722" s="54"/>
      <c r="AH722" s="54"/>
      <c r="AI722" s="54"/>
      <c r="AJ722" s="82"/>
      <c r="AK722" s="82"/>
      <c r="AL722" s="82"/>
      <c r="AM722" s="82"/>
      <c r="AN722" s="82"/>
      <c r="AO722" s="82"/>
      <c r="AP722" s="82"/>
      <c r="AQ722" s="82"/>
    </row>
    <row r="723" spans="1:43" x14ac:dyDescent="0.2">
      <c r="A723" s="54"/>
      <c r="B723" s="54" t="s">
        <v>672</v>
      </c>
      <c r="C723" s="54" t="s">
        <v>1374</v>
      </c>
      <c r="D723" s="54" t="s">
        <v>99</v>
      </c>
      <c r="E723" s="54" t="s">
        <v>99</v>
      </c>
      <c r="F723" s="72">
        <v>2019</v>
      </c>
      <c r="G723" s="54"/>
      <c r="H723" s="72">
        <v>0</v>
      </c>
      <c r="I723" s="72">
        <v>25</v>
      </c>
      <c r="J723" s="73">
        <v>1</v>
      </c>
      <c r="K723" s="72">
        <v>25</v>
      </c>
      <c r="L723" s="54"/>
      <c r="M723" s="54"/>
      <c r="N723" s="72">
        <v>22</v>
      </c>
      <c r="O723" s="72">
        <v>117</v>
      </c>
      <c r="P723" s="54"/>
      <c r="Q723" s="65">
        <v>29376.799999999999</v>
      </c>
      <c r="R723" s="54" t="s">
        <v>676</v>
      </c>
      <c r="S723" s="54">
        <v>2019</v>
      </c>
      <c r="T723" s="61">
        <v>0.23799999999999999</v>
      </c>
      <c r="U723" s="69">
        <f t="shared" si="78"/>
        <v>6991.6783999999998</v>
      </c>
      <c r="V723" s="70">
        <f t="shared" si="79"/>
        <v>279.66713599999997</v>
      </c>
      <c r="W723" s="15">
        <f t="shared" si="46"/>
        <v>0</v>
      </c>
      <c r="X723" s="15">
        <f t="shared" si="47"/>
        <v>0</v>
      </c>
      <c r="Y723" s="15">
        <f t="shared" si="48"/>
        <v>0</v>
      </c>
      <c r="Z723" s="13">
        <f t="shared" si="49"/>
        <v>0</v>
      </c>
      <c r="AA723" s="16">
        <f>VLOOKUP(S723,[1]CPI!$A$2:$D$67,4,0)</f>
        <v>1.0598966584134211</v>
      </c>
      <c r="AB723" s="17">
        <f t="shared" si="80"/>
        <v>7410.4565728612943</v>
      </c>
      <c r="AC723" s="17">
        <f t="shared" si="81"/>
        <v>296.41826291445176</v>
      </c>
      <c r="AD723" s="54"/>
      <c r="AE723" s="46" t="s">
        <v>1387</v>
      </c>
      <c r="AF723" s="76"/>
      <c r="AG723" s="76"/>
      <c r="AH723" s="76"/>
      <c r="AI723" s="76"/>
      <c r="AJ723" s="82"/>
      <c r="AK723" s="82"/>
      <c r="AL723" s="82"/>
      <c r="AM723" s="82"/>
      <c r="AN723" s="82"/>
      <c r="AO723" s="82"/>
      <c r="AP723" s="82"/>
      <c r="AQ723" s="82"/>
    </row>
    <row r="724" spans="1:43" ht="15.75" customHeight="1" x14ac:dyDescent="0.2">
      <c r="A724" s="91"/>
      <c r="B724" s="149" t="s">
        <v>672</v>
      </c>
      <c r="C724" s="54" t="s">
        <v>1374</v>
      </c>
      <c r="D724" s="54"/>
      <c r="E724" s="54" t="s">
        <v>335</v>
      </c>
      <c r="F724" s="72">
        <v>2021</v>
      </c>
      <c r="G724" s="72">
        <v>2026</v>
      </c>
      <c r="H724" s="72">
        <v>0</v>
      </c>
      <c r="I724" s="72">
        <v>16.63</v>
      </c>
      <c r="J724" s="73">
        <v>1</v>
      </c>
      <c r="K724" s="72">
        <v>16.63</v>
      </c>
      <c r="L724" s="54"/>
      <c r="M724" s="54"/>
      <c r="N724" s="72">
        <v>13</v>
      </c>
      <c r="O724" s="72">
        <v>117</v>
      </c>
      <c r="P724" s="54"/>
      <c r="Q724" s="65">
        <v>12590</v>
      </c>
      <c r="R724" s="54" t="s">
        <v>676</v>
      </c>
      <c r="S724" s="54">
        <v>2021</v>
      </c>
      <c r="T724" s="61">
        <v>0.23900000000000099</v>
      </c>
      <c r="U724" s="69">
        <f t="shared" si="78"/>
        <v>3009.0100000000125</v>
      </c>
      <c r="V724" s="70">
        <f t="shared" si="79"/>
        <v>180.93866506313967</v>
      </c>
      <c r="W724" s="15">
        <f t="shared" si="46"/>
        <v>0</v>
      </c>
      <c r="X724" s="15">
        <f t="shared" si="47"/>
        <v>0</v>
      </c>
      <c r="Y724" s="15">
        <f t="shared" si="48"/>
        <v>0</v>
      </c>
      <c r="Z724" s="13">
        <f t="shared" si="49"/>
        <v>0</v>
      </c>
      <c r="AA724" s="16">
        <f>VLOOKUP(S724,[1]CPI!$A$2:$D$67,4,0)</f>
        <v>1</v>
      </c>
      <c r="AB724" s="17">
        <f t="shared" si="80"/>
        <v>3009.0100000000125</v>
      </c>
      <c r="AC724" s="17">
        <f t="shared" si="81"/>
        <v>180.93866506313967</v>
      </c>
      <c r="AD724" s="54"/>
      <c r="AE724" s="46" t="s">
        <v>1388</v>
      </c>
      <c r="AF724" s="84" t="s">
        <v>1380</v>
      </c>
      <c r="AG724" s="85"/>
      <c r="AH724" s="85"/>
      <c r="AI724" s="54"/>
      <c r="AJ724" s="82"/>
      <c r="AK724" s="82"/>
      <c r="AL724" s="82"/>
      <c r="AM724" s="82"/>
      <c r="AN724" s="82"/>
      <c r="AO724" s="82"/>
      <c r="AP724" s="82"/>
      <c r="AQ724" s="82"/>
    </row>
    <row r="725" spans="1:43" ht="15.75" customHeight="1" x14ac:dyDescent="0.2">
      <c r="A725" s="91"/>
      <c r="B725" s="149" t="s">
        <v>672</v>
      </c>
      <c r="C725" s="54" t="s">
        <v>1374</v>
      </c>
      <c r="D725" s="54"/>
      <c r="E725" s="54" t="s">
        <v>103</v>
      </c>
      <c r="F725" s="72">
        <v>2010</v>
      </c>
      <c r="G725" s="54"/>
      <c r="H725" s="72">
        <v>0</v>
      </c>
      <c r="I725" s="72">
        <v>25</v>
      </c>
      <c r="J725" s="73">
        <v>1</v>
      </c>
      <c r="K725" s="72">
        <v>25</v>
      </c>
      <c r="L725" s="54"/>
      <c r="M725" s="54"/>
      <c r="N725" s="72">
        <v>22</v>
      </c>
      <c r="O725" s="72">
        <v>117</v>
      </c>
      <c r="P725" s="54"/>
      <c r="Q725" s="65">
        <v>17500</v>
      </c>
      <c r="R725" s="54" t="s">
        <v>676</v>
      </c>
      <c r="S725" s="54">
        <v>2010</v>
      </c>
      <c r="T725" s="15">
        <v>0.3</v>
      </c>
      <c r="U725" s="69">
        <f t="shared" si="78"/>
        <v>5250</v>
      </c>
      <c r="V725" s="70">
        <f t="shared" si="79"/>
        <v>210</v>
      </c>
      <c r="W725" s="15">
        <f t="shared" si="46"/>
        <v>0</v>
      </c>
      <c r="X725" s="15">
        <f t="shared" si="47"/>
        <v>0</v>
      </c>
      <c r="Y725" s="15">
        <f t="shared" si="48"/>
        <v>0</v>
      </c>
      <c r="Z725" s="13">
        <f t="shared" si="49"/>
        <v>0</v>
      </c>
      <c r="AA725" s="16">
        <f>VLOOKUP(S725,[1]CPI!$A$2:$D$67,4,0)</f>
        <v>1.2426624353377114</v>
      </c>
      <c r="AB725" s="17">
        <f t="shared" si="80"/>
        <v>6523.977785522985</v>
      </c>
      <c r="AC725" s="17">
        <f t="shared" si="81"/>
        <v>260.95911142091938</v>
      </c>
      <c r="AD725" s="54"/>
      <c r="AE725" s="46" t="s">
        <v>1389</v>
      </c>
      <c r="AF725" s="54"/>
      <c r="AG725" s="54"/>
      <c r="AH725" s="54"/>
      <c r="AI725" s="54"/>
      <c r="AJ725" s="82"/>
      <c r="AK725" s="82"/>
      <c r="AL725" s="82"/>
      <c r="AM725" s="82"/>
      <c r="AN725" s="82"/>
      <c r="AO725" s="82"/>
      <c r="AP725" s="82"/>
      <c r="AQ725" s="82"/>
    </row>
    <row r="726" spans="1:43" ht="15.75" customHeight="1" x14ac:dyDescent="0.2">
      <c r="A726" s="91"/>
      <c r="B726" s="149" t="s">
        <v>672</v>
      </c>
      <c r="C726" s="54" t="s">
        <v>1374</v>
      </c>
      <c r="D726" s="54" t="s">
        <v>99</v>
      </c>
      <c r="E726" s="54" t="s">
        <v>1390</v>
      </c>
      <c r="F726" s="72">
        <v>2021</v>
      </c>
      <c r="G726" s="54"/>
      <c r="H726" s="72">
        <v>0</v>
      </c>
      <c r="I726" s="72">
        <v>8.89</v>
      </c>
      <c r="J726" s="73">
        <v>1</v>
      </c>
      <c r="K726" s="72">
        <v>8.89</v>
      </c>
      <c r="L726" s="54"/>
      <c r="M726" s="54"/>
      <c r="N726" s="72">
        <v>8</v>
      </c>
      <c r="O726" s="72">
        <v>117</v>
      </c>
      <c r="P726" s="54"/>
      <c r="Q726" s="65">
        <v>6770</v>
      </c>
      <c r="R726" s="54" t="s">
        <v>676</v>
      </c>
      <c r="S726" s="54">
        <v>2021</v>
      </c>
      <c r="T726" s="61">
        <v>0.23900000000000099</v>
      </c>
      <c r="U726" s="69">
        <f t="shared" si="78"/>
        <v>1618.0300000000068</v>
      </c>
      <c r="V726" s="70">
        <f t="shared" si="79"/>
        <v>182.00562429696365</v>
      </c>
      <c r="W726" s="15">
        <f t="shared" si="46"/>
        <v>0</v>
      </c>
      <c r="X726" s="15">
        <f t="shared" si="47"/>
        <v>0</v>
      </c>
      <c r="Y726" s="15">
        <f t="shared" si="48"/>
        <v>0</v>
      </c>
      <c r="Z726" s="13">
        <f t="shared" si="49"/>
        <v>0</v>
      </c>
      <c r="AA726" s="16">
        <f>VLOOKUP(S726,[1]CPI!$A$2:$D$67,4,0)</f>
        <v>1</v>
      </c>
      <c r="AB726" s="17">
        <f t="shared" si="80"/>
        <v>1618.0300000000068</v>
      </c>
      <c r="AC726" s="17">
        <f t="shared" si="81"/>
        <v>182.00562429696365</v>
      </c>
      <c r="AD726" s="54"/>
      <c r="AE726" s="46" t="s">
        <v>1391</v>
      </c>
      <c r="AF726" s="84" t="s">
        <v>1380</v>
      </c>
      <c r="AG726" s="85"/>
      <c r="AH726" s="85"/>
      <c r="AI726" s="54"/>
      <c r="AJ726" s="82"/>
      <c r="AK726" s="82"/>
      <c r="AL726" s="82"/>
      <c r="AM726" s="82"/>
      <c r="AN726" s="82"/>
      <c r="AO726" s="82"/>
      <c r="AP726" s="82"/>
      <c r="AQ726" s="82"/>
    </row>
    <row r="727" spans="1:43" ht="15.75" customHeight="1" x14ac:dyDescent="0.2">
      <c r="A727" s="91"/>
      <c r="B727" s="149" t="s">
        <v>672</v>
      </c>
      <c r="C727" s="54" t="s">
        <v>1374</v>
      </c>
      <c r="D727" s="54"/>
      <c r="E727" s="54" t="s">
        <v>119</v>
      </c>
      <c r="F727" s="72">
        <v>2021</v>
      </c>
      <c r="G727" s="72">
        <v>2026</v>
      </c>
      <c r="H727" s="72">
        <v>0</v>
      </c>
      <c r="I727" s="72">
        <v>32.700000000000003</v>
      </c>
      <c r="J727" s="73">
        <v>1</v>
      </c>
      <c r="K727" s="72">
        <v>32.700000000000003</v>
      </c>
      <c r="L727" s="54"/>
      <c r="M727" s="54"/>
      <c r="N727" s="72">
        <v>29</v>
      </c>
      <c r="O727" s="72">
        <v>117</v>
      </c>
      <c r="P727" s="54"/>
      <c r="Q727" s="65">
        <v>26030</v>
      </c>
      <c r="R727" s="54" t="s">
        <v>676</v>
      </c>
      <c r="S727" s="54">
        <v>2021</v>
      </c>
      <c r="T727" s="61">
        <v>0.23900000000000099</v>
      </c>
      <c r="U727" s="69">
        <f t="shared" si="78"/>
        <v>6221.1700000000255</v>
      </c>
      <c r="V727" s="70">
        <f t="shared" si="79"/>
        <v>190.24984709480199</v>
      </c>
      <c r="W727" s="15">
        <f t="shared" si="46"/>
        <v>0</v>
      </c>
      <c r="X727" s="15">
        <f t="shared" si="47"/>
        <v>0</v>
      </c>
      <c r="Y727" s="15">
        <f t="shared" si="48"/>
        <v>0</v>
      </c>
      <c r="Z727" s="13">
        <f t="shared" si="49"/>
        <v>0</v>
      </c>
      <c r="AA727" s="16">
        <f>VLOOKUP(S727,[1]CPI!$A$2:$D$67,4,0)</f>
        <v>1</v>
      </c>
      <c r="AB727" s="17">
        <f t="shared" si="80"/>
        <v>6221.1700000000255</v>
      </c>
      <c r="AC727" s="17">
        <f t="shared" si="81"/>
        <v>190.24984709480199</v>
      </c>
      <c r="AD727" s="54"/>
      <c r="AE727" s="46" t="s">
        <v>1392</v>
      </c>
      <c r="AF727" s="84" t="s">
        <v>1380</v>
      </c>
      <c r="AG727" s="85"/>
      <c r="AH727" s="85"/>
      <c r="AI727" s="54"/>
      <c r="AJ727" s="82"/>
      <c r="AK727" s="82"/>
      <c r="AL727" s="82"/>
      <c r="AM727" s="82"/>
      <c r="AN727" s="82"/>
      <c r="AO727" s="82"/>
      <c r="AP727" s="82"/>
      <c r="AQ727" s="82"/>
    </row>
    <row r="728" spans="1:43" ht="15.75" customHeight="1" x14ac:dyDescent="0.2">
      <c r="A728" s="91"/>
      <c r="B728" s="149" t="s">
        <v>672</v>
      </c>
      <c r="C728" s="54" t="s">
        <v>1393</v>
      </c>
      <c r="D728" s="54"/>
      <c r="E728" s="54" t="s">
        <v>706</v>
      </c>
      <c r="F728" s="72">
        <v>2018</v>
      </c>
      <c r="G728" s="54"/>
      <c r="H728" s="72">
        <v>0</v>
      </c>
      <c r="I728" s="72">
        <v>20.556000000000001</v>
      </c>
      <c r="J728" s="72">
        <v>1</v>
      </c>
      <c r="K728" s="72">
        <v>20.556000000000001</v>
      </c>
      <c r="L728" s="54"/>
      <c r="M728" s="54"/>
      <c r="N728" s="72">
        <v>16</v>
      </c>
      <c r="O728" s="72">
        <v>138</v>
      </c>
      <c r="P728" s="54"/>
      <c r="Q728" s="104">
        <v>16787</v>
      </c>
      <c r="R728" s="54" t="s">
        <v>676</v>
      </c>
      <c r="S728" s="54">
        <v>2018</v>
      </c>
      <c r="T728" s="15">
        <v>0.23699999999999999</v>
      </c>
      <c r="U728" s="69">
        <f t="shared" si="78"/>
        <v>3978.5189999999998</v>
      </c>
      <c r="V728" s="70">
        <f t="shared" si="79"/>
        <v>193.54538820782253</v>
      </c>
      <c r="W728" s="15">
        <f t="shared" si="46"/>
        <v>0</v>
      </c>
      <c r="X728" s="15">
        <f t="shared" si="47"/>
        <v>0</v>
      </c>
      <c r="Y728" s="15">
        <f t="shared" si="48"/>
        <v>0</v>
      </c>
      <c r="Z728" s="13">
        <f t="shared" si="49"/>
        <v>0</v>
      </c>
      <c r="AA728" s="16">
        <f>VLOOKUP(S728,[1]CPI!$A$2:$D$67,4,0)</f>
        <v>1.0791017375063221</v>
      </c>
      <c r="AB728" s="17">
        <f t="shared" si="80"/>
        <v>4293.2267656019148</v>
      </c>
      <c r="AC728" s="17">
        <f t="shared" si="81"/>
        <v>208.85516470139692</v>
      </c>
      <c r="AD728" s="54"/>
      <c r="AE728" s="46" t="s">
        <v>1394</v>
      </c>
      <c r="AF728" s="54"/>
      <c r="AG728" s="54"/>
      <c r="AH728" s="54"/>
      <c r="AI728" s="54"/>
      <c r="AJ728" s="54"/>
      <c r="AK728" s="54"/>
      <c r="AL728" s="54"/>
      <c r="AM728" s="54"/>
      <c r="AN728" s="54"/>
      <c r="AO728" s="54"/>
      <c r="AP728" s="54"/>
      <c r="AQ728" s="54"/>
    </row>
    <row r="729" spans="1:43" ht="15.75" customHeight="1" x14ac:dyDescent="0.2">
      <c r="A729" s="91"/>
      <c r="B729" s="149" t="s">
        <v>672</v>
      </c>
      <c r="C729" s="54" t="s">
        <v>1393</v>
      </c>
      <c r="D729" s="54"/>
      <c r="E729" s="54" t="s">
        <v>99</v>
      </c>
      <c r="F729" s="54"/>
      <c r="G729" s="72">
        <v>2021</v>
      </c>
      <c r="H729" s="72">
        <v>0</v>
      </c>
      <c r="I729" s="72">
        <v>19.350000000000001</v>
      </c>
      <c r="J729" s="90"/>
      <c r="K729" s="54"/>
      <c r="L729" s="54"/>
      <c r="M729" s="54"/>
      <c r="N729" s="72">
        <v>16</v>
      </c>
      <c r="O729" s="72">
        <v>138</v>
      </c>
      <c r="P729" s="54"/>
      <c r="Q729" s="104">
        <v>16260</v>
      </c>
      <c r="R729" s="54" t="s">
        <v>676</v>
      </c>
      <c r="S729" s="54">
        <v>2021</v>
      </c>
      <c r="T729" s="61">
        <v>0.23900000000000099</v>
      </c>
      <c r="U729" s="69">
        <f t="shared" si="78"/>
        <v>3886.1400000000162</v>
      </c>
      <c r="V729" s="70">
        <f t="shared" si="79"/>
        <v>200.8341085271326</v>
      </c>
      <c r="W729" s="15">
        <f t="shared" si="46"/>
        <v>0</v>
      </c>
      <c r="X729" s="15">
        <f t="shared" si="47"/>
        <v>0</v>
      </c>
      <c r="Y729" s="15">
        <f t="shared" si="48"/>
        <v>0</v>
      </c>
      <c r="Z729" s="13">
        <f t="shared" si="49"/>
        <v>0</v>
      </c>
      <c r="AA729" s="16">
        <f>VLOOKUP(S729,[1]CPI!$A$2:$D$67,4,0)</f>
        <v>1</v>
      </c>
      <c r="AB729" s="17">
        <f t="shared" si="80"/>
        <v>3886.1400000000162</v>
      </c>
      <c r="AC729" s="17">
        <f t="shared" si="81"/>
        <v>200.8341085271326</v>
      </c>
      <c r="AD729" s="54"/>
      <c r="AE729" s="46" t="s">
        <v>1395</v>
      </c>
      <c r="AF729" s="54"/>
      <c r="AG729" s="54"/>
      <c r="AH729" s="54"/>
      <c r="AI729" s="54"/>
      <c r="AJ729" s="54"/>
      <c r="AK729" s="54"/>
      <c r="AL729" s="54"/>
      <c r="AM729" s="54"/>
      <c r="AN729" s="54"/>
      <c r="AO729" s="54"/>
      <c r="AP729" s="54"/>
      <c r="AQ729" s="54"/>
    </row>
    <row r="730" spans="1:43" ht="15.75" customHeight="1" x14ac:dyDescent="0.2">
      <c r="A730" s="91"/>
      <c r="B730" s="149" t="s">
        <v>672</v>
      </c>
      <c r="C730" s="54" t="s">
        <v>1393</v>
      </c>
      <c r="D730" s="54"/>
      <c r="E730" s="54" t="s">
        <v>92</v>
      </c>
      <c r="F730" s="72">
        <v>2014</v>
      </c>
      <c r="G730" s="72">
        <v>2019</v>
      </c>
      <c r="H730" s="72">
        <v>0</v>
      </c>
      <c r="I730" s="72">
        <v>27.614999999999998</v>
      </c>
      <c r="J730" s="73">
        <v>1</v>
      </c>
      <c r="K730" s="72">
        <v>27.614999999999998</v>
      </c>
      <c r="L730" s="54"/>
      <c r="M730" s="54"/>
      <c r="N730" s="72">
        <v>21</v>
      </c>
      <c r="O730" s="72">
        <v>138</v>
      </c>
      <c r="P730" s="54"/>
      <c r="Q730" s="65">
        <v>21694</v>
      </c>
      <c r="R730" s="54" t="s">
        <v>676</v>
      </c>
      <c r="S730" s="54">
        <v>2017</v>
      </c>
      <c r="T730" s="15">
        <v>0.23899999999999999</v>
      </c>
      <c r="U730" s="69">
        <f t="shared" si="78"/>
        <v>5184.866</v>
      </c>
      <c r="V730" s="70">
        <f t="shared" si="79"/>
        <v>187.75542277747601</v>
      </c>
      <c r="W730" s="15">
        <f t="shared" si="46"/>
        <v>0</v>
      </c>
      <c r="X730" s="15">
        <f t="shared" si="47"/>
        <v>0</v>
      </c>
      <c r="Y730" s="15">
        <f t="shared" si="48"/>
        <v>0</v>
      </c>
      <c r="Z730" s="13">
        <f t="shared" si="49"/>
        <v>0</v>
      </c>
      <c r="AA730" s="16">
        <f>VLOOKUP(S730,[1]CPI!$A$2:$D$67,4,0)</f>
        <v>1.1054585509138382</v>
      </c>
      <c r="AB730" s="17">
        <f t="shared" si="80"/>
        <v>5731.6544550424287</v>
      </c>
      <c r="AC730" s="17">
        <f t="shared" si="81"/>
        <v>207.55583758980367</v>
      </c>
      <c r="AD730" s="54"/>
      <c r="AE730" s="46" t="s">
        <v>1396</v>
      </c>
      <c r="AF730" s="80" t="s">
        <v>1397</v>
      </c>
      <c r="AG730" s="81"/>
      <c r="AH730" s="81"/>
      <c r="AI730" s="81"/>
      <c r="AJ730" s="82"/>
      <c r="AK730" s="82"/>
      <c r="AL730" s="82"/>
      <c r="AM730" s="82"/>
      <c r="AN730" s="82"/>
      <c r="AO730" s="82"/>
      <c r="AP730" s="82"/>
      <c r="AQ730" s="82"/>
    </row>
    <row r="731" spans="1:43" ht="15.75" customHeight="1" x14ac:dyDescent="0.2">
      <c r="A731" s="91"/>
      <c r="B731" s="149" t="s">
        <v>672</v>
      </c>
      <c r="C731" s="54" t="s">
        <v>819</v>
      </c>
      <c r="D731" s="54" t="s">
        <v>92</v>
      </c>
      <c r="E731" s="54" t="s">
        <v>983</v>
      </c>
      <c r="F731" s="72">
        <v>2021</v>
      </c>
      <c r="G731" s="54"/>
      <c r="H731" s="72">
        <v>0</v>
      </c>
      <c r="I731" s="72">
        <v>16.972999999999999</v>
      </c>
      <c r="J731" s="73">
        <v>0.8</v>
      </c>
      <c r="K731" s="72">
        <v>13.528</v>
      </c>
      <c r="L731" s="54"/>
      <c r="M731" s="54"/>
      <c r="N731" s="72">
        <v>8</v>
      </c>
      <c r="O731" s="72">
        <v>117</v>
      </c>
      <c r="P731" s="54"/>
      <c r="Q731" s="65">
        <v>10341</v>
      </c>
      <c r="R731" s="54" t="s">
        <v>676</v>
      </c>
      <c r="S731" s="54">
        <v>2021</v>
      </c>
      <c r="T731" s="61">
        <v>0.23900000000000099</v>
      </c>
      <c r="U731" s="69">
        <f t="shared" si="78"/>
        <v>2471.4990000000103</v>
      </c>
      <c r="V731" s="70">
        <f t="shared" si="79"/>
        <v>145.61356271725742</v>
      </c>
      <c r="W731" s="15">
        <f t="shared" si="46"/>
        <v>0</v>
      </c>
      <c r="X731" s="15">
        <f t="shared" si="47"/>
        <v>0</v>
      </c>
      <c r="Y731" s="15">
        <f t="shared" si="48"/>
        <v>0</v>
      </c>
      <c r="Z731" s="13">
        <f t="shared" si="49"/>
        <v>0</v>
      </c>
      <c r="AA731" s="16">
        <f>VLOOKUP(S731,[1]CPI!$A$2:$D$67,4,0)</f>
        <v>1</v>
      </c>
      <c r="AB731" s="17">
        <f t="shared" si="80"/>
        <v>2471.4990000000103</v>
      </c>
      <c r="AC731" s="17">
        <f t="shared" si="81"/>
        <v>145.61356271725742</v>
      </c>
      <c r="AD731" s="54"/>
      <c r="AE731" s="46" t="s">
        <v>1398</v>
      </c>
      <c r="AF731" s="54"/>
      <c r="AG731" s="54"/>
      <c r="AH731" s="54"/>
      <c r="AI731" s="54"/>
      <c r="AJ731" s="82"/>
      <c r="AK731" s="82"/>
      <c r="AL731" s="82"/>
      <c r="AM731" s="82"/>
      <c r="AN731" s="82"/>
      <c r="AO731" s="82"/>
      <c r="AP731" s="82"/>
      <c r="AQ731" s="82"/>
    </row>
    <row r="732" spans="1:43" ht="15.75" customHeight="1" x14ac:dyDescent="0.2">
      <c r="A732" s="91"/>
      <c r="B732" s="149" t="s">
        <v>672</v>
      </c>
      <c r="C732" s="54" t="s">
        <v>819</v>
      </c>
      <c r="D732" s="54"/>
      <c r="E732" s="54" t="s">
        <v>1399</v>
      </c>
      <c r="F732" s="72">
        <v>2009</v>
      </c>
      <c r="G732" s="72">
        <v>2016</v>
      </c>
      <c r="H732" s="72">
        <v>0</v>
      </c>
      <c r="I732" s="72">
        <v>50.6</v>
      </c>
      <c r="J732" s="73">
        <v>1</v>
      </c>
      <c r="K732" s="72">
        <v>50.6</v>
      </c>
      <c r="L732" s="54"/>
      <c r="M732" s="54"/>
      <c r="N732" s="72">
        <v>50</v>
      </c>
      <c r="O732" s="72">
        <v>117</v>
      </c>
      <c r="P732" s="54"/>
      <c r="Q732" s="65">
        <v>27440</v>
      </c>
      <c r="R732" s="54" t="s">
        <v>676</v>
      </c>
      <c r="S732" s="54">
        <v>2013</v>
      </c>
      <c r="T732" s="15">
        <v>0.27300000000000002</v>
      </c>
      <c r="U732" s="69">
        <f t="shared" si="78"/>
        <v>7491.1200000000008</v>
      </c>
      <c r="V732" s="70">
        <f t="shared" si="79"/>
        <v>148.04584980237155</v>
      </c>
      <c r="W732" s="15">
        <f t="shared" si="46"/>
        <v>0</v>
      </c>
      <c r="X732" s="15">
        <f t="shared" si="47"/>
        <v>0</v>
      </c>
      <c r="Y732" s="15">
        <f t="shared" si="48"/>
        <v>0</v>
      </c>
      <c r="Z732" s="13">
        <f t="shared" si="49"/>
        <v>0</v>
      </c>
      <c r="AA732" s="16">
        <f>VLOOKUP(S732,[1]CPI!$A$2:$D$67,4,0)</f>
        <v>1.16317603677932</v>
      </c>
      <c r="AB732" s="17">
        <f t="shared" si="80"/>
        <v>8713.4912726383009</v>
      </c>
      <c r="AC732" s="17">
        <f t="shared" si="81"/>
        <v>172.20338483474902</v>
      </c>
      <c r="AD732" s="54"/>
      <c r="AE732" s="84" t="s">
        <v>1400</v>
      </c>
      <c r="AF732" s="54"/>
      <c r="AG732" s="54"/>
      <c r="AH732" s="54"/>
      <c r="AI732" s="54"/>
      <c r="AJ732" s="82"/>
      <c r="AK732" s="82"/>
      <c r="AL732" s="82"/>
      <c r="AM732" s="82"/>
      <c r="AN732" s="82"/>
      <c r="AO732" s="82"/>
      <c r="AP732" s="82"/>
      <c r="AQ732" s="82"/>
    </row>
    <row r="733" spans="1:43" ht="15.75" customHeight="1" x14ac:dyDescent="0.2">
      <c r="A733" s="91"/>
      <c r="B733" s="149" t="s">
        <v>672</v>
      </c>
      <c r="C733" s="54" t="s">
        <v>854</v>
      </c>
      <c r="D733" s="54"/>
      <c r="E733" s="54" t="s">
        <v>1401</v>
      </c>
      <c r="F733" s="72">
        <v>2021</v>
      </c>
      <c r="G733" s="54"/>
      <c r="H733" s="72">
        <v>0</v>
      </c>
      <c r="I733" s="72">
        <v>53.2</v>
      </c>
      <c r="J733" s="73">
        <v>0.2</v>
      </c>
      <c r="K733" s="72">
        <v>10.6</v>
      </c>
      <c r="L733" s="54"/>
      <c r="M733" s="54"/>
      <c r="N733" s="72">
        <v>13</v>
      </c>
      <c r="O733" s="72">
        <v>117</v>
      </c>
      <c r="P733" s="54"/>
      <c r="Q733" s="65">
        <v>16500</v>
      </c>
      <c r="R733" s="54" t="s">
        <v>676</v>
      </c>
      <c r="S733" s="54">
        <v>2021</v>
      </c>
      <c r="T733" s="61">
        <v>0.23900000000000099</v>
      </c>
      <c r="U733" s="69">
        <f t="shared" si="78"/>
        <v>3943.5000000000164</v>
      </c>
      <c r="V733" s="70">
        <f t="shared" si="79"/>
        <v>74.125939849624359</v>
      </c>
      <c r="W733" s="15">
        <f t="shared" si="46"/>
        <v>0</v>
      </c>
      <c r="X733" s="15">
        <f t="shared" si="47"/>
        <v>0</v>
      </c>
      <c r="Y733" s="15">
        <f t="shared" si="48"/>
        <v>0</v>
      </c>
      <c r="Z733" s="13">
        <f t="shared" si="49"/>
        <v>0</v>
      </c>
      <c r="AA733" s="16">
        <f>VLOOKUP(S733,[1]CPI!$A$2:$D$67,4,0)</f>
        <v>1</v>
      </c>
      <c r="AB733" s="17">
        <f t="shared" si="80"/>
        <v>3943.5000000000164</v>
      </c>
      <c r="AC733" s="17">
        <f t="shared" si="81"/>
        <v>74.125939849624359</v>
      </c>
      <c r="AD733" s="54"/>
      <c r="AE733" s="46" t="s">
        <v>1402</v>
      </c>
      <c r="AF733" s="54"/>
      <c r="AG733" s="54"/>
      <c r="AH733" s="54"/>
      <c r="AI733" s="54"/>
      <c r="AJ733" s="82"/>
      <c r="AK733" s="82"/>
      <c r="AL733" s="82"/>
      <c r="AM733" s="82"/>
      <c r="AN733" s="82"/>
      <c r="AO733" s="82"/>
      <c r="AP733" s="82"/>
      <c r="AQ733" s="82"/>
    </row>
    <row r="734" spans="1:43" ht="15.75" customHeight="1" x14ac:dyDescent="0.2">
      <c r="A734" s="91"/>
      <c r="B734" s="149" t="s">
        <v>672</v>
      </c>
      <c r="C734" s="54" t="s">
        <v>854</v>
      </c>
      <c r="D734" s="54"/>
      <c r="E734" s="54" t="s">
        <v>1403</v>
      </c>
      <c r="F734" s="72">
        <v>2021</v>
      </c>
      <c r="G734" s="54"/>
      <c r="H734" s="72">
        <v>0</v>
      </c>
      <c r="I734" s="72">
        <v>22.8</v>
      </c>
      <c r="J734" s="54"/>
      <c r="K734" s="54"/>
      <c r="L734" s="54"/>
      <c r="M734" s="54"/>
      <c r="N734" s="72">
        <v>5</v>
      </c>
      <c r="O734" s="54"/>
      <c r="P734" s="54"/>
      <c r="Q734" s="65">
        <v>8450</v>
      </c>
      <c r="R734" s="54" t="s">
        <v>676</v>
      </c>
      <c r="S734" s="54">
        <v>2021</v>
      </c>
      <c r="T734" s="61">
        <v>0.23900000000000099</v>
      </c>
      <c r="U734" s="69">
        <f t="shared" si="78"/>
        <v>2019.5500000000084</v>
      </c>
      <c r="V734" s="70">
        <f t="shared" si="79"/>
        <v>88.576754385965273</v>
      </c>
      <c r="W734" s="15">
        <f t="shared" si="46"/>
        <v>0</v>
      </c>
      <c r="X734" s="15">
        <f t="shared" si="47"/>
        <v>0</v>
      </c>
      <c r="Y734" s="15">
        <f t="shared" si="48"/>
        <v>0</v>
      </c>
      <c r="Z734" s="13">
        <f t="shared" si="49"/>
        <v>0</v>
      </c>
      <c r="AA734" s="16">
        <f>VLOOKUP(S734,[1]CPI!$A$2:$D$67,4,0)</f>
        <v>1</v>
      </c>
      <c r="AB734" s="17">
        <f t="shared" si="80"/>
        <v>2019.5500000000084</v>
      </c>
      <c r="AC734" s="17">
        <f t="shared" si="81"/>
        <v>88.576754385965273</v>
      </c>
      <c r="AD734" s="54"/>
      <c r="AE734" s="46" t="s">
        <v>1404</v>
      </c>
      <c r="AF734" s="54"/>
      <c r="AG734" s="54"/>
      <c r="AH734" s="54"/>
      <c r="AI734" s="54"/>
      <c r="AJ734" s="82"/>
      <c r="AK734" s="82"/>
      <c r="AL734" s="82"/>
      <c r="AM734" s="82"/>
      <c r="AN734" s="82"/>
      <c r="AO734" s="82"/>
      <c r="AP734" s="82"/>
      <c r="AQ734" s="82"/>
    </row>
    <row r="735" spans="1:43" ht="24" customHeight="1" x14ac:dyDescent="0.2">
      <c r="A735" s="91"/>
      <c r="B735" s="149" t="s">
        <v>672</v>
      </c>
      <c r="C735" s="54" t="s">
        <v>1405</v>
      </c>
      <c r="D735" s="54"/>
      <c r="E735" s="54" t="s">
        <v>92</v>
      </c>
      <c r="F735" s="72">
        <v>2019</v>
      </c>
      <c r="G735" s="54"/>
      <c r="H735" s="72">
        <v>0</v>
      </c>
      <c r="I735" s="72">
        <v>39.4</v>
      </c>
      <c r="J735" s="73">
        <v>1</v>
      </c>
      <c r="K735" s="72">
        <v>39.4</v>
      </c>
      <c r="L735" s="54"/>
      <c r="M735" s="54"/>
      <c r="N735" s="72">
        <v>28</v>
      </c>
      <c r="O735" s="72">
        <v>117</v>
      </c>
      <c r="P735" s="54"/>
      <c r="Q735" s="65">
        <v>26902</v>
      </c>
      <c r="R735" s="54" t="s">
        <v>676</v>
      </c>
      <c r="S735" s="54">
        <v>2019</v>
      </c>
      <c r="T735" s="61">
        <v>0.23799999999999999</v>
      </c>
      <c r="U735" s="69">
        <f t="shared" si="78"/>
        <v>6402.6759999999995</v>
      </c>
      <c r="V735" s="70">
        <f t="shared" si="79"/>
        <v>162.50446700507612</v>
      </c>
      <c r="W735" s="15">
        <f t="shared" si="46"/>
        <v>0</v>
      </c>
      <c r="X735" s="15">
        <f t="shared" si="47"/>
        <v>0</v>
      </c>
      <c r="Y735" s="15">
        <f t="shared" si="48"/>
        <v>0</v>
      </c>
      <c r="Z735" s="13">
        <f t="shared" si="49"/>
        <v>0</v>
      </c>
      <c r="AA735" s="16">
        <f>VLOOKUP(S735,[1]CPI!$A$2:$D$67,4,0)</f>
        <v>1.0598966584134211</v>
      </c>
      <c r="AB735" s="17">
        <f t="shared" si="80"/>
        <v>6786.1748973038084</v>
      </c>
      <c r="AC735" s="17">
        <f t="shared" si="81"/>
        <v>172.23794155593421</v>
      </c>
      <c r="AD735" s="54"/>
      <c r="AE735" s="46" t="s">
        <v>1406</v>
      </c>
      <c r="AF735" s="76"/>
      <c r="AG735" s="76"/>
      <c r="AH735" s="76"/>
      <c r="AI735" s="76"/>
      <c r="AJ735" s="82"/>
      <c r="AK735" s="82"/>
      <c r="AL735" s="82"/>
      <c r="AM735" s="82"/>
      <c r="AN735" s="82"/>
      <c r="AO735" s="82"/>
      <c r="AP735" s="82"/>
      <c r="AQ735" s="82"/>
    </row>
    <row r="736" spans="1:43" x14ac:dyDescent="0.2">
      <c r="A736" s="54"/>
      <c r="B736" s="54" t="s">
        <v>672</v>
      </c>
      <c r="C736" s="54" t="s">
        <v>1405</v>
      </c>
      <c r="D736" s="54"/>
      <c r="E736" s="54" t="s">
        <v>99</v>
      </c>
      <c r="F736" s="72">
        <v>2020</v>
      </c>
      <c r="G736" s="54"/>
      <c r="H736" s="72">
        <v>0</v>
      </c>
      <c r="I736" s="72">
        <v>20.85</v>
      </c>
      <c r="J736" s="73">
        <v>1</v>
      </c>
      <c r="K736" s="72">
        <v>20.85</v>
      </c>
      <c r="L736" s="54"/>
      <c r="M736" s="54"/>
      <c r="N736" s="72">
        <v>17</v>
      </c>
      <c r="O736" s="72">
        <v>117</v>
      </c>
      <c r="P736" s="54"/>
      <c r="Q736" s="65">
        <v>15119.64</v>
      </c>
      <c r="R736" s="54" t="s">
        <v>676</v>
      </c>
      <c r="S736" s="54">
        <v>2020</v>
      </c>
      <c r="T736" s="61">
        <v>0.23899999999999999</v>
      </c>
      <c r="U736" s="69">
        <f t="shared" si="78"/>
        <v>3613.5939599999997</v>
      </c>
      <c r="V736" s="70">
        <f t="shared" si="79"/>
        <v>173.31385899280573</v>
      </c>
      <c r="W736" s="15">
        <f t="shared" si="46"/>
        <v>0</v>
      </c>
      <c r="X736" s="15">
        <f t="shared" si="47"/>
        <v>0</v>
      </c>
      <c r="Y736" s="15">
        <f t="shared" si="48"/>
        <v>0</v>
      </c>
      <c r="Z736" s="13">
        <f t="shared" si="49"/>
        <v>0</v>
      </c>
      <c r="AA736" s="16">
        <f>VLOOKUP(S736,[1]CPI!$A$2:$D$67,4,0)</f>
        <v>1.0469802288156225</v>
      </c>
      <c r="AB736" s="17">
        <f t="shared" si="80"/>
        <v>3783.361431087551</v>
      </c>
      <c r="AC736" s="17">
        <f t="shared" si="81"/>
        <v>181.45618374520629</v>
      </c>
      <c r="AD736" s="54"/>
      <c r="AE736" s="46" t="s">
        <v>1407</v>
      </c>
      <c r="AF736" s="54"/>
      <c r="AG736" s="54"/>
      <c r="AH736" s="54"/>
      <c r="AI736" s="54"/>
      <c r="AJ736" s="82"/>
      <c r="AK736" s="82"/>
      <c r="AL736" s="82"/>
      <c r="AM736" s="82"/>
      <c r="AN736" s="82"/>
      <c r="AO736" s="82"/>
      <c r="AP736" s="82"/>
      <c r="AQ736" s="82"/>
    </row>
    <row r="737" spans="1:43" x14ac:dyDescent="0.2">
      <c r="A737" s="54"/>
      <c r="B737" s="54" t="s">
        <v>207</v>
      </c>
      <c r="C737" s="54" t="s">
        <v>208</v>
      </c>
      <c r="D737" s="9" t="s">
        <v>209</v>
      </c>
      <c r="E737" s="54" t="s">
        <v>1408</v>
      </c>
      <c r="F737" s="72">
        <v>2022</v>
      </c>
      <c r="G737" s="54"/>
      <c r="H737" s="72">
        <v>0</v>
      </c>
      <c r="I737" s="72">
        <v>4.1900000000000004</v>
      </c>
      <c r="J737" s="148">
        <v>1</v>
      </c>
      <c r="K737" s="72">
        <v>4.1900000000000004</v>
      </c>
      <c r="L737" s="54"/>
      <c r="M737" s="54"/>
      <c r="N737" s="72">
        <v>1</v>
      </c>
      <c r="O737" s="72">
        <v>200</v>
      </c>
      <c r="P737" s="54"/>
      <c r="Q737" s="104">
        <v>427100</v>
      </c>
      <c r="R737" s="54" t="s">
        <v>210</v>
      </c>
      <c r="S737" s="54">
        <v>2021</v>
      </c>
      <c r="T737" s="15">
        <v>1.1999999999999999E-3</v>
      </c>
      <c r="U737" s="69">
        <f t="shared" si="78"/>
        <v>512.52</v>
      </c>
      <c r="V737" s="70">
        <f t="shared" si="79"/>
        <v>122.3198090692124</v>
      </c>
      <c r="W737" s="15">
        <f t="shared" si="46"/>
        <v>1</v>
      </c>
      <c r="X737" s="15">
        <f t="shared" si="47"/>
        <v>4.1900000000000004</v>
      </c>
      <c r="Y737" s="15">
        <f t="shared" si="48"/>
        <v>4.1900000000000004</v>
      </c>
      <c r="Z737" s="13">
        <f t="shared" si="49"/>
        <v>0</v>
      </c>
      <c r="AA737" s="16">
        <f>VLOOKUP(S737,[1]CPI!$A$2:$D$67,4,0)</f>
        <v>1</v>
      </c>
      <c r="AB737" s="17">
        <f t="shared" si="80"/>
        <v>512.52</v>
      </c>
      <c r="AC737" s="17">
        <f t="shared" si="81"/>
        <v>122.3198090692124</v>
      </c>
      <c r="AD737" s="54"/>
      <c r="AE737" s="46" t="s">
        <v>1409</v>
      </c>
      <c r="AF737" s="54"/>
      <c r="AG737" s="54"/>
      <c r="AH737" s="54"/>
      <c r="AI737" s="54"/>
      <c r="AJ737" s="82"/>
      <c r="AK737" s="82"/>
      <c r="AL737" s="82"/>
      <c r="AM737" s="82"/>
      <c r="AN737" s="82"/>
      <c r="AO737" s="82"/>
      <c r="AP737" s="82"/>
      <c r="AQ737" s="82"/>
    </row>
    <row r="738" spans="1:43" x14ac:dyDescent="0.2">
      <c r="A738" s="54"/>
      <c r="B738" s="54" t="s">
        <v>207</v>
      </c>
      <c r="C738" s="54" t="s">
        <v>208</v>
      </c>
      <c r="D738" s="9" t="s">
        <v>209</v>
      </c>
      <c r="E738" s="54" t="s">
        <v>1410</v>
      </c>
      <c r="F738" s="72">
        <v>2022</v>
      </c>
      <c r="G738" s="54"/>
      <c r="H738" s="72">
        <v>0</v>
      </c>
      <c r="I738" s="72">
        <v>3.59</v>
      </c>
      <c r="J738" s="148">
        <v>1</v>
      </c>
      <c r="K738" s="72">
        <v>3.59</v>
      </c>
      <c r="L738" s="54"/>
      <c r="M738" s="54"/>
      <c r="N738" s="72">
        <v>2</v>
      </c>
      <c r="O738" s="72">
        <v>200</v>
      </c>
      <c r="P738" s="54"/>
      <c r="Q738" s="104">
        <v>356100</v>
      </c>
      <c r="R738" s="54" t="s">
        <v>210</v>
      </c>
      <c r="S738" s="54">
        <v>2021</v>
      </c>
      <c r="T738" s="15">
        <v>1.1999999999999999E-3</v>
      </c>
      <c r="U738" s="69">
        <f t="shared" si="78"/>
        <v>427.31999999999994</v>
      </c>
      <c r="V738" s="70">
        <f t="shared" si="79"/>
        <v>119.03064066852366</v>
      </c>
      <c r="W738" s="15">
        <f t="shared" si="46"/>
        <v>1</v>
      </c>
      <c r="X738" s="15">
        <f t="shared" si="47"/>
        <v>3.59</v>
      </c>
      <c r="Y738" s="15">
        <f t="shared" si="48"/>
        <v>3.59</v>
      </c>
      <c r="Z738" s="13">
        <f t="shared" si="49"/>
        <v>0</v>
      </c>
      <c r="AA738" s="16">
        <f>VLOOKUP(S738,[1]CPI!$A$2:$D$67,4,0)</f>
        <v>1</v>
      </c>
      <c r="AB738" s="17">
        <f t="shared" si="80"/>
        <v>427.31999999999994</v>
      </c>
      <c r="AC738" s="17">
        <f t="shared" si="81"/>
        <v>119.03064066852366</v>
      </c>
      <c r="AD738" s="54"/>
      <c r="AE738" s="46" t="s">
        <v>1409</v>
      </c>
      <c r="AF738" s="54"/>
      <c r="AG738" s="54"/>
      <c r="AH738" s="54"/>
      <c r="AI738" s="54"/>
      <c r="AJ738" s="82"/>
      <c r="AK738" s="82"/>
      <c r="AL738" s="82"/>
      <c r="AM738" s="82"/>
      <c r="AN738" s="82"/>
      <c r="AO738" s="82"/>
      <c r="AP738" s="82"/>
      <c r="AQ738" s="82"/>
    </row>
    <row r="739" spans="1:43" x14ac:dyDescent="0.2">
      <c r="A739" s="54"/>
      <c r="B739" s="54" t="s">
        <v>207</v>
      </c>
      <c r="C739" s="54" t="s">
        <v>208</v>
      </c>
      <c r="D739" s="9" t="s">
        <v>209</v>
      </c>
      <c r="E739" s="54" t="s">
        <v>1411</v>
      </c>
      <c r="F739" s="72">
        <v>2022</v>
      </c>
      <c r="G739" s="54"/>
      <c r="H739" s="72">
        <v>0</v>
      </c>
      <c r="I739" s="72">
        <v>2.5710000000000002</v>
      </c>
      <c r="J739" s="148">
        <v>1</v>
      </c>
      <c r="K739" s="72">
        <v>2.5710000000000002</v>
      </c>
      <c r="L739" s="54"/>
      <c r="M739" s="54"/>
      <c r="N739" s="72">
        <v>1</v>
      </c>
      <c r="O739" s="72">
        <v>200</v>
      </c>
      <c r="P739" s="54"/>
      <c r="Q739" s="104">
        <v>247400</v>
      </c>
      <c r="R739" s="54" t="s">
        <v>210</v>
      </c>
      <c r="S739" s="54">
        <v>2021</v>
      </c>
      <c r="T739" s="15">
        <v>1.1999999999999999E-3</v>
      </c>
      <c r="U739" s="69">
        <f t="shared" si="78"/>
        <v>296.88</v>
      </c>
      <c r="V739" s="70">
        <f t="shared" si="79"/>
        <v>115.47257876312717</v>
      </c>
      <c r="W739" s="15">
        <f t="shared" si="46"/>
        <v>1</v>
      </c>
      <c r="X739" s="15">
        <f t="shared" si="47"/>
        <v>2.5710000000000002</v>
      </c>
      <c r="Y739" s="15">
        <f t="shared" si="48"/>
        <v>2.5710000000000002</v>
      </c>
      <c r="Z739" s="13">
        <f t="shared" si="49"/>
        <v>0</v>
      </c>
      <c r="AA739" s="16">
        <f>VLOOKUP(S739,[1]CPI!$A$2:$D$67,4,0)</f>
        <v>1</v>
      </c>
      <c r="AB739" s="17">
        <f t="shared" si="80"/>
        <v>296.88</v>
      </c>
      <c r="AC739" s="17">
        <f t="shared" si="81"/>
        <v>115.47257876312717</v>
      </c>
      <c r="AD739" s="54"/>
      <c r="AE739" s="46" t="s">
        <v>1409</v>
      </c>
      <c r="AF739" s="54"/>
      <c r="AG739" s="54"/>
      <c r="AH739" s="54"/>
      <c r="AI739" s="54"/>
      <c r="AJ739" s="82"/>
      <c r="AK739" s="82"/>
      <c r="AL739" s="82"/>
      <c r="AM739" s="82"/>
      <c r="AN739" s="82"/>
      <c r="AO739" s="82"/>
      <c r="AP739" s="82"/>
      <c r="AQ739" s="82"/>
    </row>
    <row r="740" spans="1:43" x14ac:dyDescent="0.2">
      <c r="A740" s="54"/>
      <c r="B740" s="54" t="s">
        <v>207</v>
      </c>
      <c r="C740" s="54" t="s">
        <v>208</v>
      </c>
      <c r="D740" s="54"/>
      <c r="E740" s="54" t="s">
        <v>1412</v>
      </c>
      <c r="F740" s="72">
        <v>2017</v>
      </c>
      <c r="G740" s="72">
        <v>2022</v>
      </c>
      <c r="H740" s="72">
        <v>0</v>
      </c>
      <c r="I740" s="72">
        <v>7.8</v>
      </c>
      <c r="J740" s="148">
        <v>1</v>
      </c>
      <c r="K740" s="72">
        <v>7.8</v>
      </c>
      <c r="L740" s="54"/>
      <c r="M740" s="54"/>
      <c r="N740" s="72">
        <v>11</v>
      </c>
      <c r="O740" s="72"/>
      <c r="P740" s="54"/>
      <c r="Q740" s="104">
        <v>826400</v>
      </c>
      <c r="R740" s="54" t="s">
        <v>210</v>
      </c>
      <c r="S740" s="54">
        <v>2020</v>
      </c>
      <c r="T740" s="15">
        <v>1E-3</v>
      </c>
      <c r="U740" s="69">
        <f t="shared" si="78"/>
        <v>826.4</v>
      </c>
      <c r="V740" s="70">
        <f t="shared" si="79"/>
        <v>105.94871794871794</v>
      </c>
      <c r="W740" s="15">
        <f t="shared" si="46"/>
        <v>1</v>
      </c>
      <c r="X740" s="15">
        <f t="shared" si="47"/>
        <v>7.8</v>
      </c>
      <c r="Y740" s="15">
        <f t="shared" si="48"/>
        <v>7.8</v>
      </c>
      <c r="Z740" s="13">
        <f t="shared" si="49"/>
        <v>0</v>
      </c>
      <c r="AA740" s="16">
        <f>VLOOKUP(S740,[1]CPI!$A$2:$D$67,4,0)</f>
        <v>1.0469802288156225</v>
      </c>
      <c r="AB740" s="17">
        <f t="shared" si="80"/>
        <v>865.22446109323039</v>
      </c>
      <c r="AC740" s="17">
        <f t="shared" si="81"/>
        <v>110.92621296067055</v>
      </c>
      <c r="AD740" s="54"/>
      <c r="AE740" s="80" t="s">
        <v>1413</v>
      </c>
      <c r="AF740" s="81"/>
      <c r="AG740" s="54"/>
      <c r="AH740" s="54"/>
      <c r="AI740" s="54"/>
      <c r="AJ740" s="82"/>
      <c r="AK740" s="82"/>
      <c r="AL740" s="82"/>
      <c r="AM740" s="82"/>
      <c r="AN740" s="82"/>
      <c r="AO740" s="82"/>
      <c r="AP740" s="82"/>
      <c r="AQ740" s="82"/>
    </row>
    <row r="741" spans="1:43" x14ac:dyDescent="0.2">
      <c r="A741" s="54"/>
      <c r="B741" s="54" t="s">
        <v>207</v>
      </c>
      <c r="C741" s="54" t="s">
        <v>208</v>
      </c>
      <c r="D741" s="54"/>
      <c r="E741" s="54" t="s">
        <v>1414</v>
      </c>
      <c r="F741" s="72">
        <v>2009</v>
      </c>
      <c r="G741" s="72">
        <v>2017</v>
      </c>
      <c r="H741" s="72">
        <v>0</v>
      </c>
      <c r="I741" s="72">
        <v>11.4</v>
      </c>
      <c r="J741" s="148">
        <v>1</v>
      </c>
      <c r="K741" s="72">
        <v>11.4</v>
      </c>
      <c r="L741" s="54"/>
      <c r="M741" s="54"/>
      <c r="N741" s="72">
        <v>13</v>
      </c>
      <c r="O741" s="72"/>
      <c r="P741" s="54"/>
      <c r="Q741" s="104">
        <v>911500</v>
      </c>
      <c r="R741" s="54" t="s">
        <v>210</v>
      </c>
      <c r="S741" s="54">
        <v>2013</v>
      </c>
      <c r="T741" s="15">
        <v>1E-3</v>
      </c>
      <c r="U741" s="69">
        <f t="shared" si="78"/>
        <v>911.5</v>
      </c>
      <c r="V741" s="70">
        <f t="shared" si="79"/>
        <v>79.956140350877192</v>
      </c>
      <c r="W741" s="15">
        <f t="shared" si="46"/>
        <v>1</v>
      </c>
      <c r="X741" s="15">
        <f t="shared" si="47"/>
        <v>11.4</v>
      </c>
      <c r="Y741" s="15">
        <f t="shared" si="48"/>
        <v>11.4</v>
      </c>
      <c r="Z741" s="13">
        <f t="shared" si="49"/>
        <v>0</v>
      </c>
      <c r="AA741" s="16">
        <f>VLOOKUP(S741,[1]CPI!$A$2:$D$67,4,0)</f>
        <v>1.16317603677932</v>
      </c>
      <c r="AB741" s="17">
        <f t="shared" si="80"/>
        <v>1060.2349575243502</v>
      </c>
      <c r="AC741" s="17">
        <f t="shared" si="81"/>
        <v>93.003066449504402</v>
      </c>
      <c r="AD741" s="54"/>
      <c r="AE741" s="80" t="s">
        <v>1415</v>
      </c>
      <c r="AF741" s="81"/>
      <c r="AG741" s="54"/>
      <c r="AH741" s="54"/>
      <c r="AI741" s="54"/>
      <c r="AJ741" s="82"/>
      <c r="AK741" s="82"/>
      <c r="AL741" s="82"/>
      <c r="AM741" s="82"/>
      <c r="AN741" s="82"/>
      <c r="AO741" s="82"/>
      <c r="AP741" s="82"/>
      <c r="AQ741" s="82"/>
    </row>
    <row r="742" spans="1:43" x14ac:dyDescent="0.2">
      <c r="A742" s="54"/>
      <c r="B742" s="54" t="s">
        <v>207</v>
      </c>
      <c r="C742" s="54" t="s">
        <v>208</v>
      </c>
      <c r="D742" s="54"/>
      <c r="E742" s="54" t="s">
        <v>1416</v>
      </c>
      <c r="F742" s="54">
        <v>2018</v>
      </c>
      <c r="G742" s="54">
        <v>2025</v>
      </c>
      <c r="H742" s="72">
        <v>1</v>
      </c>
      <c r="I742" s="54">
        <v>83.1</v>
      </c>
      <c r="J742" s="54"/>
      <c r="K742" s="54"/>
      <c r="L742" s="54"/>
      <c r="M742" s="54"/>
      <c r="N742" s="54"/>
      <c r="O742" s="72"/>
      <c r="P742" s="54"/>
      <c r="Q742" s="104">
        <v>1940000</v>
      </c>
      <c r="R742" s="54" t="s">
        <v>210</v>
      </c>
      <c r="S742" s="54">
        <v>2021</v>
      </c>
      <c r="T742" s="15">
        <v>1.1999999999999999E-3</v>
      </c>
      <c r="U742" s="69">
        <f t="shared" si="78"/>
        <v>2328</v>
      </c>
      <c r="V742" s="70">
        <f t="shared" si="79"/>
        <v>28.014440433212997</v>
      </c>
      <c r="W742" s="15">
        <f t="shared" si="46"/>
        <v>1</v>
      </c>
      <c r="X742" s="15">
        <f t="shared" si="47"/>
        <v>83.1</v>
      </c>
      <c r="Y742" s="15">
        <f t="shared" si="48"/>
        <v>0</v>
      </c>
      <c r="Z742" s="13">
        <f t="shared" si="49"/>
        <v>0</v>
      </c>
      <c r="AA742" s="16">
        <f>VLOOKUP(S742,[1]CPI!$A$2:$D$67,4,0)</f>
        <v>1</v>
      </c>
      <c r="AB742" s="17">
        <f t="shared" si="80"/>
        <v>2328</v>
      </c>
      <c r="AC742" s="17">
        <f t="shared" si="81"/>
        <v>28.014440433212997</v>
      </c>
      <c r="AD742" s="54"/>
      <c r="AE742" s="80" t="s">
        <v>1417</v>
      </c>
      <c r="AF742" s="81"/>
      <c r="AG742" s="54"/>
      <c r="AH742" s="54"/>
      <c r="AI742" s="54"/>
      <c r="AJ742" s="82"/>
      <c r="AK742" s="82"/>
      <c r="AL742" s="82"/>
      <c r="AM742" s="82"/>
      <c r="AN742" s="82"/>
      <c r="AO742" s="82"/>
      <c r="AP742" s="82"/>
      <c r="AQ742" s="82"/>
    </row>
    <row r="743" spans="1:43" x14ac:dyDescent="0.2">
      <c r="A743" s="54"/>
      <c r="B743" s="54" t="s">
        <v>207</v>
      </c>
      <c r="C743" s="54" t="s">
        <v>208</v>
      </c>
      <c r="D743" s="54"/>
      <c r="E743" s="54" t="s">
        <v>1418</v>
      </c>
      <c r="F743" s="72">
        <v>2014</v>
      </c>
      <c r="G743" s="72">
        <v>2022</v>
      </c>
      <c r="H743" s="72">
        <v>0</v>
      </c>
      <c r="I743" s="72">
        <v>14.9</v>
      </c>
      <c r="J743" s="148">
        <v>1</v>
      </c>
      <c r="K743" s="72">
        <v>14.9</v>
      </c>
      <c r="L743" s="54"/>
      <c r="M743" s="54"/>
      <c r="N743" s="72">
        <v>4</v>
      </c>
      <c r="O743" s="72">
        <v>200</v>
      </c>
      <c r="P743" s="54"/>
      <c r="Q743" s="104">
        <v>1400000</v>
      </c>
      <c r="R743" s="54" t="s">
        <v>210</v>
      </c>
      <c r="S743" s="54">
        <v>2018</v>
      </c>
      <c r="T743" s="15">
        <v>1E-3</v>
      </c>
      <c r="U743" s="69">
        <f t="shared" si="78"/>
        <v>1400</v>
      </c>
      <c r="V743" s="70">
        <f t="shared" si="79"/>
        <v>93.959731543624159</v>
      </c>
      <c r="W743" s="15">
        <f t="shared" si="46"/>
        <v>1</v>
      </c>
      <c r="X743" s="15">
        <f t="shared" si="47"/>
        <v>14.9</v>
      </c>
      <c r="Y743" s="15">
        <f t="shared" si="48"/>
        <v>14.9</v>
      </c>
      <c r="Z743" s="13">
        <f t="shared" si="49"/>
        <v>0</v>
      </c>
      <c r="AA743" s="16">
        <f>VLOOKUP(S743,[1]CPI!$A$2:$D$67,4,0)</f>
        <v>1.0791017375063221</v>
      </c>
      <c r="AB743" s="17">
        <f t="shared" si="80"/>
        <v>1510.7424325088509</v>
      </c>
      <c r="AC743" s="17">
        <f t="shared" si="81"/>
        <v>101.39210956435241</v>
      </c>
      <c r="AD743" s="54"/>
      <c r="AE743" s="80" t="s">
        <v>1419</v>
      </c>
      <c r="AF743" s="81"/>
      <c r="AG743" s="54"/>
      <c r="AH743" s="54"/>
      <c r="AI743" s="54"/>
      <c r="AJ743" s="82"/>
      <c r="AK743" s="82"/>
      <c r="AL743" s="82"/>
      <c r="AM743" s="82"/>
      <c r="AN743" s="82"/>
      <c r="AO743" s="82"/>
      <c r="AP743" s="82"/>
      <c r="AQ743" s="82"/>
    </row>
    <row r="744" spans="1:43" x14ac:dyDescent="0.2">
      <c r="A744" s="54"/>
      <c r="B744" s="54" t="s">
        <v>207</v>
      </c>
      <c r="C744" s="54" t="s">
        <v>208</v>
      </c>
      <c r="D744" s="54"/>
      <c r="E744" s="54" t="s">
        <v>1420</v>
      </c>
      <c r="F744" s="72">
        <v>2019</v>
      </c>
      <c r="G744" s="72">
        <v>2025</v>
      </c>
      <c r="H744" s="72">
        <v>0</v>
      </c>
      <c r="I744" s="72">
        <v>44.7</v>
      </c>
      <c r="J744" s="148">
        <v>1</v>
      </c>
      <c r="K744" s="72">
        <v>44.7</v>
      </c>
      <c r="L744" s="54"/>
      <c r="M744" s="54"/>
      <c r="N744" s="72">
        <v>15</v>
      </c>
      <c r="O744" s="72"/>
      <c r="P744" s="54"/>
      <c r="Q744" s="104">
        <v>3300000</v>
      </c>
      <c r="R744" s="54" t="s">
        <v>210</v>
      </c>
      <c r="S744" s="54">
        <v>2021</v>
      </c>
      <c r="T744" s="15">
        <v>1.1999999999999999E-3</v>
      </c>
      <c r="U744" s="69">
        <f t="shared" si="78"/>
        <v>3959.9999999999995</v>
      </c>
      <c r="V744" s="70">
        <f t="shared" si="79"/>
        <v>88.590604026845625</v>
      </c>
      <c r="W744" s="15">
        <f t="shared" si="46"/>
        <v>1</v>
      </c>
      <c r="X744" s="15">
        <f t="shared" si="47"/>
        <v>44.7</v>
      </c>
      <c r="Y744" s="15">
        <f t="shared" si="48"/>
        <v>44.7</v>
      </c>
      <c r="Z744" s="13">
        <f t="shared" si="49"/>
        <v>0</v>
      </c>
      <c r="AA744" s="16">
        <f>VLOOKUP(S744,[1]CPI!$A$2:$D$67,4,0)</f>
        <v>1</v>
      </c>
      <c r="AB744" s="17">
        <f t="shared" si="80"/>
        <v>3959.9999999999995</v>
      </c>
      <c r="AC744" s="17">
        <f t="shared" si="81"/>
        <v>88.590604026845625</v>
      </c>
      <c r="AD744" s="54"/>
      <c r="AE744" s="80" t="s">
        <v>1421</v>
      </c>
      <c r="AF744" s="81"/>
      <c r="AG744" s="54"/>
      <c r="AH744" s="54"/>
      <c r="AI744" s="54"/>
      <c r="AJ744" s="82"/>
      <c r="AK744" s="82"/>
      <c r="AL744" s="82"/>
      <c r="AM744" s="82"/>
      <c r="AN744" s="82"/>
      <c r="AO744" s="82"/>
      <c r="AP744" s="82"/>
      <c r="AQ744" s="82"/>
    </row>
    <row r="745" spans="1:43" x14ac:dyDescent="0.2">
      <c r="A745" s="54"/>
      <c r="B745" s="54" t="s">
        <v>207</v>
      </c>
      <c r="C745" s="54" t="s">
        <v>208</v>
      </c>
      <c r="D745" s="54"/>
      <c r="E745" s="54" t="s">
        <v>1422</v>
      </c>
      <c r="F745" s="72">
        <v>2014</v>
      </c>
      <c r="G745" s="72">
        <v>2020</v>
      </c>
      <c r="H745" s="72">
        <v>0</v>
      </c>
      <c r="I745" s="72">
        <v>7.7</v>
      </c>
      <c r="J745" s="148">
        <v>1</v>
      </c>
      <c r="K745" s="72">
        <v>7.7</v>
      </c>
      <c r="L745" s="54"/>
      <c r="M745" s="54"/>
      <c r="N745" s="72">
        <v>5</v>
      </c>
      <c r="O745" s="72">
        <v>160</v>
      </c>
      <c r="P745" s="54"/>
      <c r="Q745" s="104">
        <v>981000</v>
      </c>
      <c r="R745" s="54" t="s">
        <v>210</v>
      </c>
      <c r="S745" s="54">
        <v>2017</v>
      </c>
      <c r="T745" s="15">
        <v>1E-3</v>
      </c>
      <c r="U745" s="69">
        <f t="shared" si="78"/>
        <v>981</v>
      </c>
      <c r="V745" s="70">
        <f t="shared" si="79"/>
        <v>127.40259740259739</v>
      </c>
      <c r="W745" s="15">
        <f t="shared" si="46"/>
        <v>1</v>
      </c>
      <c r="X745" s="15">
        <f t="shared" si="47"/>
        <v>7.7</v>
      </c>
      <c r="Y745" s="15">
        <f t="shared" si="48"/>
        <v>7.7</v>
      </c>
      <c r="Z745" s="13">
        <f t="shared" si="49"/>
        <v>0</v>
      </c>
      <c r="AA745" s="16">
        <f>VLOOKUP(S745,[1]CPI!$A$2:$D$67,4,0)</f>
        <v>1.1054585509138382</v>
      </c>
      <c r="AB745" s="17">
        <f t="shared" si="80"/>
        <v>1084.4548384464752</v>
      </c>
      <c r="AC745" s="17">
        <f t="shared" si="81"/>
        <v>140.83829070733444</v>
      </c>
      <c r="AD745" s="54"/>
      <c r="AE745" s="80" t="s">
        <v>1423</v>
      </c>
      <c r="AF745" s="81"/>
      <c r="AG745" s="54"/>
      <c r="AH745" s="54"/>
      <c r="AI745" s="54"/>
      <c r="AJ745" s="82"/>
      <c r="AK745" s="82"/>
      <c r="AL745" s="82"/>
      <c r="AM745" s="82"/>
      <c r="AN745" s="82"/>
      <c r="AO745" s="82"/>
      <c r="AP745" s="82"/>
      <c r="AQ745" s="82"/>
    </row>
    <row r="746" spans="1:43" x14ac:dyDescent="0.2">
      <c r="A746" s="54"/>
      <c r="B746" s="54" t="s">
        <v>207</v>
      </c>
      <c r="C746" s="54" t="s">
        <v>208</v>
      </c>
      <c r="D746" s="9" t="s">
        <v>335</v>
      </c>
      <c r="E746" s="54" t="s">
        <v>716</v>
      </c>
      <c r="F746" s="54"/>
      <c r="G746" s="54"/>
      <c r="H746" s="72">
        <v>0</v>
      </c>
      <c r="I746" s="72">
        <v>25.1</v>
      </c>
      <c r="J746" s="148">
        <v>0.95620000000000005</v>
      </c>
      <c r="K746" s="72">
        <v>24</v>
      </c>
      <c r="L746" s="54"/>
      <c r="M746" s="54"/>
      <c r="N746" s="72">
        <v>25</v>
      </c>
      <c r="O746" s="72">
        <v>160</v>
      </c>
      <c r="P746" s="54"/>
      <c r="Q746" s="104">
        <v>3464064</v>
      </c>
      <c r="R746" s="54" t="s">
        <v>210</v>
      </c>
      <c r="S746" s="54"/>
      <c r="T746" s="54"/>
      <c r="U746" s="69"/>
      <c r="V746" s="70"/>
      <c r="W746" s="15">
        <f t="shared" si="46"/>
        <v>1</v>
      </c>
      <c r="X746" s="15">
        <f t="shared" si="47"/>
        <v>25.1</v>
      </c>
      <c r="Y746" s="15">
        <f t="shared" si="48"/>
        <v>24</v>
      </c>
      <c r="Z746" s="13">
        <f t="shared" si="49"/>
        <v>0</v>
      </c>
      <c r="AA746" s="16"/>
      <c r="AB746" s="17"/>
      <c r="AC746" s="17"/>
      <c r="AD746" s="54"/>
      <c r="AE746" s="80" t="s">
        <v>1424</v>
      </c>
      <c r="AF746" s="81"/>
      <c r="AG746" s="54"/>
      <c r="AH746" s="54"/>
      <c r="AI746" s="54"/>
      <c r="AJ746" s="82"/>
      <c r="AK746" s="82"/>
      <c r="AL746" s="82"/>
      <c r="AM746" s="82"/>
      <c r="AN746" s="82"/>
      <c r="AO746" s="82"/>
      <c r="AP746" s="82"/>
      <c r="AQ746" s="82"/>
    </row>
    <row r="747" spans="1:43" x14ac:dyDescent="0.2">
      <c r="A747" s="54"/>
      <c r="B747" s="54" t="s">
        <v>207</v>
      </c>
      <c r="C747" s="54" t="s">
        <v>208</v>
      </c>
      <c r="D747" s="9" t="s">
        <v>283</v>
      </c>
      <c r="E747" s="54" t="s">
        <v>1425</v>
      </c>
      <c r="F747" s="72">
        <v>2022</v>
      </c>
      <c r="G747" s="54"/>
      <c r="H747" s="72">
        <v>0</v>
      </c>
      <c r="I747" s="72">
        <v>10.7</v>
      </c>
      <c r="J747" s="54"/>
      <c r="K747" s="54"/>
      <c r="L747" s="54"/>
      <c r="M747" s="54"/>
      <c r="N747" s="72">
        <v>7</v>
      </c>
      <c r="O747" s="72">
        <v>160</v>
      </c>
      <c r="P747" s="54"/>
      <c r="Q747" s="104">
        <v>1573900</v>
      </c>
      <c r="R747" s="54" t="s">
        <v>210</v>
      </c>
      <c r="S747" s="54">
        <v>2021</v>
      </c>
      <c r="T747" s="15">
        <v>1.1999999999999999E-3</v>
      </c>
      <c r="U747" s="69">
        <f t="shared" ref="U747:U748" si="82">Q747*T747</f>
        <v>1888.6799999999998</v>
      </c>
      <c r="V747" s="70">
        <f t="shared" ref="V747:V748" si="83">U747/I747</f>
        <v>176.51214953271028</v>
      </c>
      <c r="W747" s="15">
        <f t="shared" si="46"/>
        <v>1</v>
      </c>
      <c r="X747" s="15">
        <f t="shared" si="47"/>
        <v>10.7</v>
      </c>
      <c r="Y747" s="15">
        <f t="shared" si="48"/>
        <v>0</v>
      </c>
      <c r="Z747" s="13">
        <f t="shared" si="49"/>
        <v>0</v>
      </c>
      <c r="AA747" s="16">
        <f>VLOOKUP(S747,[1]CPI!$A$2:$D$67,4,0)</f>
        <v>1</v>
      </c>
      <c r="AB747" s="17">
        <f t="shared" ref="AB747:AB748" si="84">U747*AA747</f>
        <v>1888.6799999999998</v>
      </c>
      <c r="AC747" s="17">
        <f t="shared" ref="AC747:AC748" si="85">V747*AA747</f>
        <v>176.51214953271028</v>
      </c>
      <c r="AD747" s="54"/>
      <c r="AE747" s="80" t="s">
        <v>1426</v>
      </c>
      <c r="AF747" s="81"/>
      <c r="AG747" s="54"/>
      <c r="AH747" s="54"/>
      <c r="AI747" s="54"/>
      <c r="AJ747" s="82"/>
      <c r="AK747" s="82"/>
      <c r="AL747" s="82"/>
      <c r="AM747" s="82"/>
      <c r="AN747" s="82"/>
      <c r="AO747" s="82"/>
      <c r="AP747" s="82"/>
      <c r="AQ747" s="82"/>
    </row>
    <row r="748" spans="1:43" x14ac:dyDescent="0.2">
      <c r="A748" s="54"/>
      <c r="B748" s="54" t="s">
        <v>207</v>
      </c>
      <c r="C748" s="54" t="s">
        <v>208</v>
      </c>
      <c r="D748" s="9" t="s">
        <v>335</v>
      </c>
      <c r="E748" s="54" t="s">
        <v>1427</v>
      </c>
      <c r="F748" s="72">
        <v>2021</v>
      </c>
      <c r="G748" s="72">
        <v>2028</v>
      </c>
      <c r="H748" s="72">
        <v>0</v>
      </c>
      <c r="I748" s="72">
        <v>4.0999999999999996</v>
      </c>
      <c r="J748" s="148">
        <v>1</v>
      </c>
      <c r="K748" s="72">
        <v>4.0999999999999996</v>
      </c>
      <c r="L748" s="54"/>
      <c r="M748" s="54"/>
      <c r="N748" s="72">
        <v>4</v>
      </c>
      <c r="O748" s="72">
        <v>160</v>
      </c>
      <c r="P748" s="54"/>
      <c r="Q748" s="104">
        <v>640800</v>
      </c>
      <c r="R748" s="54" t="s">
        <v>210</v>
      </c>
      <c r="S748" s="54">
        <v>2021</v>
      </c>
      <c r="T748" s="15">
        <v>1.1999999999999999E-3</v>
      </c>
      <c r="U748" s="69">
        <f t="shared" si="82"/>
        <v>768.95999999999992</v>
      </c>
      <c r="V748" s="70">
        <f t="shared" si="83"/>
        <v>187.55121951219513</v>
      </c>
      <c r="W748" s="15">
        <f t="shared" si="46"/>
        <v>1</v>
      </c>
      <c r="X748" s="15">
        <f t="shared" si="47"/>
        <v>4.0999999999999996</v>
      </c>
      <c r="Y748" s="15">
        <f t="shared" si="48"/>
        <v>4.0999999999999996</v>
      </c>
      <c r="Z748" s="13">
        <f t="shared" si="49"/>
        <v>0</v>
      </c>
      <c r="AA748" s="16">
        <f>VLOOKUP(S748,[1]CPI!$A$2:$D$67,4,0)</f>
        <v>1</v>
      </c>
      <c r="AB748" s="17">
        <f t="shared" si="84"/>
        <v>768.95999999999992</v>
      </c>
      <c r="AC748" s="17">
        <f t="shared" si="85"/>
        <v>187.55121951219513</v>
      </c>
      <c r="AD748" s="54"/>
      <c r="AE748" s="80" t="s">
        <v>1428</v>
      </c>
      <c r="AF748" s="81"/>
      <c r="AG748" s="54"/>
      <c r="AH748" s="54"/>
      <c r="AI748" s="54"/>
      <c r="AJ748" s="82"/>
      <c r="AK748" s="82"/>
      <c r="AL748" s="82"/>
      <c r="AM748" s="82"/>
      <c r="AN748" s="82"/>
      <c r="AO748" s="82"/>
      <c r="AP748" s="82"/>
      <c r="AQ748" s="82"/>
    </row>
    <row r="749" spans="1:43" ht="15.75" customHeight="1" x14ac:dyDescent="0.2">
      <c r="A749" s="91"/>
      <c r="B749" s="54" t="s">
        <v>207</v>
      </c>
      <c r="C749" s="54" t="s">
        <v>208</v>
      </c>
      <c r="D749" s="54"/>
      <c r="E749" s="54" t="s">
        <v>99</v>
      </c>
      <c r="F749" s="54"/>
      <c r="G749" s="72">
        <v>1980</v>
      </c>
      <c r="H749" s="72">
        <v>0</v>
      </c>
      <c r="I749" s="72">
        <v>50.2</v>
      </c>
      <c r="J749" s="54"/>
      <c r="K749" s="54"/>
      <c r="L749" s="54"/>
      <c r="M749" s="54"/>
      <c r="N749" s="54"/>
      <c r="O749" s="72">
        <v>200</v>
      </c>
      <c r="P749" s="54"/>
      <c r="Q749" s="104">
        <v>8771000</v>
      </c>
      <c r="R749" s="54" t="s">
        <v>210</v>
      </c>
      <c r="S749" s="54">
        <v>1980</v>
      </c>
      <c r="T749" s="54"/>
      <c r="U749" s="69"/>
      <c r="V749" s="70"/>
      <c r="W749" s="15">
        <f t="shared" si="46"/>
        <v>1</v>
      </c>
      <c r="X749" s="15">
        <f t="shared" si="47"/>
        <v>50.2</v>
      </c>
      <c r="Y749" s="15">
        <f t="shared" si="48"/>
        <v>0</v>
      </c>
      <c r="Z749" s="13">
        <f t="shared" si="49"/>
        <v>0</v>
      </c>
      <c r="AA749" s="16">
        <f>VLOOKUP(S749,[1]CPI!$A$2:$D$67,4,0)</f>
        <v>3.2884708737864079</v>
      </c>
      <c r="AB749" s="17"/>
      <c r="AC749" s="17"/>
      <c r="AD749" s="54"/>
      <c r="AE749" s="80" t="s">
        <v>1429</v>
      </c>
      <c r="AF749" s="81"/>
      <c r="AG749" s="54"/>
      <c r="AH749" s="54"/>
      <c r="AI749" s="54"/>
      <c r="AJ749" s="82"/>
      <c r="AK749" s="82"/>
      <c r="AL749" s="82"/>
      <c r="AM749" s="82"/>
      <c r="AN749" s="82"/>
      <c r="AO749" s="82"/>
      <c r="AP749" s="82"/>
      <c r="AQ749" s="82"/>
    </row>
    <row r="750" spans="1:43" ht="15.75" customHeight="1" x14ac:dyDescent="0.2">
      <c r="A750" s="91"/>
      <c r="B750" s="54" t="s">
        <v>672</v>
      </c>
      <c r="C750" s="54" t="s">
        <v>1310</v>
      </c>
      <c r="D750" s="54"/>
      <c r="E750" s="54" t="s">
        <v>92</v>
      </c>
      <c r="F750" s="72">
        <v>2016</v>
      </c>
      <c r="G750" s="72">
        <v>2021</v>
      </c>
      <c r="H750" s="72">
        <v>0</v>
      </c>
      <c r="I750" s="72">
        <v>31.3</v>
      </c>
      <c r="J750" s="73">
        <v>1</v>
      </c>
      <c r="K750" s="72">
        <v>31.3</v>
      </c>
      <c r="L750" s="54"/>
      <c r="M750" s="54"/>
      <c r="N750" s="72">
        <v>23</v>
      </c>
      <c r="O750" s="72">
        <v>117</v>
      </c>
      <c r="P750" s="54"/>
      <c r="Q750" s="65">
        <v>23873</v>
      </c>
      <c r="R750" s="54" t="s">
        <v>676</v>
      </c>
      <c r="S750" s="54">
        <v>2019</v>
      </c>
      <c r="T750" s="61">
        <v>0.23799999999999999</v>
      </c>
      <c r="U750" s="69">
        <f t="shared" ref="U750:U910" si="86">Q750*T750</f>
        <v>5681.7739999999994</v>
      </c>
      <c r="V750" s="70">
        <f t="shared" ref="V750:V910" si="87">U750/I750</f>
        <v>181.52632587859424</v>
      </c>
      <c r="W750" s="15">
        <f t="shared" si="46"/>
        <v>0</v>
      </c>
      <c r="X750" s="15">
        <f t="shared" si="47"/>
        <v>0</v>
      </c>
      <c r="Y750" s="15">
        <f t="shared" si="48"/>
        <v>0</v>
      </c>
      <c r="Z750" s="13">
        <f t="shared" si="49"/>
        <v>0</v>
      </c>
      <c r="AA750" s="16">
        <f>VLOOKUP(S750,[1]CPI!$A$2:$D$67,4,0)</f>
        <v>1.0598966584134211</v>
      </c>
      <c r="AB750" s="17">
        <f t="shared" ref="AB750:AB910" si="88">U750*AA750</f>
        <v>6022.0932764602567</v>
      </c>
      <c r="AC750" s="17">
        <f t="shared" ref="AC750:AC910" si="89">V750*AA750</f>
        <v>192.39914621278774</v>
      </c>
      <c r="AD750" s="54"/>
      <c r="AE750" s="46" t="s">
        <v>1430</v>
      </c>
      <c r="AF750" s="54"/>
      <c r="AG750" s="54"/>
      <c r="AH750" s="54"/>
      <c r="AI750" s="54"/>
      <c r="AJ750" s="82"/>
      <c r="AK750" s="82"/>
      <c r="AL750" s="82"/>
      <c r="AM750" s="82"/>
      <c r="AN750" s="82"/>
      <c r="AO750" s="82"/>
      <c r="AP750" s="82"/>
      <c r="AQ750" s="82"/>
    </row>
    <row r="751" spans="1:43" ht="15.75" customHeight="1" x14ac:dyDescent="0.2">
      <c r="A751" s="91"/>
      <c r="B751" s="54" t="s">
        <v>672</v>
      </c>
      <c r="C751" s="54" t="s">
        <v>1310</v>
      </c>
      <c r="D751" s="54"/>
      <c r="E751" s="54" t="s">
        <v>99</v>
      </c>
      <c r="F751" s="72">
        <v>2022</v>
      </c>
      <c r="G751" s="54"/>
      <c r="H751" s="72">
        <v>0</v>
      </c>
      <c r="I751" s="72">
        <v>10.8</v>
      </c>
      <c r="J751" s="73">
        <v>1</v>
      </c>
      <c r="K751" s="72">
        <v>10.8</v>
      </c>
      <c r="L751" s="54"/>
      <c r="M751" s="54"/>
      <c r="N751" s="72">
        <v>9</v>
      </c>
      <c r="O751" s="72">
        <v>117</v>
      </c>
      <c r="P751" s="54"/>
      <c r="Q751" s="65">
        <v>10130</v>
      </c>
      <c r="R751" s="54" t="s">
        <v>676</v>
      </c>
      <c r="S751" s="54">
        <v>2021</v>
      </c>
      <c r="T751" s="61">
        <v>0.23900000000000099</v>
      </c>
      <c r="U751" s="69">
        <f t="shared" si="86"/>
        <v>2421.0700000000102</v>
      </c>
      <c r="V751" s="70">
        <f t="shared" si="87"/>
        <v>224.17314814814907</v>
      </c>
      <c r="W751" s="15">
        <f t="shared" si="46"/>
        <v>0</v>
      </c>
      <c r="X751" s="15">
        <f t="shared" si="47"/>
        <v>0</v>
      </c>
      <c r="Y751" s="15">
        <f t="shared" si="48"/>
        <v>0</v>
      </c>
      <c r="Z751" s="13">
        <f t="shared" si="49"/>
        <v>0</v>
      </c>
      <c r="AA751" s="16">
        <f>VLOOKUP(S751,[1]CPI!$A$2:$D$67,4,0)</f>
        <v>1</v>
      </c>
      <c r="AB751" s="17">
        <f t="shared" si="88"/>
        <v>2421.0700000000102</v>
      </c>
      <c r="AC751" s="17">
        <f t="shared" si="89"/>
        <v>224.17314814814907</v>
      </c>
      <c r="AD751" s="54"/>
      <c r="AE751" s="46" t="s">
        <v>1431</v>
      </c>
      <c r="AF751" s="54"/>
      <c r="AG751" s="54"/>
      <c r="AH751" s="54"/>
      <c r="AI751" s="54"/>
      <c r="AJ751" s="82"/>
      <c r="AK751" s="82"/>
      <c r="AL751" s="82"/>
      <c r="AM751" s="82"/>
      <c r="AN751" s="82"/>
      <c r="AO751" s="82"/>
      <c r="AP751" s="82"/>
      <c r="AQ751" s="82"/>
    </row>
    <row r="752" spans="1:43" ht="15.75" customHeight="1" x14ac:dyDescent="0.2">
      <c r="A752" s="91"/>
      <c r="B752" s="54" t="s">
        <v>672</v>
      </c>
      <c r="C752" s="54" t="s">
        <v>900</v>
      </c>
      <c r="D752" s="54"/>
      <c r="E752" s="54" t="s">
        <v>706</v>
      </c>
      <c r="F752" s="54"/>
      <c r="G752" s="72">
        <v>2022</v>
      </c>
      <c r="H752" s="72">
        <v>0</v>
      </c>
      <c r="I752" s="72">
        <v>34.200000000000003</v>
      </c>
      <c r="J752" s="73">
        <v>1</v>
      </c>
      <c r="K752" s="72">
        <v>34.200000000000003</v>
      </c>
      <c r="L752" s="54"/>
      <c r="M752" s="54"/>
      <c r="N752" s="72">
        <v>23</v>
      </c>
      <c r="O752" s="72">
        <v>117</v>
      </c>
      <c r="P752" s="54"/>
      <c r="Q752" s="65">
        <v>16632</v>
      </c>
      <c r="R752" s="54" t="s">
        <v>676</v>
      </c>
      <c r="S752" s="54">
        <v>2021</v>
      </c>
      <c r="T752" s="61">
        <v>0.23900000000000099</v>
      </c>
      <c r="U752" s="69">
        <f t="shared" si="86"/>
        <v>3975.0480000000166</v>
      </c>
      <c r="V752" s="70">
        <f t="shared" si="87"/>
        <v>116.229473684211</v>
      </c>
      <c r="W752" s="15">
        <f t="shared" si="46"/>
        <v>0</v>
      </c>
      <c r="X752" s="15">
        <f t="shared" si="47"/>
        <v>0</v>
      </c>
      <c r="Y752" s="15">
        <f t="shared" si="48"/>
        <v>0</v>
      </c>
      <c r="Z752" s="13">
        <f t="shared" si="49"/>
        <v>0</v>
      </c>
      <c r="AA752" s="16">
        <f>VLOOKUP(S752,[1]CPI!$A$2:$D$67,4,0)</f>
        <v>1</v>
      </c>
      <c r="AB752" s="17">
        <f t="shared" si="88"/>
        <v>3975.0480000000166</v>
      </c>
      <c r="AC752" s="17">
        <f t="shared" si="89"/>
        <v>116.229473684211</v>
      </c>
      <c r="AD752" s="54"/>
      <c r="AE752" s="46" t="s">
        <v>1432</v>
      </c>
      <c r="AF752" s="80" t="s">
        <v>1433</v>
      </c>
      <c r="AG752" s="81"/>
      <c r="AH752" s="81"/>
      <c r="AI752" s="81"/>
      <c r="AJ752" s="82"/>
      <c r="AK752" s="82"/>
      <c r="AL752" s="82"/>
      <c r="AM752" s="82"/>
      <c r="AN752" s="82"/>
      <c r="AO752" s="82"/>
      <c r="AP752" s="82"/>
      <c r="AQ752" s="82"/>
    </row>
    <row r="753" spans="1:43" ht="15.75" customHeight="1" x14ac:dyDescent="0.2">
      <c r="A753" s="91"/>
      <c r="B753" s="54" t="s">
        <v>672</v>
      </c>
      <c r="C753" s="54" t="s">
        <v>1314</v>
      </c>
      <c r="D753" s="54"/>
      <c r="E753" s="54" t="s">
        <v>761</v>
      </c>
      <c r="F753" s="72">
        <v>2012</v>
      </c>
      <c r="G753" s="72">
        <v>2021</v>
      </c>
      <c r="H753" s="72">
        <v>0</v>
      </c>
      <c r="I753" s="72">
        <v>12.7</v>
      </c>
      <c r="J753" s="73">
        <v>1</v>
      </c>
      <c r="K753" s="72">
        <v>12.7</v>
      </c>
      <c r="L753" s="54"/>
      <c r="M753" s="54"/>
      <c r="N753" s="72">
        <v>7</v>
      </c>
      <c r="O753" s="72">
        <v>138</v>
      </c>
      <c r="P753" s="54"/>
      <c r="Q753" s="65">
        <v>7731</v>
      </c>
      <c r="R753" s="54" t="s">
        <v>676</v>
      </c>
      <c r="S753" s="54">
        <v>2016</v>
      </c>
      <c r="T753" s="15">
        <v>0.251</v>
      </c>
      <c r="U753" s="69">
        <f t="shared" si="86"/>
        <v>1940.481</v>
      </c>
      <c r="V753" s="70">
        <f t="shared" si="87"/>
        <v>152.79377952755905</v>
      </c>
      <c r="W753" s="15">
        <f t="shared" si="46"/>
        <v>0</v>
      </c>
      <c r="X753" s="15">
        <f t="shared" si="47"/>
        <v>0</v>
      </c>
      <c r="Y753" s="15">
        <f t="shared" si="48"/>
        <v>0</v>
      </c>
      <c r="Z753" s="13">
        <f t="shared" si="49"/>
        <v>0</v>
      </c>
      <c r="AA753" s="16">
        <f>VLOOKUP(S753,[1]CPI!$A$2:$D$67,4,0)</f>
        <v>1.1290087372451638</v>
      </c>
      <c r="AB753" s="17">
        <f t="shared" si="88"/>
        <v>2190.8200034582328</v>
      </c>
      <c r="AC753" s="17">
        <f t="shared" si="89"/>
        <v>172.50551208332541</v>
      </c>
      <c r="AD753" s="54"/>
      <c r="AE753" s="46" t="s">
        <v>1434</v>
      </c>
      <c r="AF753" s="80" t="s">
        <v>1435</v>
      </c>
      <c r="AG753" s="81"/>
      <c r="AH753" s="81"/>
      <c r="AI753" s="81"/>
      <c r="AJ753" s="82"/>
      <c r="AK753" s="82"/>
      <c r="AL753" s="82"/>
      <c r="AM753" s="82"/>
      <c r="AN753" s="82"/>
      <c r="AO753" s="82"/>
      <c r="AP753" s="82"/>
      <c r="AQ753" s="82"/>
    </row>
    <row r="754" spans="1:43" ht="15.75" customHeight="1" x14ac:dyDescent="0.2">
      <c r="A754" s="91"/>
      <c r="B754" s="54" t="s">
        <v>672</v>
      </c>
      <c r="C754" s="54" t="s">
        <v>1314</v>
      </c>
      <c r="D754" s="54"/>
      <c r="E754" s="54" t="s">
        <v>730</v>
      </c>
      <c r="F754" s="72">
        <v>2012</v>
      </c>
      <c r="G754" s="72">
        <v>2021</v>
      </c>
      <c r="H754" s="72">
        <v>0</v>
      </c>
      <c r="I754" s="72">
        <v>8.1</v>
      </c>
      <c r="J754" s="73">
        <v>1</v>
      </c>
      <c r="K754" s="72">
        <v>8.1</v>
      </c>
      <c r="L754" s="54"/>
      <c r="M754" s="54"/>
      <c r="N754" s="72">
        <v>5</v>
      </c>
      <c r="O754" s="72">
        <v>138</v>
      </c>
      <c r="P754" s="54"/>
      <c r="Q754" s="65">
        <v>5465</v>
      </c>
      <c r="R754" s="54" t="s">
        <v>676</v>
      </c>
      <c r="S754" s="54">
        <v>2016</v>
      </c>
      <c r="T754" s="15">
        <v>0.251</v>
      </c>
      <c r="U754" s="69">
        <f t="shared" si="86"/>
        <v>1371.7149999999999</v>
      </c>
      <c r="V754" s="70">
        <f t="shared" si="87"/>
        <v>169.34753086419752</v>
      </c>
      <c r="W754" s="15">
        <f t="shared" si="46"/>
        <v>0</v>
      </c>
      <c r="X754" s="15">
        <f t="shared" si="47"/>
        <v>0</v>
      </c>
      <c r="Y754" s="15">
        <f t="shared" si="48"/>
        <v>0</v>
      </c>
      <c r="Z754" s="13">
        <f t="shared" si="49"/>
        <v>0</v>
      </c>
      <c r="AA754" s="16">
        <f>VLOOKUP(S754,[1]CPI!$A$2:$D$67,4,0)</f>
        <v>1.1290087372451638</v>
      </c>
      <c r="AB754" s="17">
        <f t="shared" si="88"/>
        <v>1548.6782200102498</v>
      </c>
      <c r="AC754" s="17">
        <f t="shared" si="89"/>
        <v>191.19484197657405</v>
      </c>
      <c r="AD754" s="54"/>
      <c r="AE754" s="46" t="s">
        <v>1436</v>
      </c>
      <c r="AF754" s="80" t="s">
        <v>1435</v>
      </c>
      <c r="AG754" s="81"/>
      <c r="AH754" s="81"/>
      <c r="AI754" s="81"/>
      <c r="AJ754" s="82"/>
      <c r="AK754" s="82"/>
      <c r="AL754" s="82"/>
      <c r="AM754" s="82"/>
      <c r="AN754" s="82"/>
      <c r="AO754" s="82"/>
      <c r="AP754" s="82"/>
      <c r="AQ754" s="82"/>
    </row>
    <row r="755" spans="1:43" ht="15.75" customHeight="1" x14ac:dyDescent="0.2">
      <c r="A755" s="91"/>
      <c r="B755" s="54" t="s">
        <v>672</v>
      </c>
      <c r="C755" s="54" t="s">
        <v>1314</v>
      </c>
      <c r="D755" s="54"/>
      <c r="E755" s="54" t="s">
        <v>1437</v>
      </c>
      <c r="F755" s="72">
        <v>2012</v>
      </c>
      <c r="G755" s="72">
        <v>2020</v>
      </c>
      <c r="H755" s="72">
        <v>0</v>
      </c>
      <c r="I755" s="72">
        <v>59.6</v>
      </c>
      <c r="J755" s="73">
        <v>1</v>
      </c>
      <c r="K755" s="72">
        <v>59.6</v>
      </c>
      <c r="L755" s="54"/>
      <c r="M755" s="54"/>
      <c r="N755" s="72">
        <v>52</v>
      </c>
      <c r="O755" s="72">
        <v>138</v>
      </c>
      <c r="P755" s="54"/>
      <c r="Q755" s="65">
        <v>42190</v>
      </c>
      <c r="R755" s="54" t="s">
        <v>676</v>
      </c>
      <c r="S755" s="54">
        <v>2016</v>
      </c>
      <c r="T755" s="15">
        <v>0.251</v>
      </c>
      <c r="U755" s="69">
        <f t="shared" si="86"/>
        <v>10589.69</v>
      </c>
      <c r="V755" s="70">
        <f t="shared" si="87"/>
        <v>177.67936241610738</v>
      </c>
      <c r="W755" s="15">
        <f t="shared" si="46"/>
        <v>0</v>
      </c>
      <c r="X755" s="15">
        <f t="shared" si="47"/>
        <v>0</v>
      </c>
      <c r="Y755" s="15">
        <f t="shared" si="48"/>
        <v>0</v>
      </c>
      <c r="Z755" s="13">
        <f t="shared" si="49"/>
        <v>0</v>
      </c>
      <c r="AA755" s="16">
        <f>VLOOKUP(S755,[1]CPI!$A$2:$D$67,4,0)</f>
        <v>1.1290087372451638</v>
      </c>
      <c r="AB755" s="17">
        <f t="shared" si="88"/>
        <v>11955.85253471774</v>
      </c>
      <c r="AC755" s="17">
        <f t="shared" si="89"/>
        <v>200.6015525959352</v>
      </c>
      <c r="AD755" s="54"/>
      <c r="AE755" s="46" t="s">
        <v>1438</v>
      </c>
      <c r="AF755" s="54"/>
      <c r="AG755" s="54"/>
      <c r="AH755" s="54"/>
      <c r="AI755" s="54"/>
      <c r="AJ755" s="82"/>
      <c r="AK755" s="82"/>
      <c r="AL755" s="82"/>
      <c r="AM755" s="82"/>
      <c r="AN755" s="82"/>
      <c r="AO755" s="82"/>
      <c r="AP755" s="82"/>
      <c r="AQ755" s="82"/>
    </row>
    <row r="756" spans="1:43" ht="15.75" customHeight="1" x14ac:dyDescent="0.2">
      <c r="A756" s="54"/>
      <c r="B756" s="54" t="s">
        <v>672</v>
      </c>
      <c r="C756" s="54" t="s">
        <v>949</v>
      </c>
      <c r="D756" s="54"/>
      <c r="E756" s="54" t="s">
        <v>1439</v>
      </c>
      <c r="F756" s="72">
        <v>2019</v>
      </c>
      <c r="G756" s="54"/>
      <c r="H756" s="72">
        <v>0</v>
      </c>
      <c r="I756" s="72">
        <v>19.86</v>
      </c>
      <c r="J756" s="73">
        <v>0.05</v>
      </c>
      <c r="K756" s="72">
        <v>0.99099999999999999</v>
      </c>
      <c r="L756" s="54"/>
      <c r="M756" s="54"/>
      <c r="N756" s="72">
        <v>12</v>
      </c>
      <c r="O756" s="72">
        <v>78</v>
      </c>
      <c r="P756" s="54"/>
      <c r="Q756" s="65">
        <v>8703</v>
      </c>
      <c r="R756" s="54" t="s">
        <v>676</v>
      </c>
      <c r="S756" s="54">
        <v>2019</v>
      </c>
      <c r="T756" s="61">
        <v>0.23799999999999999</v>
      </c>
      <c r="U756" s="69">
        <f t="shared" si="86"/>
        <v>2071.3139999999999</v>
      </c>
      <c r="V756" s="70">
        <f t="shared" si="87"/>
        <v>104.29577039274923</v>
      </c>
      <c r="W756" s="15">
        <f t="shared" si="46"/>
        <v>0</v>
      </c>
      <c r="X756" s="15">
        <f t="shared" si="47"/>
        <v>0</v>
      </c>
      <c r="Y756" s="15">
        <f t="shared" si="48"/>
        <v>0</v>
      </c>
      <c r="Z756" s="13">
        <f t="shared" si="49"/>
        <v>0</v>
      </c>
      <c r="AA756" s="16">
        <f>VLOOKUP(S756,[1]CPI!$A$2:$D$67,4,0)</f>
        <v>1.0598966584134211</v>
      </c>
      <c r="AB756" s="17">
        <f t="shared" si="88"/>
        <v>2195.3787871249365</v>
      </c>
      <c r="AC756" s="17">
        <f t="shared" si="89"/>
        <v>110.54273852592833</v>
      </c>
      <c r="AD756" s="54"/>
      <c r="AE756" s="46" t="s">
        <v>1440</v>
      </c>
      <c r="AF756" s="54"/>
      <c r="AG756" s="54"/>
      <c r="AH756" s="54"/>
      <c r="AI756" s="54"/>
      <c r="AJ756" s="82"/>
      <c r="AK756" s="82"/>
      <c r="AL756" s="82"/>
      <c r="AM756" s="82"/>
      <c r="AN756" s="82"/>
      <c r="AO756" s="82"/>
      <c r="AP756" s="82"/>
      <c r="AQ756" s="82"/>
    </row>
    <row r="757" spans="1:43" ht="15.75" customHeight="1" x14ac:dyDescent="0.2">
      <c r="A757" s="54"/>
      <c r="B757" s="54" t="s">
        <v>672</v>
      </c>
      <c r="C757" s="54" t="s">
        <v>949</v>
      </c>
      <c r="D757" s="54"/>
      <c r="E757" s="54" t="s">
        <v>103</v>
      </c>
      <c r="F757" s="72">
        <v>2018</v>
      </c>
      <c r="G757" s="54"/>
      <c r="H757" s="72">
        <v>0</v>
      </c>
      <c r="I757" s="72">
        <v>30.523</v>
      </c>
      <c r="J757" s="73">
        <v>1</v>
      </c>
      <c r="K757" s="72">
        <v>30.523</v>
      </c>
      <c r="L757" s="54"/>
      <c r="M757" s="54"/>
      <c r="N757" s="72">
        <v>25</v>
      </c>
      <c r="O757" s="72">
        <v>138</v>
      </c>
      <c r="P757" s="54"/>
      <c r="Q757" s="65">
        <v>24300</v>
      </c>
      <c r="R757" s="54" t="s">
        <v>676</v>
      </c>
      <c r="S757" s="54">
        <v>2018</v>
      </c>
      <c r="T757" s="15">
        <v>0.23699999999999999</v>
      </c>
      <c r="U757" s="69">
        <f t="shared" si="86"/>
        <v>5759.0999999999995</v>
      </c>
      <c r="V757" s="70">
        <f t="shared" si="87"/>
        <v>188.68066703797135</v>
      </c>
      <c r="W757" s="15">
        <f t="shared" si="46"/>
        <v>0</v>
      </c>
      <c r="X757" s="15">
        <f t="shared" si="47"/>
        <v>0</v>
      </c>
      <c r="Y757" s="15">
        <f t="shared" si="48"/>
        <v>0</v>
      </c>
      <c r="Z757" s="13">
        <f t="shared" si="49"/>
        <v>0</v>
      </c>
      <c r="AA757" s="16">
        <f>VLOOKUP(S757,[1]CPI!$A$2:$D$67,4,0)</f>
        <v>1.0791017375063221</v>
      </c>
      <c r="AB757" s="17">
        <f t="shared" si="88"/>
        <v>6214.6548164726591</v>
      </c>
      <c r="AC757" s="17">
        <f t="shared" si="89"/>
        <v>203.60563563452672</v>
      </c>
      <c r="AD757" s="54"/>
      <c r="AE757" s="46" t="s">
        <v>1441</v>
      </c>
      <c r="AF757" s="54"/>
      <c r="AG757" s="54"/>
      <c r="AH757" s="54"/>
      <c r="AI757" s="54"/>
      <c r="AJ757" s="82"/>
      <c r="AK757" s="82"/>
      <c r="AL757" s="82"/>
      <c r="AM757" s="82"/>
      <c r="AN757" s="82"/>
      <c r="AO757" s="82"/>
      <c r="AP757" s="82"/>
      <c r="AQ757" s="82"/>
    </row>
    <row r="758" spans="1:43" ht="15.75" customHeight="1" x14ac:dyDescent="0.2">
      <c r="A758" s="54"/>
      <c r="B758" s="54" t="s">
        <v>672</v>
      </c>
      <c r="C758" s="54" t="s">
        <v>1442</v>
      </c>
      <c r="D758" s="9" t="s">
        <v>1443</v>
      </c>
      <c r="E758" s="54" t="s">
        <v>1444</v>
      </c>
      <c r="F758" s="72">
        <v>2021</v>
      </c>
      <c r="G758" s="54"/>
      <c r="H758" s="72">
        <v>0</v>
      </c>
      <c r="I758" s="72">
        <v>6</v>
      </c>
      <c r="J758" s="73">
        <v>0</v>
      </c>
      <c r="K758" s="72">
        <v>0</v>
      </c>
      <c r="L758" s="54"/>
      <c r="M758" s="54"/>
      <c r="N758" s="72">
        <v>1</v>
      </c>
      <c r="O758" s="72">
        <v>92</v>
      </c>
      <c r="P758" s="54"/>
      <c r="Q758" s="65">
        <v>1879</v>
      </c>
      <c r="R758" s="54" t="s">
        <v>676</v>
      </c>
      <c r="S758" s="54">
        <v>2021</v>
      </c>
      <c r="T758" s="61">
        <v>0.23900000000000099</v>
      </c>
      <c r="U758" s="69">
        <f t="shared" si="86"/>
        <v>449.08100000000184</v>
      </c>
      <c r="V758" s="70">
        <f t="shared" si="87"/>
        <v>74.846833333333635</v>
      </c>
      <c r="W758" s="15">
        <f t="shared" si="46"/>
        <v>0</v>
      </c>
      <c r="X758" s="15">
        <f t="shared" si="47"/>
        <v>0</v>
      </c>
      <c r="Y758" s="15">
        <f t="shared" si="48"/>
        <v>0</v>
      </c>
      <c r="Z758" s="13">
        <f t="shared" si="49"/>
        <v>0</v>
      </c>
      <c r="AA758" s="16">
        <f>VLOOKUP(S758,[1]CPI!$A$2:$D$67,4,0)</f>
        <v>1</v>
      </c>
      <c r="AB758" s="17">
        <f t="shared" si="88"/>
        <v>449.08100000000184</v>
      </c>
      <c r="AC758" s="17">
        <f t="shared" si="89"/>
        <v>74.846833333333635</v>
      </c>
      <c r="AD758" s="54"/>
      <c r="AE758" s="46" t="s">
        <v>1445</v>
      </c>
      <c r="AF758" s="54"/>
      <c r="AG758" s="54"/>
      <c r="AH758" s="54"/>
      <c r="AI758" s="54"/>
      <c r="AJ758" s="82"/>
      <c r="AK758" s="82"/>
      <c r="AL758" s="82"/>
      <c r="AM758" s="82"/>
      <c r="AN758" s="82"/>
      <c r="AO758" s="82"/>
      <c r="AP758" s="82"/>
      <c r="AQ758" s="82"/>
    </row>
    <row r="759" spans="1:43" ht="15.75" customHeight="1" x14ac:dyDescent="0.2">
      <c r="A759" s="54"/>
      <c r="B759" s="54" t="s">
        <v>672</v>
      </c>
      <c r="C759" s="54" t="s">
        <v>1442</v>
      </c>
      <c r="D759" s="9" t="s">
        <v>1443</v>
      </c>
      <c r="E759" s="54" t="s">
        <v>1446</v>
      </c>
      <c r="F759" s="72">
        <v>2021</v>
      </c>
      <c r="G759" s="54"/>
      <c r="H759" s="72">
        <v>0</v>
      </c>
      <c r="I759" s="72">
        <v>11.75</v>
      </c>
      <c r="J759" s="73">
        <v>0</v>
      </c>
      <c r="K759" s="72">
        <v>0</v>
      </c>
      <c r="L759" s="54"/>
      <c r="M759" s="54"/>
      <c r="N759" s="72">
        <v>3</v>
      </c>
      <c r="O759" s="72">
        <v>92</v>
      </c>
      <c r="P759" s="54"/>
      <c r="Q759" s="65">
        <v>3996</v>
      </c>
      <c r="R759" s="54" t="s">
        <v>676</v>
      </c>
      <c r="S759" s="54">
        <v>2021</v>
      </c>
      <c r="T759" s="61">
        <v>0.23900000000000099</v>
      </c>
      <c r="U759" s="69">
        <f t="shared" si="86"/>
        <v>955.04400000000396</v>
      </c>
      <c r="V759" s="70">
        <f t="shared" si="87"/>
        <v>81.280340425532259</v>
      </c>
      <c r="W759" s="15">
        <f t="shared" si="46"/>
        <v>0</v>
      </c>
      <c r="X759" s="15">
        <f t="shared" si="47"/>
        <v>0</v>
      </c>
      <c r="Y759" s="15">
        <f t="shared" si="48"/>
        <v>0</v>
      </c>
      <c r="Z759" s="13">
        <f t="shared" si="49"/>
        <v>0</v>
      </c>
      <c r="AA759" s="16">
        <f>VLOOKUP(S759,[1]CPI!$A$2:$D$67,4,0)</f>
        <v>1</v>
      </c>
      <c r="AB759" s="17">
        <f t="shared" si="88"/>
        <v>955.04400000000396</v>
      </c>
      <c r="AC759" s="17">
        <f t="shared" si="89"/>
        <v>81.280340425532259</v>
      </c>
      <c r="AD759" s="54"/>
      <c r="AE759" s="46" t="s">
        <v>1445</v>
      </c>
      <c r="AF759" s="54"/>
      <c r="AG759" s="54"/>
      <c r="AH759" s="54"/>
      <c r="AI759" s="54"/>
      <c r="AJ759" s="82"/>
      <c r="AK759" s="82"/>
      <c r="AL759" s="82"/>
      <c r="AM759" s="82"/>
      <c r="AN759" s="82"/>
      <c r="AO759" s="82"/>
      <c r="AP759" s="82"/>
      <c r="AQ759" s="82"/>
    </row>
    <row r="760" spans="1:43" ht="15.75" customHeight="1" x14ac:dyDescent="0.2">
      <c r="A760" s="54"/>
      <c r="B760" s="54" t="s">
        <v>672</v>
      </c>
      <c r="C760" s="54" t="s">
        <v>1442</v>
      </c>
      <c r="D760" s="9" t="s">
        <v>1443</v>
      </c>
      <c r="E760" s="54" t="s">
        <v>1443</v>
      </c>
      <c r="F760" s="72">
        <v>2021</v>
      </c>
      <c r="G760" s="54"/>
      <c r="H760" s="72">
        <v>0</v>
      </c>
      <c r="I760" s="72">
        <v>66.3</v>
      </c>
      <c r="J760" s="73">
        <v>0.28000000000000003</v>
      </c>
      <c r="K760" s="72">
        <v>18.649999999999999</v>
      </c>
      <c r="L760" s="54"/>
      <c r="M760" s="54"/>
      <c r="N760" s="72">
        <v>22</v>
      </c>
      <c r="O760" s="72">
        <v>92</v>
      </c>
      <c r="P760" s="54"/>
      <c r="Q760" s="65">
        <v>30800</v>
      </c>
      <c r="R760" s="54" t="s">
        <v>676</v>
      </c>
      <c r="S760" s="54">
        <v>2021</v>
      </c>
      <c r="T760" s="61">
        <v>0.23900000000000099</v>
      </c>
      <c r="U760" s="69">
        <f t="shared" si="86"/>
        <v>7361.2000000000307</v>
      </c>
      <c r="V760" s="70">
        <f t="shared" si="87"/>
        <v>111.02865761689338</v>
      </c>
      <c r="W760" s="15">
        <f t="shared" si="46"/>
        <v>0</v>
      </c>
      <c r="X760" s="15">
        <f t="shared" si="47"/>
        <v>0</v>
      </c>
      <c r="Y760" s="15">
        <f t="shared" si="48"/>
        <v>0</v>
      </c>
      <c r="Z760" s="13">
        <f t="shared" si="49"/>
        <v>0</v>
      </c>
      <c r="AA760" s="16">
        <f>VLOOKUP(S760,[1]CPI!$A$2:$D$67,4,0)</f>
        <v>1</v>
      </c>
      <c r="AB760" s="17">
        <f t="shared" si="88"/>
        <v>7361.2000000000307</v>
      </c>
      <c r="AC760" s="17">
        <f t="shared" si="89"/>
        <v>111.02865761689338</v>
      </c>
      <c r="AD760" s="54"/>
      <c r="AE760" s="80" t="s">
        <v>1447</v>
      </c>
      <c r="AF760" s="81"/>
      <c r="AG760" s="54"/>
      <c r="AH760" s="54"/>
      <c r="AI760" s="54"/>
      <c r="AJ760" s="82"/>
      <c r="AK760" s="82"/>
      <c r="AL760" s="82"/>
      <c r="AM760" s="82"/>
      <c r="AN760" s="82"/>
      <c r="AO760" s="82"/>
      <c r="AP760" s="82"/>
      <c r="AQ760" s="82"/>
    </row>
    <row r="761" spans="1:43" ht="15.75" customHeight="1" x14ac:dyDescent="0.2">
      <c r="A761" s="54"/>
      <c r="B761" s="54" t="s">
        <v>672</v>
      </c>
      <c r="C761" s="54" t="s">
        <v>1442</v>
      </c>
      <c r="D761" s="54"/>
      <c r="E761" s="54" t="s">
        <v>948</v>
      </c>
      <c r="F761" s="72">
        <v>2022</v>
      </c>
      <c r="G761" s="54"/>
      <c r="H761" s="72">
        <v>1</v>
      </c>
      <c r="I761" s="72">
        <v>52.4</v>
      </c>
      <c r="J761" s="73">
        <v>0.34</v>
      </c>
      <c r="K761" s="72">
        <v>17.8</v>
      </c>
      <c r="L761" s="54"/>
      <c r="M761" s="54"/>
      <c r="N761" s="72">
        <v>15</v>
      </c>
      <c r="O761" s="72">
        <v>92</v>
      </c>
      <c r="P761" s="54"/>
      <c r="Q761" s="65">
        <v>21237</v>
      </c>
      <c r="R761" s="54" t="s">
        <v>676</v>
      </c>
      <c r="S761" s="54">
        <v>2021</v>
      </c>
      <c r="T761" s="61">
        <v>0.23900000000000099</v>
      </c>
      <c r="U761" s="69">
        <f t="shared" si="86"/>
        <v>5075.6430000000209</v>
      </c>
      <c r="V761" s="70">
        <f t="shared" si="87"/>
        <v>96.863416030534751</v>
      </c>
      <c r="W761" s="15">
        <f t="shared" si="46"/>
        <v>0</v>
      </c>
      <c r="X761" s="15">
        <f t="shared" si="47"/>
        <v>0</v>
      </c>
      <c r="Y761" s="15">
        <f t="shared" si="48"/>
        <v>0</v>
      </c>
      <c r="Z761" s="13">
        <f t="shared" si="49"/>
        <v>0</v>
      </c>
      <c r="AA761" s="16">
        <f>VLOOKUP(S761,[1]CPI!$A$2:$D$67,4,0)</f>
        <v>1</v>
      </c>
      <c r="AB761" s="17">
        <f t="shared" si="88"/>
        <v>5075.6430000000209</v>
      </c>
      <c r="AC761" s="17">
        <f t="shared" si="89"/>
        <v>96.863416030534751</v>
      </c>
      <c r="AD761" s="54"/>
      <c r="AE761" s="46" t="s">
        <v>1448</v>
      </c>
      <c r="AF761" s="84" t="s">
        <v>1449</v>
      </c>
      <c r="AG761" s="85"/>
      <c r="AH761" s="54"/>
      <c r="AI761" s="54"/>
      <c r="AJ761" s="82"/>
      <c r="AK761" s="82"/>
      <c r="AL761" s="82"/>
      <c r="AM761" s="82"/>
      <c r="AN761" s="82"/>
      <c r="AO761" s="82"/>
      <c r="AP761" s="82"/>
      <c r="AQ761" s="82"/>
    </row>
    <row r="762" spans="1:43" ht="15.75" customHeight="1" x14ac:dyDescent="0.2">
      <c r="A762" s="54"/>
      <c r="B762" s="54" t="s">
        <v>672</v>
      </c>
      <c r="C762" s="54" t="s">
        <v>729</v>
      </c>
      <c r="D762" s="54"/>
      <c r="E762" s="54" t="s">
        <v>1450</v>
      </c>
      <c r="F762" s="72">
        <v>2013</v>
      </c>
      <c r="G762" s="72">
        <v>2020</v>
      </c>
      <c r="H762" s="72">
        <v>0</v>
      </c>
      <c r="I762" s="72">
        <v>67</v>
      </c>
      <c r="J762" s="73">
        <v>0.9</v>
      </c>
      <c r="K762" s="72">
        <v>60.6</v>
      </c>
      <c r="L762" s="54"/>
      <c r="M762" s="54"/>
      <c r="N762" s="54"/>
      <c r="O762" s="72">
        <v>117</v>
      </c>
      <c r="P762" s="54" t="s">
        <v>43</v>
      </c>
      <c r="Q762" s="65">
        <v>44328</v>
      </c>
      <c r="R762" s="54" t="s">
        <v>676</v>
      </c>
      <c r="S762" s="54">
        <v>2017</v>
      </c>
      <c r="T762" s="15">
        <v>0.23899999999999999</v>
      </c>
      <c r="U762" s="69">
        <f t="shared" si="86"/>
        <v>10594.392</v>
      </c>
      <c r="V762" s="70">
        <f t="shared" si="87"/>
        <v>158.12525373134329</v>
      </c>
      <c r="W762" s="15">
        <f t="shared" si="46"/>
        <v>0</v>
      </c>
      <c r="X762" s="15">
        <f t="shared" si="47"/>
        <v>0</v>
      </c>
      <c r="Y762" s="15">
        <f t="shared" si="48"/>
        <v>0</v>
      </c>
      <c r="Z762" s="13">
        <f t="shared" si="49"/>
        <v>0</v>
      </c>
      <c r="AA762" s="16">
        <f>VLOOKUP(S762,[1]CPI!$A$2:$D$67,4,0)</f>
        <v>1.1054585509138382</v>
      </c>
      <c r="AB762" s="17">
        <f t="shared" si="88"/>
        <v>11711.66122813316</v>
      </c>
      <c r="AC762" s="17">
        <f t="shared" si="89"/>
        <v>174.80091385273374</v>
      </c>
      <c r="AD762" s="54" t="s">
        <v>43</v>
      </c>
      <c r="AE762" s="46" t="s">
        <v>1451</v>
      </c>
      <c r="AF762" s="80" t="s">
        <v>1452</v>
      </c>
      <c r="AG762" s="81"/>
      <c r="AH762" s="81"/>
      <c r="AI762" s="81"/>
      <c r="AJ762" s="82"/>
      <c r="AK762" s="82"/>
      <c r="AL762" s="82"/>
      <c r="AM762" s="82"/>
      <c r="AN762" s="82"/>
      <c r="AO762" s="82"/>
      <c r="AP762" s="82"/>
      <c r="AQ762" s="82"/>
    </row>
    <row r="763" spans="1:43" ht="15.75" customHeight="1" x14ac:dyDescent="0.2">
      <c r="A763" s="54"/>
      <c r="B763" s="54" t="s">
        <v>672</v>
      </c>
      <c r="C763" s="54" t="s">
        <v>729</v>
      </c>
      <c r="D763" s="54"/>
      <c r="E763" s="54" t="s">
        <v>92</v>
      </c>
      <c r="F763" s="72">
        <v>2014</v>
      </c>
      <c r="G763" s="72">
        <v>2019</v>
      </c>
      <c r="H763" s="72">
        <v>0</v>
      </c>
      <c r="I763" s="72">
        <v>21.966999999999999</v>
      </c>
      <c r="J763" s="73">
        <v>0.96</v>
      </c>
      <c r="K763" s="72">
        <v>20.995999999999999</v>
      </c>
      <c r="L763" s="54"/>
      <c r="M763" s="54"/>
      <c r="N763" s="72">
        <v>18</v>
      </c>
      <c r="O763" s="72">
        <v>117</v>
      </c>
      <c r="P763" s="54" t="s">
        <v>43</v>
      </c>
      <c r="Q763" s="65">
        <v>16278</v>
      </c>
      <c r="R763" s="54" t="s">
        <v>676</v>
      </c>
      <c r="S763" s="54">
        <v>2017</v>
      </c>
      <c r="T763" s="15">
        <v>0.23899999999999999</v>
      </c>
      <c r="U763" s="69">
        <f t="shared" si="86"/>
        <v>3890.442</v>
      </c>
      <c r="V763" s="70">
        <f t="shared" si="87"/>
        <v>177.10392862020305</v>
      </c>
      <c r="W763" s="15">
        <f t="shared" si="46"/>
        <v>0</v>
      </c>
      <c r="X763" s="15">
        <f t="shared" si="47"/>
        <v>0</v>
      </c>
      <c r="Y763" s="15">
        <f t="shared" si="48"/>
        <v>0</v>
      </c>
      <c r="Z763" s="13">
        <f t="shared" si="49"/>
        <v>0</v>
      </c>
      <c r="AA763" s="16">
        <f>VLOOKUP(S763,[1]CPI!$A$2:$D$67,4,0)</f>
        <v>1.1054585509138382</v>
      </c>
      <c r="AB763" s="17">
        <f t="shared" si="88"/>
        <v>4300.7223757343345</v>
      </c>
      <c r="AC763" s="17">
        <f t="shared" si="89"/>
        <v>195.78105229363749</v>
      </c>
      <c r="AD763" s="54" t="s">
        <v>73</v>
      </c>
      <c r="AE763" s="46" t="s">
        <v>1453</v>
      </c>
      <c r="AF763" s="80" t="s">
        <v>1454</v>
      </c>
      <c r="AG763" s="81"/>
      <c r="AH763" s="81"/>
      <c r="AI763" s="81"/>
      <c r="AJ763" s="82"/>
      <c r="AK763" s="82"/>
      <c r="AL763" s="82"/>
      <c r="AM763" s="82"/>
      <c r="AN763" s="82"/>
      <c r="AO763" s="82"/>
      <c r="AP763" s="82"/>
      <c r="AQ763" s="82"/>
    </row>
    <row r="764" spans="1:43" ht="15.75" customHeight="1" x14ac:dyDescent="0.2">
      <c r="A764" s="54"/>
      <c r="B764" s="54" t="s">
        <v>672</v>
      </c>
      <c r="C764" s="54" t="s">
        <v>729</v>
      </c>
      <c r="D764" s="54"/>
      <c r="E764" s="54" t="s">
        <v>99</v>
      </c>
      <c r="F764" s="72">
        <v>2020</v>
      </c>
      <c r="G764" s="54"/>
      <c r="H764" s="72">
        <v>0</v>
      </c>
      <c r="I764" s="72">
        <v>24.15</v>
      </c>
      <c r="J764" s="73">
        <v>1</v>
      </c>
      <c r="K764" s="72">
        <v>24.15</v>
      </c>
      <c r="L764" s="54"/>
      <c r="M764" s="54"/>
      <c r="N764" s="72">
        <v>20</v>
      </c>
      <c r="O764" s="72">
        <v>117</v>
      </c>
      <c r="P764" s="54" t="s">
        <v>73</v>
      </c>
      <c r="Q764" s="65">
        <v>16957</v>
      </c>
      <c r="R764" s="54" t="s">
        <v>676</v>
      </c>
      <c r="S764" s="54">
        <v>2020</v>
      </c>
      <c r="T764" s="61">
        <v>0.23899999999999999</v>
      </c>
      <c r="U764" s="69">
        <f t="shared" si="86"/>
        <v>4052.723</v>
      </c>
      <c r="V764" s="70">
        <f t="shared" si="87"/>
        <v>167.81461697722568</v>
      </c>
      <c r="W764" s="15">
        <f t="shared" si="46"/>
        <v>0</v>
      </c>
      <c r="X764" s="15">
        <f t="shared" si="47"/>
        <v>0</v>
      </c>
      <c r="Y764" s="15">
        <f t="shared" si="48"/>
        <v>0</v>
      </c>
      <c r="Z764" s="13">
        <f t="shared" si="49"/>
        <v>0</v>
      </c>
      <c r="AA764" s="16">
        <f>VLOOKUP(S764,[1]CPI!$A$2:$D$67,4,0)</f>
        <v>1.0469802288156225</v>
      </c>
      <c r="AB764" s="17">
        <f t="shared" si="88"/>
        <v>4243.1208538663359</v>
      </c>
      <c r="AC764" s="17">
        <f t="shared" si="89"/>
        <v>175.69858608142178</v>
      </c>
      <c r="AD764" s="54" t="s">
        <v>73</v>
      </c>
      <c r="AE764" s="46" t="s">
        <v>1455</v>
      </c>
      <c r="AF764" s="54"/>
      <c r="AG764" s="54"/>
      <c r="AH764" s="54"/>
      <c r="AI764" s="54"/>
      <c r="AJ764" s="82"/>
      <c r="AK764" s="82"/>
      <c r="AL764" s="82"/>
      <c r="AM764" s="82"/>
      <c r="AN764" s="82"/>
      <c r="AO764" s="82"/>
      <c r="AP764" s="82"/>
      <c r="AQ764" s="82"/>
    </row>
    <row r="765" spans="1:43" ht="15.75" customHeight="1" x14ac:dyDescent="0.2">
      <c r="A765" s="54"/>
      <c r="B765" s="54" t="s">
        <v>672</v>
      </c>
      <c r="C765" s="54" t="s">
        <v>729</v>
      </c>
      <c r="D765" s="54" t="s">
        <v>103</v>
      </c>
      <c r="E765" s="54" t="s">
        <v>103</v>
      </c>
      <c r="F765" s="72">
        <v>2021</v>
      </c>
      <c r="G765" s="54"/>
      <c r="H765" s="72">
        <v>0</v>
      </c>
      <c r="I765" s="72">
        <v>18.3</v>
      </c>
      <c r="J765" s="73">
        <v>1</v>
      </c>
      <c r="K765" s="72">
        <v>18.3</v>
      </c>
      <c r="L765" s="54"/>
      <c r="M765" s="54"/>
      <c r="N765" s="72">
        <v>16</v>
      </c>
      <c r="O765" s="72">
        <v>117</v>
      </c>
      <c r="P765" s="54" t="s">
        <v>73</v>
      </c>
      <c r="Q765" s="65">
        <v>13526</v>
      </c>
      <c r="R765" s="54" t="s">
        <v>676</v>
      </c>
      <c r="S765" s="54">
        <v>2021</v>
      </c>
      <c r="T765" s="61">
        <v>0.23900000000000099</v>
      </c>
      <c r="U765" s="69">
        <f t="shared" si="86"/>
        <v>3232.7140000000136</v>
      </c>
      <c r="V765" s="70">
        <f t="shared" si="87"/>
        <v>176.65103825136686</v>
      </c>
      <c r="W765" s="15">
        <f t="shared" si="46"/>
        <v>0</v>
      </c>
      <c r="X765" s="15">
        <f t="shared" si="47"/>
        <v>0</v>
      </c>
      <c r="Y765" s="15">
        <f t="shared" si="48"/>
        <v>0</v>
      </c>
      <c r="Z765" s="13">
        <f t="shared" si="49"/>
        <v>0</v>
      </c>
      <c r="AA765" s="16">
        <f>VLOOKUP(S765,[1]CPI!$A$2:$D$67,4,0)</f>
        <v>1</v>
      </c>
      <c r="AB765" s="17">
        <f t="shared" si="88"/>
        <v>3232.7140000000136</v>
      </c>
      <c r="AC765" s="17">
        <f t="shared" si="89"/>
        <v>176.65103825136686</v>
      </c>
      <c r="AD765" s="54" t="s">
        <v>73</v>
      </c>
      <c r="AE765" s="46" t="s">
        <v>1456</v>
      </c>
      <c r="AF765" s="54"/>
      <c r="AG765" s="54"/>
      <c r="AH765" s="54"/>
      <c r="AI765" s="54"/>
      <c r="AJ765" s="82"/>
      <c r="AK765" s="82"/>
      <c r="AL765" s="82"/>
      <c r="AM765" s="82"/>
      <c r="AN765" s="82"/>
      <c r="AO765" s="82"/>
      <c r="AP765" s="82"/>
      <c r="AQ765" s="82"/>
    </row>
    <row r="766" spans="1:43" ht="15.75" customHeight="1" x14ac:dyDescent="0.2">
      <c r="A766" s="54"/>
      <c r="B766" s="54" t="s">
        <v>672</v>
      </c>
      <c r="C766" s="54" t="s">
        <v>863</v>
      </c>
      <c r="D766" s="54"/>
      <c r="E766" s="54" t="s">
        <v>698</v>
      </c>
      <c r="F766" s="72">
        <v>2010</v>
      </c>
      <c r="G766" s="72">
        <v>2016</v>
      </c>
      <c r="H766" s="72">
        <v>0</v>
      </c>
      <c r="I766" s="72">
        <v>18.27</v>
      </c>
      <c r="J766" s="73">
        <v>1</v>
      </c>
      <c r="K766" s="72">
        <v>18.27</v>
      </c>
      <c r="L766" s="54"/>
      <c r="M766" s="54"/>
      <c r="N766" s="72">
        <v>16</v>
      </c>
      <c r="O766" s="72">
        <v>117</v>
      </c>
      <c r="P766" s="54" t="s">
        <v>43</v>
      </c>
      <c r="Q766" s="65">
        <v>10408</v>
      </c>
      <c r="R766" s="54" t="s">
        <v>676</v>
      </c>
      <c r="S766" s="54">
        <v>2013</v>
      </c>
      <c r="T766" s="15">
        <v>0.27300000000000002</v>
      </c>
      <c r="U766" s="69">
        <f t="shared" si="86"/>
        <v>2841.384</v>
      </c>
      <c r="V766" s="70">
        <f t="shared" si="87"/>
        <v>155.52183908045978</v>
      </c>
      <c r="W766" s="15">
        <f t="shared" si="46"/>
        <v>0</v>
      </c>
      <c r="X766" s="15">
        <f t="shared" si="47"/>
        <v>0</v>
      </c>
      <c r="Y766" s="15">
        <f t="shared" si="48"/>
        <v>0</v>
      </c>
      <c r="Z766" s="13">
        <f t="shared" si="49"/>
        <v>0</v>
      </c>
      <c r="AA766" s="16">
        <f>VLOOKUP(S766,[1]CPI!$A$2:$D$67,4,0)</f>
        <v>1.16317603677932</v>
      </c>
      <c r="AB766" s="17">
        <f t="shared" si="88"/>
        <v>3305.0297800881713</v>
      </c>
      <c r="AC766" s="17">
        <f t="shared" si="89"/>
        <v>180.89927641424038</v>
      </c>
      <c r="AD766" s="54" t="s">
        <v>43</v>
      </c>
      <c r="AE766" s="84" t="s">
        <v>1457</v>
      </c>
      <c r="AF766" s="54"/>
      <c r="AG766" s="54"/>
      <c r="AH766" s="54"/>
      <c r="AI766" s="54"/>
      <c r="AJ766" s="82"/>
      <c r="AK766" s="82"/>
      <c r="AL766" s="82"/>
      <c r="AM766" s="82"/>
      <c r="AN766" s="82"/>
      <c r="AO766" s="82"/>
      <c r="AP766" s="82"/>
      <c r="AQ766" s="82"/>
    </row>
    <row r="767" spans="1:43" ht="15.75" customHeight="1" x14ac:dyDescent="0.2">
      <c r="A767" s="54"/>
      <c r="B767" s="54" t="s">
        <v>672</v>
      </c>
      <c r="C767" s="54" t="s">
        <v>863</v>
      </c>
      <c r="D767" s="54"/>
      <c r="E767" s="54" t="s">
        <v>679</v>
      </c>
      <c r="F767" s="72">
        <v>2009</v>
      </c>
      <c r="G767" s="72">
        <v>2013</v>
      </c>
      <c r="H767" s="72">
        <v>0</v>
      </c>
      <c r="I767" s="72">
        <v>25.2</v>
      </c>
      <c r="J767" s="73">
        <v>1</v>
      </c>
      <c r="K767" s="72">
        <v>25.2</v>
      </c>
      <c r="L767" s="54"/>
      <c r="M767" s="54"/>
      <c r="N767" s="72">
        <v>20</v>
      </c>
      <c r="O767" s="72">
        <v>117</v>
      </c>
      <c r="P767" s="54" t="s">
        <v>43</v>
      </c>
      <c r="Q767" s="65">
        <v>14335.5</v>
      </c>
      <c r="R767" s="54" t="s">
        <v>676</v>
      </c>
      <c r="S767" s="54">
        <v>2011</v>
      </c>
      <c r="T767" s="15">
        <v>0.28399999999999997</v>
      </c>
      <c r="U767" s="69">
        <f t="shared" si="86"/>
        <v>4071.2819999999997</v>
      </c>
      <c r="V767" s="70">
        <f t="shared" si="87"/>
        <v>161.55880952380951</v>
      </c>
      <c r="W767" s="15">
        <f t="shared" ref="W767:W910" si="90">IF(OR(B767 = "BG",B767 = "GR",B767 = "IT",B767 = "ES",B767 = "PT",B767 = "TR", B767 = "KR",B767 = "SE",B767 = "CH",B767 = "NO",B767 = "DK",B767 = "FI"), 1, 0)</f>
        <v>0</v>
      </c>
      <c r="X767" s="15">
        <f t="shared" ref="X767:X910" si="91">W767*I767</f>
        <v>0</v>
      </c>
      <c r="Y767" s="15">
        <f t="shared" ref="Y767:Y910" si="92">W767*K767</f>
        <v>0</v>
      </c>
      <c r="Z767" s="13">
        <f t="shared" ref="Z767:Z909" si="93">IF(OR(B767 = "US",B767 = "CA",B767 = "UK",B767 = "NZ",B767 = "AU",B767 = "SG"), 1, 0)</f>
        <v>0</v>
      </c>
      <c r="AA767" s="16">
        <f>VLOOKUP(S767,[1]CPI!$A$2:$D$67,4,0)</f>
        <v>1.2046377017769263</v>
      </c>
      <c r="AB767" s="17">
        <f t="shared" si="88"/>
        <v>4904.4197917657675</v>
      </c>
      <c r="AC767" s="17">
        <f t="shared" si="89"/>
        <v>194.61983300657809</v>
      </c>
      <c r="AD767" s="54" t="s">
        <v>43</v>
      </c>
      <c r="AE767" s="46" t="s">
        <v>1458</v>
      </c>
      <c r="AF767" s="54"/>
      <c r="AG767" s="54"/>
      <c r="AH767" s="54"/>
      <c r="AI767" s="54"/>
      <c r="AJ767" s="82"/>
      <c r="AK767" s="82"/>
      <c r="AL767" s="82"/>
      <c r="AM767" s="82"/>
      <c r="AN767" s="82"/>
      <c r="AO767" s="82"/>
      <c r="AP767" s="82"/>
      <c r="AQ767" s="82"/>
    </row>
    <row r="768" spans="1:43" ht="15.75" customHeight="1" x14ac:dyDescent="0.2">
      <c r="A768" s="54"/>
      <c r="B768" s="54" t="s">
        <v>672</v>
      </c>
      <c r="C768" s="54" t="s">
        <v>863</v>
      </c>
      <c r="D768" s="9" t="s">
        <v>1459</v>
      </c>
      <c r="E768" s="54" t="s">
        <v>1460</v>
      </c>
      <c r="F768" s="54"/>
      <c r="G768" s="72">
        <v>2022</v>
      </c>
      <c r="H768" s="72">
        <v>1</v>
      </c>
      <c r="I768" s="72">
        <v>33.78</v>
      </c>
      <c r="J768" s="73">
        <v>0.12</v>
      </c>
      <c r="K768" s="72">
        <v>4.016</v>
      </c>
      <c r="L768" s="54"/>
      <c r="M768" s="54"/>
      <c r="N768" s="72">
        <v>11</v>
      </c>
      <c r="O768" s="72">
        <v>117</v>
      </c>
      <c r="P768" s="54" t="s">
        <v>73</v>
      </c>
      <c r="Q768" s="65">
        <v>9879</v>
      </c>
      <c r="R768" s="54" t="s">
        <v>676</v>
      </c>
      <c r="S768" s="54">
        <v>2021</v>
      </c>
      <c r="T768" s="61">
        <v>0.23900000000000099</v>
      </c>
      <c r="U768" s="69">
        <f t="shared" si="86"/>
        <v>2361.0810000000097</v>
      </c>
      <c r="V768" s="70">
        <f t="shared" si="87"/>
        <v>69.895825932504721</v>
      </c>
      <c r="W768" s="15">
        <f t="shared" si="90"/>
        <v>0</v>
      </c>
      <c r="X768" s="15">
        <f t="shared" si="91"/>
        <v>0</v>
      </c>
      <c r="Y768" s="15">
        <f t="shared" si="92"/>
        <v>0</v>
      </c>
      <c r="Z768" s="13">
        <f t="shared" si="93"/>
        <v>0</v>
      </c>
      <c r="AA768" s="16">
        <f>VLOOKUP(S768,[1]CPI!$A$2:$D$67,4,0)</f>
        <v>1</v>
      </c>
      <c r="AB768" s="17">
        <f t="shared" si="88"/>
        <v>2361.0810000000097</v>
      </c>
      <c r="AC768" s="17">
        <f t="shared" si="89"/>
        <v>69.895825932504721</v>
      </c>
      <c r="AD768" s="54" t="s">
        <v>73</v>
      </c>
      <c r="AE768" s="46" t="s">
        <v>1461</v>
      </c>
      <c r="AF768" s="54"/>
      <c r="AG768" s="54"/>
      <c r="AH768" s="54"/>
      <c r="AI768" s="54"/>
      <c r="AJ768" s="82"/>
      <c r="AK768" s="82"/>
      <c r="AL768" s="82"/>
      <c r="AM768" s="82"/>
      <c r="AN768" s="82"/>
      <c r="AO768" s="82"/>
      <c r="AP768" s="82"/>
      <c r="AQ768" s="82"/>
    </row>
    <row r="769" spans="1:43" ht="15.75" customHeight="1" x14ac:dyDescent="0.2">
      <c r="A769" s="91"/>
      <c r="B769" s="54" t="s">
        <v>672</v>
      </c>
      <c r="C769" s="54" t="s">
        <v>863</v>
      </c>
      <c r="D769" s="9" t="s">
        <v>1459</v>
      </c>
      <c r="E769" s="54" t="s">
        <v>1462</v>
      </c>
      <c r="F769" s="72">
        <v>2020</v>
      </c>
      <c r="G769" s="54"/>
      <c r="H769" s="72">
        <v>1</v>
      </c>
      <c r="I769" s="72">
        <v>31.27</v>
      </c>
      <c r="J769" s="73">
        <v>0.9</v>
      </c>
      <c r="K769" s="72">
        <v>28.18</v>
      </c>
      <c r="L769" s="54"/>
      <c r="M769" s="54"/>
      <c r="N769" s="72">
        <v>15</v>
      </c>
      <c r="O769" s="72">
        <v>117</v>
      </c>
      <c r="P769" s="54" t="s">
        <v>43</v>
      </c>
      <c r="Q769" s="65">
        <v>17867</v>
      </c>
      <c r="R769" s="54" t="s">
        <v>676</v>
      </c>
      <c r="S769" s="54">
        <v>2020</v>
      </c>
      <c r="T769" s="61">
        <v>0.23899999999999999</v>
      </c>
      <c r="U769" s="69">
        <f t="shared" si="86"/>
        <v>4270.2129999999997</v>
      </c>
      <c r="V769" s="70">
        <f t="shared" si="87"/>
        <v>136.55941797249758</v>
      </c>
      <c r="W769" s="15">
        <f t="shared" si="90"/>
        <v>0</v>
      </c>
      <c r="X769" s="15">
        <f t="shared" si="91"/>
        <v>0</v>
      </c>
      <c r="Y769" s="15">
        <f t="shared" si="92"/>
        <v>0</v>
      </c>
      <c r="Z769" s="13">
        <f t="shared" si="93"/>
        <v>0</v>
      </c>
      <c r="AA769" s="16">
        <f>VLOOKUP(S769,[1]CPI!$A$2:$D$67,4,0)</f>
        <v>1.0469802288156225</v>
      </c>
      <c r="AB769" s="17">
        <f t="shared" si="88"/>
        <v>4470.828583831445</v>
      </c>
      <c r="AC769" s="17">
        <f t="shared" si="89"/>
        <v>142.97501067577375</v>
      </c>
      <c r="AD769" s="54" t="s">
        <v>73</v>
      </c>
      <c r="AE769" s="46" t="s">
        <v>1463</v>
      </c>
      <c r="AF769" s="80" t="s">
        <v>1464</v>
      </c>
      <c r="AG769" s="81"/>
      <c r="AH769" s="81"/>
      <c r="AI769" s="81"/>
      <c r="AJ769" s="82"/>
      <c r="AK769" s="82"/>
      <c r="AL769" s="82"/>
      <c r="AM769" s="82"/>
      <c r="AN769" s="82"/>
      <c r="AO769" s="82"/>
      <c r="AP769" s="82"/>
      <c r="AQ769" s="82"/>
    </row>
    <row r="770" spans="1:43" ht="15.75" customHeight="1" x14ac:dyDescent="0.2">
      <c r="A770" s="91"/>
      <c r="B770" s="149" t="s">
        <v>672</v>
      </c>
      <c r="C770" s="54" t="s">
        <v>863</v>
      </c>
      <c r="D770" s="54" t="s">
        <v>103</v>
      </c>
      <c r="E770" s="54" t="s">
        <v>907</v>
      </c>
      <c r="F770" s="72">
        <v>2017</v>
      </c>
      <c r="G770" s="72">
        <v>2020</v>
      </c>
      <c r="H770" s="72">
        <v>0</v>
      </c>
      <c r="I770" s="72">
        <v>25.486999999999998</v>
      </c>
      <c r="J770" s="73">
        <v>1</v>
      </c>
      <c r="K770" s="72">
        <v>25.486999999999998</v>
      </c>
      <c r="L770" s="54"/>
      <c r="M770" s="54"/>
      <c r="N770" s="72">
        <v>21</v>
      </c>
      <c r="O770" s="72">
        <v>138</v>
      </c>
      <c r="P770" s="54" t="s">
        <v>73</v>
      </c>
      <c r="Q770" s="65">
        <v>20608</v>
      </c>
      <c r="R770" s="54" t="s">
        <v>676</v>
      </c>
      <c r="S770" s="54">
        <v>2019</v>
      </c>
      <c r="T770" s="61">
        <v>0.23799999999999999</v>
      </c>
      <c r="U770" s="69">
        <f t="shared" si="86"/>
        <v>4904.7039999999997</v>
      </c>
      <c r="V770" s="70">
        <f t="shared" si="87"/>
        <v>192.4394397143642</v>
      </c>
      <c r="W770" s="15">
        <f t="shared" si="90"/>
        <v>0</v>
      </c>
      <c r="X770" s="15">
        <f t="shared" si="91"/>
        <v>0</v>
      </c>
      <c r="Y770" s="15">
        <f t="shared" si="92"/>
        <v>0</v>
      </c>
      <c r="Z770" s="13">
        <f t="shared" si="93"/>
        <v>0</v>
      </c>
      <c r="AA770" s="16">
        <f>VLOOKUP(S770,[1]CPI!$A$2:$D$67,4,0)</f>
        <v>1.0598966584134211</v>
      </c>
      <c r="AB770" s="17">
        <f t="shared" si="88"/>
        <v>5198.47938010694</v>
      </c>
      <c r="AC770" s="17">
        <f t="shared" si="89"/>
        <v>203.96591910020561</v>
      </c>
      <c r="AD770" s="54" t="s">
        <v>73</v>
      </c>
      <c r="AE770" s="46" t="s">
        <v>1465</v>
      </c>
      <c r="AF770" s="54"/>
      <c r="AG770" s="54"/>
      <c r="AH770" s="54"/>
      <c r="AI770" s="54"/>
      <c r="AJ770" s="82"/>
      <c r="AK770" s="82"/>
      <c r="AL770" s="82"/>
      <c r="AM770" s="82"/>
      <c r="AN770" s="82"/>
      <c r="AO770" s="82"/>
      <c r="AP770" s="82"/>
      <c r="AQ770" s="82"/>
    </row>
    <row r="771" spans="1:43" ht="15.75" customHeight="1" x14ac:dyDescent="0.2">
      <c r="A771" s="91"/>
      <c r="B771" s="54" t="s">
        <v>672</v>
      </c>
      <c r="C771" s="54" t="s">
        <v>673</v>
      </c>
      <c r="D771" s="54" t="s">
        <v>1466</v>
      </c>
      <c r="E771" s="54" t="s">
        <v>1466</v>
      </c>
      <c r="F771" s="72">
        <v>2020</v>
      </c>
      <c r="G771" s="54"/>
      <c r="H771" s="72">
        <v>0</v>
      </c>
      <c r="I771" s="72">
        <v>6.0149999999999997</v>
      </c>
      <c r="J771" s="73">
        <v>0</v>
      </c>
      <c r="K771" s="72">
        <v>0</v>
      </c>
      <c r="L771" s="54"/>
      <c r="M771" s="54"/>
      <c r="N771" s="72">
        <v>3</v>
      </c>
      <c r="O771" s="72">
        <v>117</v>
      </c>
      <c r="P771" s="54"/>
      <c r="Q771" s="65">
        <v>4500</v>
      </c>
      <c r="R771" s="54" t="s">
        <v>676</v>
      </c>
      <c r="S771" s="54">
        <v>2020</v>
      </c>
      <c r="T771" s="61">
        <v>0.23899999999999999</v>
      </c>
      <c r="U771" s="69">
        <f t="shared" si="86"/>
        <v>1075.5</v>
      </c>
      <c r="V771" s="70">
        <f t="shared" si="87"/>
        <v>178.80299251870326</v>
      </c>
      <c r="W771" s="15">
        <f t="shared" si="90"/>
        <v>0</v>
      </c>
      <c r="X771" s="15">
        <f t="shared" si="91"/>
        <v>0</v>
      </c>
      <c r="Y771" s="15">
        <f t="shared" si="92"/>
        <v>0</v>
      </c>
      <c r="Z771" s="13">
        <f t="shared" si="93"/>
        <v>0</v>
      </c>
      <c r="AA771" s="16">
        <f>VLOOKUP(S771,[1]CPI!$A$2:$D$67,4,0)</f>
        <v>1.0469802288156225</v>
      </c>
      <c r="AB771" s="17">
        <f t="shared" si="88"/>
        <v>1126.027236091202</v>
      </c>
      <c r="AC771" s="17">
        <f t="shared" si="89"/>
        <v>187.20319802014998</v>
      </c>
      <c r="AD771" s="54"/>
      <c r="AE771" s="46" t="s">
        <v>1467</v>
      </c>
      <c r="AF771" s="54"/>
      <c r="AG771" s="54"/>
      <c r="AH771" s="54"/>
      <c r="AI771" s="54"/>
      <c r="AJ771" s="82"/>
      <c r="AK771" s="82"/>
      <c r="AL771" s="82"/>
      <c r="AM771" s="82"/>
      <c r="AN771" s="82"/>
      <c r="AO771" s="82"/>
      <c r="AP771" s="82"/>
      <c r="AQ771" s="82"/>
    </row>
    <row r="772" spans="1:43" ht="15.75" customHeight="1" x14ac:dyDescent="0.2">
      <c r="A772" s="91"/>
      <c r="B772" s="54" t="s">
        <v>672</v>
      </c>
      <c r="C772" s="54" t="s">
        <v>673</v>
      </c>
      <c r="D772" s="54" t="s">
        <v>281</v>
      </c>
      <c r="E772" s="54" t="s">
        <v>860</v>
      </c>
      <c r="F772" s="72">
        <v>2011</v>
      </c>
      <c r="G772" s="72">
        <v>2014</v>
      </c>
      <c r="H772" s="72">
        <v>0</v>
      </c>
      <c r="I772" s="72">
        <v>12.4</v>
      </c>
      <c r="J772" s="73">
        <v>1</v>
      </c>
      <c r="K772" s="72">
        <v>12.4</v>
      </c>
      <c r="L772" s="54"/>
      <c r="M772" s="54"/>
      <c r="N772" s="72">
        <v>8</v>
      </c>
      <c r="O772" s="72">
        <v>156</v>
      </c>
      <c r="P772" s="54"/>
      <c r="Q772" s="65">
        <v>6000</v>
      </c>
      <c r="R772" s="54" t="s">
        <v>676</v>
      </c>
      <c r="S772" s="54">
        <v>2013</v>
      </c>
      <c r="T772" s="15">
        <v>0.27300000000000002</v>
      </c>
      <c r="U772" s="69">
        <f t="shared" si="86"/>
        <v>1638.0000000000002</v>
      </c>
      <c r="V772" s="70">
        <f t="shared" si="87"/>
        <v>132.09677419354841</v>
      </c>
      <c r="W772" s="15">
        <f t="shared" si="90"/>
        <v>0</v>
      </c>
      <c r="X772" s="15">
        <f t="shared" si="91"/>
        <v>0</v>
      </c>
      <c r="Y772" s="15">
        <f t="shared" si="92"/>
        <v>0</v>
      </c>
      <c r="Z772" s="13">
        <f t="shared" si="93"/>
        <v>0</v>
      </c>
      <c r="AA772" s="16">
        <f>VLOOKUP(S772,[1]CPI!$A$2:$D$67,4,0)</f>
        <v>1.16317603677932</v>
      </c>
      <c r="AB772" s="17">
        <f t="shared" si="88"/>
        <v>1905.2823482445265</v>
      </c>
      <c r="AC772" s="17">
        <f t="shared" si="89"/>
        <v>153.65180227778441</v>
      </c>
      <c r="AD772" s="54"/>
      <c r="AE772" s="46" t="s">
        <v>1468</v>
      </c>
      <c r="AF772" s="54"/>
      <c r="AG772" s="54"/>
      <c r="AH772" s="54"/>
      <c r="AI772" s="54"/>
      <c r="AJ772" s="82"/>
      <c r="AK772" s="82"/>
      <c r="AL772" s="82"/>
      <c r="AM772" s="82"/>
      <c r="AN772" s="82"/>
      <c r="AO772" s="82"/>
      <c r="AP772" s="82"/>
      <c r="AQ772" s="82"/>
    </row>
    <row r="773" spans="1:43" ht="15.75" customHeight="1" x14ac:dyDescent="0.2">
      <c r="A773" s="91"/>
      <c r="B773" s="54" t="s">
        <v>672</v>
      </c>
      <c r="C773" s="54" t="s">
        <v>673</v>
      </c>
      <c r="D773" s="54"/>
      <c r="E773" s="54" t="s">
        <v>335</v>
      </c>
      <c r="F773" s="72">
        <v>2007</v>
      </c>
      <c r="G773" s="72">
        <v>2012</v>
      </c>
      <c r="H773" s="72">
        <v>0</v>
      </c>
      <c r="I773" s="72">
        <v>16.5</v>
      </c>
      <c r="J773" s="73">
        <v>1</v>
      </c>
      <c r="K773" s="72">
        <v>16.5</v>
      </c>
      <c r="L773" s="54"/>
      <c r="M773" s="54"/>
      <c r="N773" s="72">
        <v>13</v>
      </c>
      <c r="O773" s="72">
        <v>117</v>
      </c>
      <c r="P773" s="54"/>
      <c r="Q773" s="65">
        <v>12900</v>
      </c>
      <c r="R773" s="54" t="s">
        <v>676</v>
      </c>
      <c r="S773" s="54">
        <v>2010</v>
      </c>
      <c r="T773" s="15">
        <v>0.3</v>
      </c>
      <c r="U773" s="69">
        <f t="shared" si="86"/>
        <v>3870</v>
      </c>
      <c r="V773" s="70">
        <f t="shared" si="87"/>
        <v>234.54545454545453</v>
      </c>
      <c r="W773" s="15">
        <f t="shared" si="90"/>
        <v>0</v>
      </c>
      <c r="X773" s="15">
        <f t="shared" si="91"/>
        <v>0</v>
      </c>
      <c r="Y773" s="15">
        <f t="shared" si="92"/>
        <v>0</v>
      </c>
      <c r="Z773" s="13">
        <f t="shared" si="93"/>
        <v>0</v>
      </c>
      <c r="AA773" s="16">
        <f>VLOOKUP(S773,[1]CPI!$A$2:$D$67,4,0)</f>
        <v>1.2426624353377114</v>
      </c>
      <c r="AB773" s="17">
        <f t="shared" si="88"/>
        <v>4809.1036247569427</v>
      </c>
      <c r="AC773" s="17">
        <f t="shared" si="89"/>
        <v>291.46082574284503</v>
      </c>
      <c r="AD773" s="54"/>
      <c r="AE773" s="80" t="s">
        <v>836</v>
      </c>
      <c r="AF773" s="81"/>
      <c r="AG773" s="81"/>
      <c r="AH773" s="81"/>
      <c r="AI773" s="81"/>
      <c r="AJ773" s="82"/>
      <c r="AK773" s="82"/>
      <c r="AL773" s="82"/>
      <c r="AM773" s="82"/>
      <c r="AN773" s="82"/>
      <c r="AO773" s="82"/>
      <c r="AP773" s="82"/>
      <c r="AQ773" s="82"/>
    </row>
    <row r="774" spans="1:43" ht="15.75" customHeight="1" x14ac:dyDescent="0.2">
      <c r="A774" s="91"/>
      <c r="B774" s="54" t="s">
        <v>672</v>
      </c>
      <c r="C774" s="54" t="s">
        <v>673</v>
      </c>
      <c r="D774" s="54"/>
      <c r="E774" s="54" t="s">
        <v>1469</v>
      </c>
      <c r="F774" s="72">
        <v>2022</v>
      </c>
      <c r="G774" s="72">
        <v>2027</v>
      </c>
      <c r="H774" s="72">
        <v>0</v>
      </c>
      <c r="I774" s="72">
        <v>19</v>
      </c>
      <c r="J774" s="73">
        <v>1</v>
      </c>
      <c r="K774" s="72">
        <v>19</v>
      </c>
      <c r="L774" s="54"/>
      <c r="M774" s="54"/>
      <c r="N774" s="72">
        <v>14</v>
      </c>
      <c r="O774" s="72">
        <v>138</v>
      </c>
      <c r="P774" s="54"/>
      <c r="Q774" s="65">
        <v>18753.93</v>
      </c>
      <c r="R774" s="54" t="s">
        <v>676</v>
      </c>
      <c r="S774" s="54">
        <v>2021</v>
      </c>
      <c r="T774" s="61">
        <v>0.23900000000000099</v>
      </c>
      <c r="U774" s="69">
        <f t="shared" si="86"/>
        <v>4482.189270000019</v>
      </c>
      <c r="V774" s="70">
        <f t="shared" si="87"/>
        <v>235.90469842105364</v>
      </c>
      <c r="W774" s="15">
        <f t="shared" si="90"/>
        <v>0</v>
      </c>
      <c r="X774" s="15">
        <f t="shared" si="91"/>
        <v>0</v>
      </c>
      <c r="Y774" s="15">
        <f t="shared" si="92"/>
        <v>0</v>
      </c>
      <c r="Z774" s="13">
        <f t="shared" si="93"/>
        <v>0</v>
      </c>
      <c r="AA774" s="16">
        <f>VLOOKUP(S774,[1]CPI!$A$2:$D$67,4,0)</f>
        <v>1</v>
      </c>
      <c r="AB774" s="17">
        <f t="shared" si="88"/>
        <v>4482.189270000019</v>
      </c>
      <c r="AC774" s="17">
        <f t="shared" si="89"/>
        <v>235.90469842105364</v>
      </c>
      <c r="AD774" s="54"/>
      <c r="AE774" s="84" t="s">
        <v>1470</v>
      </c>
      <c r="AF774" s="85"/>
      <c r="AG774" s="85"/>
      <c r="AH774" s="85"/>
      <c r="AI774" s="85"/>
      <c r="AJ774" s="95"/>
      <c r="AK774" s="95"/>
      <c r="AL774" s="95"/>
      <c r="AM774" s="95"/>
      <c r="AN774" s="95"/>
      <c r="AO774" s="95"/>
      <c r="AP774" s="82"/>
      <c r="AQ774" s="82"/>
    </row>
    <row r="775" spans="1:43" ht="15.75" customHeight="1" x14ac:dyDescent="0.2">
      <c r="A775" s="91"/>
      <c r="B775" s="54" t="s">
        <v>672</v>
      </c>
      <c r="C775" s="54" t="s">
        <v>877</v>
      </c>
      <c r="D775" s="54"/>
      <c r="E775" s="54" t="s">
        <v>1471</v>
      </c>
      <c r="F775" s="72">
        <v>2010</v>
      </c>
      <c r="G775" s="72">
        <v>2019</v>
      </c>
      <c r="H775" s="72">
        <v>0</v>
      </c>
      <c r="I775" s="72">
        <v>13.4</v>
      </c>
      <c r="J775" s="73">
        <v>0</v>
      </c>
      <c r="K775" s="72">
        <v>0</v>
      </c>
      <c r="L775" s="54"/>
      <c r="M775" s="54"/>
      <c r="N775" s="72">
        <v>13</v>
      </c>
      <c r="O775" s="72">
        <v>55</v>
      </c>
      <c r="P775" s="54"/>
      <c r="Q775" s="65">
        <v>4210</v>
      </c>
      <c r="R775" s="54" t="s">
        <v>676</v>
      </c>
      <c r="S775" s="54">
        <v>2015</v>
      </c>
      <c r="T775" s="15">
        <v>0.25800000000000001</v>
      </c>
      <c r="U775" s="69">
        <f t="shared" si="86"/>
        <v>1086.18</v>
      </c>
      <c r="V775" s="70">
        <f t="shared" si="87"/>
        <v>81.05820895522389</v>
      </c>
      <c r="W775" s="15">
        <f t="shared" si="90"/>
        <v>0</v>
      </c>
      <c r="X775" s="15">
        <f t="shared" si="91"/>
        <v>0</v>
      </c>
      <c r="Y775" s="15">
        <f t="shared" si="92"/>
        <v>0</v>
      </c>
      <c r="Z775" s="13">
        <f t="shared" si="93"/>
        <v>0</v>
      </c>
      <c r="AA775" s="16">
        <f>VLOOKUP(S775,[1]CPI!$A$2:$D$67,4,0)</f>
        <v>1.143251327963817</v>
      </c>
      <c r="AB775" s="17">
        <f t="shared" si="88"/>
        <v>1241.7767274077389</v>
      </c>
      <c r="AC775" s="17">
        <f t="shared" si="89"/>
        <v>92.669905030428282</v>
      </c>
      <c r="AD775" s="54"/>
      <c r="AE775" s="46" t="s">
        <v>1472</v>
      </c>
      <c r="AF775" s="54"/>
      <c r="AG775" s="54"/>
      <c r="AH775" s="54"/>
      <c r="AI775" s="54"/>
      <c r="AJ775" s="82"/>
      <c r="AK775" s="82"/>
      <c r="AL775" s="82"/>
      <c r="AM775" s="82"/>
      <c r="AN775" s="82"/>
      <c r="AO775" s="82"/>
      <c r="AP775" s="82"/>
      <c r="AQ775" s="82"/>
    </row>
    <row r="776" spans="1:43" ht="15.75" customHeight="1" x14ac:dyDescent="0.2">
      <c r="A776" s="91"/>
      <c r="B776" s="54" t="s">
        <v>672</v>
      </c>
      <c r="C776" s="54" t="s">
        <v>877</v>
      </c>
      <c r="D776" s="54" t="s">
        <v>99</v>
      </c>
      <c r="E776" s="54" t="s">
        <v>881</v>
      </c>
      <c r="F776" s="72">
        <v>2015</v>
      </c>
      <c r="G776" s="72">
        <v>2019</v>
      </c>
      <c r="H776" s="72">
        <v>0</v>
      </c>
      <c r="I776" s="72">
        <v>5.3</v>
      </c>
      <c r="J776" s="73">
        <v>1</v>
      </c>
      <c r="K776" s="72">
        <v>5.3</v>
      </c>
      <c r="L776" s="54"/>
      <c r="M776" s="54"/>
      <c r="N776" s="72">
        <v>3</v>
      </c>
      <c r="O776" s="72">
        <v>117</v>
      </c>
      <c r="P776" s="54"/>
      <c r="Q776" s="65">
        <v>3350</v>
      </c>
      <c r="R776" s="54" t="s">
        <v>676</v>
      </c>
      <c r="S776" s="54">
        <v>2017</v>
      </c>
      <c r="T776" s="15">
        <v>0.23899999999999999</v>
      </c>
      <c r="U776" s="69">
        <f t="shared" si="86"/>
        <v>800.65</v>
      </c>
      <c r="V776" s="70">
        <f t="shared" si="87"/>
        <v>151.06603773584905</v>
      </c>
      <c r="W776" s="15">
        <f t="shared" si="90"/>
        <v>0</v>
      </c>
      <c r="X776" s="15">
        <f t="shared" si="91"/>
        <v>0</v>
      </c>
      <c r="Y776" s="15">
        <f t="shared" si="92"/>
        <v>0</v>
      </c>
      <c r="Z776" s="13">
        <f t="shared" si="93"/>
        <v>0</v>
      </c>
      <c r="AA776" s="16">
        <f>VLOOKUP(S776,[1]CPI!$A$2:$D$67,4,0)</f>
        <v>1.1054585509138382</v>
      </c>
      <c r="AB776" s="17">
        <f t="shared" si="88"/>
        <v>885.08538878916454</v>
      </c>
      <c r="AC776" s="17">
        <f t="shared" si="89"/>
        <v>166.9972431677669</v>
      </c>
      <c r="AD776" s="54"/>
      <c r="AE776" s="46" t="s">
        <v>1472</v>
      </c>
      <c r="AF776" s="54"/>
      <c r="AG776" s="54"/>
      <c r="AH776" s="54"/>
      <c r="AI776" s="54"/>
      <c r="AJ776" s="82"/>
      <c r="AK776" s="82"/>
      <c r="AL776" s="82"/>
      <c r="AM776" s="82"/>
      <c r="AN776" s="82"/>
      <c r="AO776" s="82"/>
      <c r="AP776" s="82"/>
      <c r="AQ776" s="82"/>
    </row>
    <row r="777" spans="1:43" ht="15.75" customHeight="1" x14ac:dyDescent="0.2">
      <c r="A777" s="91"/>
      <c r="B777" s="54" t="s">
        <v>672</v>
      </c>
      <c r="C777" s="54" t="s">
        <v>877</v>
      </c>
      <c r="D777" s="54" t="s">
        <v>99</v>
      </c>
      <c r="E777" s="54" t="s">
        <v>99</v>
      </c>
      <c r="F777" s="54"/>
      <c r="G777" s="72">
        <v>2020</v>
      </c>
      <c r="H777" s="72">
        <v>0</v>
      </c>
      <c r="I777" s="72">
        <v>22.8</v>
      </c>
      <c r="J777" s="73">
        <v>1</v>
      </c>
      <c r="K777" s="72">
        <v>22.8</v>
      </c>
      <c r="L777" s="54"/>
      <c r="M777" s="54"/>
      <c r="N777" s="72">
        <v>19</v>
      </c>
      <c r="O777" s="72">
        <v>117</v>
      </c>
      <c r="P777" s="54"/>
      <c r="Q777" s="65">
        <v>15400</v>
      </c>
      <c r="R777" s="54" t="s">
        <v>676</v>
      </c>
      <c r="S777" s="54">
        <v>2020</v>
      </c>
      <c r="T777" s="15">
        <v>0.23899999999999999</v>
      </c>
      <c r="U777" s="69">
        <f t="shared" si="86"/>
        <v>3680.6</v>
      </c>
      <c r="V777" s="70">
        <f t="shared" si="87"/>
        <v>161.42982456140351</v>
      </c>
      <c r="W777" s="15">
        <f t="shared" si="90"/>
        <v>0</v>
      </c>
      <c r="X777" s="15">
        <f t="shared" si="91"/>
        <v>0</v>
      </c>
      <c r="Y777" s="15">
        <f t="shared" si="92"/>
        <v>0</v>
      </c>
      <c r="Z777" s="13">
        <f t="shared" si="93"/>
        <v>0</v>
      </c>
      <c r="AA777" s="16">
        <f>VLOOKUP(S777,[1]CPI!$A$2:$D$67,4,0)</f>
        <v>1.0469802288156225</v>
      </c>
      <c r="AB777" s="17">
        <f t="shared" si="88"/>
        <v>3853.5154301787798</v>
      </c>
      <c r="AC777" s="17">
        <f t="shared" si="89"/>
        <v>169.01383465696404</v>
      </c>
      <c r="AD777" s="54"/>
      <c r="AE777" s="46" t="s">
        <v>1473</v>
      </c>
      <c r="AF777" s="54"/>
      <c r="AG777" s="54"/>
      <c r="AH777" s="54"/>
      <c r="AI777" s="54"/>
      <c r="AJ777" s="82"/>
      <c r="AK777" s="82"/>
      <c r="AL777" s="82"/>
      <c r="AM777" s="82"/>
      <c r="AN777" s="82"/>
      <c r="AO777" s="82"/>
      <c r="AP777" s="82"/>
      <c r="AQ777" s="82"/>
    </row>
    <row r="778" spans="1:43" ht="15.75" customHeight="1" x14ac:dyDescent="0.2">
      <c r="A778" s="91"/>
      <c r="B778" s="54" t="s">
        <v>672</v>
      </c>
      <c r="C778" s="54" t="s">
        <v>877</v>
      </c>
      <c r="D778" s="54"/>
      <c r="E778" s="54" t="s">
        <v>1344</v>
      </c>
      <c r="F778" s="72">
        <v>2010</v>
      </c>
      <c r="G778" s="72">
        <v>2019</v>
      </c>
      <c r="H778" s="72">
        <v>0</v>
      </c>
      <c r="I778" s="72">
        <v>8</v>
      </c>
      <c r="J778" s="73">
        <v>1</v>
      </c>
      <c r="K778" s="72">
        <v>8</v>
      </c>
      <c r="L778" s="54"/>
      <c r="M778" s="54"/>
      <c r="N778" s="72">
        <v>6</v>
      </c>
      <c r="O778" s="72">
        <v>117</v>
      </c>
      <c r="P778" s="54"/>
      <c r="Q778" s="65">
        <v>5520</v>
      </c>
      <c r="R778" s="54" t="s">
        <v>676</v>
      </c>
      <c r="S778" s="54">
        <v>2015</v>
      </c>
      <c r="T778" s="15">
        <v>0.25800000000000001</v>
      </c>
      <c r="U778" s="69">
        <f t="shared" si="86"/>
        <v>1424.16</v>
      </c>
      <c r="V778" s="70">
        <f t="shared" si="87"/>
        <v>178.02</v>
      </c>
      <c r="W778" s="15">
        <f t="shared" si="90"/>
        <v>0</v>
      </c>
      <c r="X778" s="15">
        <f t="shared" si="91"/>
        <v>0</v>
      </c>
      <c r="Y778" s="15">
        <f t="shared" si="92"/>
        <v>0</v>
      </c>
      <c r="Z778" s="13">
        <f t="shared" si="93"/>
        <v>0</v>
      </c>
      <c r="AA778" s="16">
        <f>VLOOKUP(S778,[1]CPI!$A$2:$D$67,4,0)</f>
        <v>1.143251327963817</v>
      </c>
      <c r="AB778" s="17">
        <f t="shared" si="88"/>
        <v>1628.1728112329497</v>
      </c>
      <c r="AC778" s="17">
        <f t="shared" si="89"/>
        <v>203.52160140411871</v>
      </c>
      <c r="AD778" s="54"/>
      <c r="AE778" s="46" t="s">
        <v>1472</v>
      </c>
      <c r="AF778" s="54"/>
      <c r="AG778" s="54"/>
      <c r="AH778" s="54"/>
      <c r="AI778" s="54"/>
      <c r="AJ778" s="82"/>
      <c r="AK778" s="82"/>
      <c r="AL778" s="82"/>
      <c r="AM778" s="82"/>
      <c r="AN778" s="82"/>
      <c r="AO778" s="82"/>
      <c r="AP778" s="82"/>
      <c r="AQ778" s="82"/>
    </row>
    <row r="779" spans="1:43" ht="15.75" customHeight="1" x14ac:dyDescent="0.2">
      <c r="A779" s="91"/>
      <c r="B779" s="54" t="s">
        <v>672</v>
      </c>
      <c r="C779" s="54" t="s">
        <v>837</v>
      </c>
      <c r="D779" s="54"/>
      <c r="E779" s="54" t="s">
        <v>1437</v>
      </c>
      <c r="F779" s="72">
        <v>2008</v>
      </c>
      <c r="G779" s="72">
        <v>2015</v>
      </c>
      <c r="H779" s="72">
        <v>0</v>
      </c>
      <c r="I779" s="72">
        <v>45.92</v>
      </c>
      <c r="J779" s="73">
        <v>0.97</v>
      </c>
      <c r="K779" s="72">
        <v>44.61</v>
      </c>
      <c r="L779" s="54"/>
      <c r="M779" s="54"/>
      <c r="N779" s="72">
        <v>32</v>
      </c>
      <c r="O779" s="72">
        <v>117</v>
      </c>
      <c r="P779" s="54"/>
      <c r="Q779" s="65">
        <v>22171</v>
      </c>
      <c r="R779" s="54" t="s">
        <v>676</v>
      </c>
      <c r="S779" s="54">
        <v>2012</v>
      </c>
      <c r="T779" s="15">
        <v>0.28100000000000003</v>
      </c>
      <c r="U779" s="69">
        <f t="shared" si="86"/>
        <v>6230.0510000000004</v>
      </c>
      <c r="V779" s="70">
        <f t="shared" si="87"/>
        <v>135.67184233449478</v>
      </c>
      <c r="W779" s="15">
        <f t="shared" si="90"/>
        <v>0</v>
      </c>
      <c r="X779" s="15">
        <f t="shared" si="91"/>
        <v>0</v>
      </c>
      <c r="Y779" s="15">
        <f t="shared" si="92"/>
        <v>0</v>
      </c>
      <c r="Z779" s="13">
        <f t="shared" si="93"/>
        <v>0</v>
      </c>
      <c r="AA779" s="16">
        <f>VLOOKUP(S779,[1]CPI!$A$2:$D$67,4,0)</f>
        <v>1.1802137686524912</v>
      </c>
      <c r="AB779" s="17">
        <f t="shared" si="88"/>
        <v>7352.7919696072213</v>
      </c>
      <c r="AC779" s="17">
        <f t="shared" si="89"/>
        <v>160.12177634162069</v>
      </c>
      <c r="AD779" s="54"/>
      <c r="AE779" s="84" t="s">
        <v>1474</v>
      </c>
      <c r="AF779" s="54"/>
      <c r="AG779" s="54"/>
      <c r="AH779" s="54"/>
      <c r="AI779" s="54"/>
      <c r="AJ779" s="82"/>
      <c r="AK779" s="82"/>
      <c r="AL779" s="82"/>
      <c r="AM779" s="82"/>
      <c r="AN779" s="82"/>
      <c r="AO779" s="82"/>
      <c r="AP779" s="82"/>
      <c r="AQ779" s="82"/>
    </row>
    <row r="780" spans="1:43" ht="15.75" customHeight="1" x14ac:dyDescent="0.2">
      <c r="A780" s="91"/>
      <c r="B780" s="54" t="s">
        <v>672</v>
      </c>
      <c r="C780" s="54" t="s">
        <v>837</v>
      </c>
      <c r="D780" s="54" t="s">
        <v>99</v>
      </c>
      <c r="E780" s="54" t="s">
        <v>862</v>
      </c>
      <c r="F780" s="72">
        <v>2011</v>
      </c>
      <c r="G780" s="72">
        <v>2015</v>
      </c>
      <c r="H780" s="72">
        <v>0</v>
      </c>
      <c r="I780" s="72">
        <v>21.925999999999998</v>
      </c>
      <c r="J780" s="73">
        <v>1</v>
      </c>
      <c r="K780" s="72">
        <v>21.925999999999998</v>
      </c>
      <c r="L780" s="54"/>
      <c r="M780" s="54"/>
      <c r="N780" s="72">
        <v>19</v>
      </c>
      <c r="O780" s="72">
        <v>117</v>
      </c>
      <c r="P780" s="54"/>
      <c r="Q780" s="65">
        <v>11900</v>
      </c>
      <c r="R780" s="54" t="s">
        <v>676</v>
      </c>
      <c r="S780" s="54">
        <v>2013</v>
      </c>
      <c r="T780" s="15">
        <v>0.27300000000000002</v>
      </c>
      <c r="U780" s="69">
        <f t="shared" si="86"/>
        <v>3248.7000000000003</v>
      </c>
      <c r="V780" s="70">
        <f t="shared" si="87"/>
        <v>148.16656024810729</v>
      </c>
      <c r="W780" s="15">
        <f t="shared" si="90"/>
        <v>0</v>
      </c>
      <c r="X780" s="15">
        <f t="shared" si="91"/>
        <v>0</v>
      </c>
      <c r="Y780" s="15">
        <f t="shared" si="92"/>
        <v>0</v>
      </c>
      <c r="Z780" s="13">
        <f t="shared" si="93"/>
        <v>0</v>
      </c>
      <c r="AA780" s="16">
        <f>VLOOKUP(S780,[1]CPI!$A$2:$D$67,4,0)</f>
        <v>1.16317603677932</v>
      </c>
      <c r="AB780" s="17">
        <f t="shared" si="88"/>
        <v>3778.8099906849775</v>
      </c>
      <c r="AC780" s="17">
        <f t="shared" si="89"/>
        <v>172.34379233261777</v>
      </c>
      <c r="AD780" s="54"/>
      <c r="AE780" s="46" t="s">
        <v>1475</v>
      </c>
      <c r="AF780" s="80" t="s">
        <v>1476</v>
      </c>
      <c r="AG780" s="81"/>
      <c r="AH780" s="81"/>
      <c r="AI780" s="81"/>
      <c r="AJ780" s="82"/>
      <c r="AK780" s="82"/>
      <c r="AL780" s="82"/>
      <c r="AM780" s="82"/>
      <c r="AN780" s="82"/>
      <c r="AO780" s="82"/>
      <c r="AP780" s="82"/>
      <c r="AQ780" s="82"/>
    </row>
    <row r="781" spans="1:43" ht="15.75" customHeight="1" x14ac:dyDescent="0.2">
      <c r="A781" s="91"/>
      <c r="B781" s="54" t="s">
        <v>672</v>
      </c>
      <c r="C781" s="54" t="s">
        <v>837</v>
      </c>
      <c r="D781" s="9" t="s">
        <v>958</v>
      </c>
      <c r="E781" s="54" t="s">
        <v>1477</v>
      </c>
      <c r="F781" s="72">
        <v>2021</v>
      </c>
      <c r="G781" s="72">
        <v>2025</v>
      </c>
      <c r="H781" s="72">
        <v>0</v>
      </c>
      <c r="I781" s="72">
        <v>13.99</v>
      </c>
      <c r="J781" s="73">
        <v>0.98</v>
      </c>
      <c r="K781" s="72">
        <v>13.78</v>
      </c>
      <c r="L781" s="54"/>
      <c r="M781" s="54"/>
      <c r="N781" s="72">
        <v>11</v>
      </c>
      <c r="O781" s="72">
        <v>117</v>
      </c>
      <c r="P781" s="54"/>
      <c r="Q781" s="65">
        <v>12342</v>
      </c>
      <c r="R781" s="54" t="s">
        <v>676</v>
      </c>
      <c r="S781" s="54">
        <v>2021</v>
      </c>
      <c r="T781" s="61">
        <v>0.23900000000000099</v>
      </c>
      <c r="U781" s="69">
        <f t="shared" si="86"/>
        <v>2949.7380000000121</v>
      </c>
      <c r="V781" s="70">
        <f t="shared" si="87"/>
        <v>210.84617583988648</v>
      </c>
      <c r="W781" s="15">
        <f t="shared" si="90"/>
        <v>0</v>
      </c>
      <c r="X781" s="15">
        <f t="shared" si="91"/>
        <v>0</v>
      </c>
      <c r="Y781" s="15">
        <f t="shared" si="92"/>
        <v>0</v>
      </c>
      <c r="Z781" s="13">
        <f t="shared" si="93"/>
        <v>0</v>
      </c>
      <c r="AA781" s="16">
        <f>VLOOKUP(S781,[1]CPI!$A$2:$D$67,4,0)</f>
        <v>1</v>
      </c>
      <c r="AB781" s="17">
        <f t="shared" si="88"/>
        <v>2949.7380000000121</v>
      </c>
      <c r="AC781" s="17">
        <f t="shared" si="89"/>
        <v>210.84617583988648</v>
      </c>
      <c r="AD781" s="54"/>
      <c r="AE781" s="46" t="s">
        <v>1478</v>
      </c>
      <c r="AF781" s="54"/>
      <c r="AG781" s="54"/>
      <c r="AH781" s="54"/>
      <c r="AI781" s="54"/>
      <c r="AJ781" s="82"/>
      <c r="AK781" s="82"/>
      <c r="AL781" s="82"/>
      <c r="AM781" s="82"/>
      <c r="AN781" s="82"/>
      <c r="AO781" s="82"/>
      <c r="AP781" s="82"/>
      <c r="AQ781" s="82"/>
    </row>
    <row r="782" spans="1:43" ht="15.75" customHeight="1" x14ac:dyDescent="0.2">
      <c r="A782" s="91"/>
      <c r="B782" s="54" t="s">
        <v>672</v>
      </c>
      <c r="C782" s="54" t="s">
        <v>802</v>
      </c>
      <c r="D782" s="54"/>
      <c r="E782" s="54" t="s">
        <v>1479</v>
      </c>
      <c r="F782" s="72">
        <v>2021</v>
      </c>
      <c r="G782" s="54"/>
      <c r="H782" s="72">
        <v>1</v>
      </c>
      <c r="I782" s="72">
        <v>38.700000000000003</v>
      </c>
      <c r="J782" s="73">
        <v>0.27</v>
      </c>
      <c r="K782" s="72">
        <v>10.42</v>
      </c>
      <c r="L782" s="54"/>
      <c r="M782" s="54"/>
      <c r="N782" s="72">
        <v>7</v>
      </c>
      <c r="O782" s="72">
        <v>184</v>
      </c>
      <c r="P782" s="54"/>
      <c r="Q782" s="65">
        <v>12903</v>
      </c>
      <c r="R782" s="54" t="s">
        <v>676</v>
      </c>
      <c r="S782" s="54">
        <v>2021</v>
      </c>
      <c r="T782" s="61">
        <v>0.23900000000000099</v>
      </c>
      <c r="U782" s="69">
        <f t="shared" si="86"/>
        <v>3083.8170000000127</v>
      </c>
      <c r="V782" s="70">
        <f t="shared" si="87"/>
        <v>79.68519379844993</v>
      </c>
      <c r="W782" s="15">
        <f t="shared" si="90"/>
        <v>0</v>
      </c>
      <c r="X782" s="15">
        <f t="shared" si="91"/>
        <v>0</v>
      </c>
      <c r="Y782" s="15">
        <f t="shared" si="92"/>
        <v>0</v>
      </c>
      <c r="Z782" s="13">
        <f t="shared" si="93"/>
        <v>0</v>
      </c>
      <c r="AA782" s="16">
        <f>VLOOKUP(S782,[1]CPI!$A$2:$D$67,4,0)</f>
        <v>1</v>
      </c>
      <c r="AB782" s="17">
        <f t="shared" si="88"/>
        <v>3083.8170000000127</v>
      </c>
      <c r="AC782" s="17">
        <f t="shared" si="89"/>
        <v>79.68519379844993</v>
      </c>
      <c r="AD782" s="54"/>
      <c r="AE782" s="46" t="s">
        <v>1480</v>
      </c>
      <c r="AF782" s="54"/>
      <c r="AG782" s="54"/>
      <c r="AH782" s="54"/>
      <c r="AI782" s="54"/>
      <c r="AJ782" s="82"/>
      <c r="AK782" s="82"/>
      <c r="AL782" s="82"/>
      <c r="AM782" s="82"/>
      <c r="AN782" s="82"/>
      <c r="AO782" s="82"/>
      <c r="AP782" s="82"/>
      <c r="AQ782" s="82"/>
    </row>
    <row r="783" spans="1:43" ht="15.75" customHeight="1" x14ac:dyDescent="0.2">
      <c r="A783" s="91"/>
      <c r="B783" s="54" t="s">
        <v>672</v>
      </c>
      <c r="C783" s="54" t="s">
        <v>802</v>
      </c>
      <c r="D783" s="54"/>
      <c r="E783" s="54" t="s">
        <v>1481</v>
      </c>
      <c r="F783" s="72">
        <v>2022</v>
      </c>
      <c r="G783" s="54"/>
      <c r="H783" s="72">
        <v>1</v>
      </c>
      <c r="I783" s="72">
        <v>59</v>
      </c>
      <c r="J783" s="73">
        <v>0.17</v>
      </c>
      <c r="K783" s="72">
        <v>9.85</v>
      </c>
      <c r="L783" s="54"/>
      <c r="M783" s="54"/>
      <c r="N783" s="72">
        <v>13</v>
      </c>
      <c r="O783" s="72">
        <v>184</v>
      </c>
      <c r="P783" s="54"/>
      <c r="Q783" s="65">
        <v>22600</v>
      </c>
      <c r="R783" s="54" t="s">
        <v>676</v>
      </c>
      <c r="S783" s="54">
        <v>2021</v>
      </c>
      <c r="T783" s="61">
        <v>0.23900000000000099</v>
      </c>
      <c r="U783" s="69">
        <f t="shared" si="86"/>
        <v>5401.4000000000224</v>
      </c>
      <c r="V783" s="70">
        <f t="shared" si="87"/>
        <v>91.549152542373264</v>
      </c>
      <c r="W783" s="15">
        <f t="shared" si="90"/>
        <v>0</v>
      </c>
      <c r="X783" s="15">
        <f t="shared" si="91"/>
        <v>0</v>
      </c>
      <c r="Y783" s="15">
        <f t="shared" si="92"/>
        <v>0</v>
      </c>
      <c r="Z783" s="13">
        <f t="shared" si="93"/>
        <v>0</v>
      </c>
      <c r="AA783" s="16">
        <f>VLOOKUP(S783,[1]CPI!$A$2:$D$67,4,0)</f>
        <v>1</v>
      </c>
      <c r="AB783" s="17">
        <f t="shared" si="88"/>
        <v>5401.4000000000224</v>
      </c>
      <c r="AC783" s="17">
        <f t="shared" si="89"/>
        <v>91.549152542373264</v>
      </c>
      <c r="AD783" s="54"/>
      <c r="AE783" s="46" t="s">
        <v>1482</v>
      </c>
      <c r="AF783" s="80" t="s">
        <v>1483</v>
      </c>
      <c r="AG783" s="81"/>
      <c r="AH783" s="81"/>
      <c r="AI783" s="81"/>
      <c r="AJ783" s="82"/>
      <c r="AK783" s="82"/>
      <c r="AL783" s="82"/>
      <c r="AM783" s="82"/>
      <c r="AN783" s="82"/>
      <c r="AO783" s="82"/>
      <c r="AP783" s="82"/>
      <c r="AQ783" s="82"/>
    </row>
    <row r="784" spans="1:43" ht="15.75" customHeight="1" x14ac:dyDescent="0.2">
      <c r="A784" s="91"/>
      <c r="B784" s="54" t="s">
        <v>672</v>
      </c>
      <c r="C784" s="54" t="s">
        <v>802</v>
      </c>
      <c r="D784" s="54" t="s">
        <v>287</v>
      </c>
      <c r="E784" s="54" t="s">
        <v>723</v>
      </c>
      <c r="F784" s="72">
        <v>2013</v>
      </c>
      <c r="G784" s="72">
        <v>2020</v>
      </c>
      <c r="H784" s="72">
        <v>0</v>
      </c>
      <c r="I784" s="72">
        <v>10.9</v>
      </c>
      <c r="J784" s="73">
        <v>1</v>
      </c>
      <c r="K784" s="72">
        <v>10.9</v>
      </c>
      <c r="L784" s="54"/>
      <c r="M784" s="54"/>
      <c r="N784" s="72">
        <v>5</v>
      </c>
      <c r="O784" s="72">
        <v>138</v>
      </c>
      <c r="P784" s="54"/>
      <c r="Q784" s="65">
        <v>5520</v>
      </c>
      <c r="R784" s="54" t="s">
        <v>676</v>
      </c>
      <c r="S784" s="54">
        <v>2017</v>
      </c>
      <c r="T784" s="15">
        <v>0.23899999999999999</v>
      </c>
      <c r="U784" s="69">
        <f t="shared" si="86"/>
        <v>1319.28</v>
      </c>
      <c r="V784" s="70">
        <f t="shared" si="87"/>
        <v>121.03486238532109</v>
      </c>
      <c r="W784" s="15">
        <f t="shared" si="90"/>
        <v>0</v>
      </c>
      <c r="X784" s="15">
        <f t="shared" si="91"/>
        <v>0</v>
      </c>
      <c r="Y784" s="15">
        <f t="shared" si="92"/>
        <v>0</v>
      </c>
      <c r="Z784" s="13">
        <f t="shared" si="93"/>
        <v>0</v>
      </c>
      <c r="AA784" s="16">
        <f>VLOOKUP(S784,[1]CPI!$A$2:$D$67,4,0)</f>
        <v>1.1054585509138382</v>
      </c>
      <c r="AB784" s="17">
        <f t="shared" si="88"/>
        <v>1458.4093570496084</v>
      </c>
      <c r="AC784" s="17">
        <f t="shared" si="89"/>
        <v>133.79902358253287</v>
      </c>
      <c r="AD784" s="54"/>
      <c r="AE784" s="84" t="s">
        <v>1484</v>
      </c>
      <c r="AF784" s="54"/>
      <c r="AG784" s="54"/>
      <c r="AH784" s="54"/>
      <c r="AI784" s="54"/>
      <c r="AJ784" s="82"/>
      <c r="AK784" s="82"/>
      <c r="AL784" s="82"/>
      <c r="AM784" s="82"/>
      <c r="AN784" s="82"/>
      <c r="AO784" s="82"/>
      <c r="AP784" s="82"/>
      <c r="AQ784" s="82"/>
    </row>
    <row r="785" spans="1:43" ht="15.75" customHeight="1" x14ac:dyDescent="0.2">
      <c r="A785" s="91"/>
      <c r="B785" s="54" t="s">
        <v>672</v>
      </c>
      <c r="C785" s="54" t="s">
        <v>802</v>
      </c>
      <c r="D785" s="54" t="s">
        <v>142</v>
      </c>
      <c r="E785" s="54" t="s">
        <v>847</v>
      </c>
      <c r="F785" s="72">
        <v>2013</v>
      </c>
      <c r="G785" s="72">
        <v>2020</v>
      </c>
      <c r="H785" s="72">
        <v>0</v>
      </c>
      <c r="I785" s="72">
        <v>21.3</v>
      </c>
      <c r="J785" s="73">
        <v>1</v>
      </c>
      <c r="K785" s="72">
        <v>21.3</v>
      </c>
      <c r="L785" s="54"/>
      <c r="M785" s="54"/>
      <c r="N785" s="72">
        <v>13</v>
      </c>
      <c r="O785" s="72">
        <v>117</v>
      </c>
      <c r="P785" s="54"/>
      <c r="Q785" s="65">
        <v>10220</v>
      </c>
      <c r="R785" s="54" t="s">
        <v>676</v>
      </c>
      <c r="S785" s="54">
        <v>2017</v>
      </c>
      <c r="T785" s="15">
        <v>0.23899999999999999</v>
      </c>
      <c r="U785" s="69">
        <f t="shared" si="86"/>
        <v>2442.58</v>
      </c>
      <c r="V785" s="70">
        <f t="shared" si="87"/>
        <v>114.67511737089201</v>
      </c>
      <c r="W785" s="15">
        <f t="shared" si="90"/>
        <v>0</v>
      </c>
      <c r="X785" s="15">
        <f t="shared" si="91"/>
        <v>0</v>
      </c>
      <c r="Y785" s="15">
        <f t="shared" si="92"/>
        <v>0</v>
      </c>
      <c r="Z785" s="13">
        <f t="shared" si="93"/>
        <v>0</v>
      </c>
      <c r="AA785" s="16">
        <f>VLOOKUP(S785,[1]CPI!$A$2:$D$67,4,0)</f>
        <v>1.1054585509138382</v>
      </c>
      <c r="AB785" s="17">
        <f t="shared" si="88"/>
        <v>2700.1709472911225</v>
      </c>
      <c r="AC785" s="17">
        <f t="shared" si="89"/>
        <v>126.76858907470059</v>
      </c>
      <c r="AD785" s="54"/>
      <c r="AE785" s="84" t="s">
        <v>1484</v>
      </c>
      <c r="AF785" s="54"/>
      <c r="AG785" s="54"/>
      <c r="AH785" s="54"/>
      <c r="AI785" s="54"/>
      <c r="AJ785" s="82"/>
      <c r="AK785" s="82"/>
      <c r="AL785" s="82"/>
      <c r="AM785" s="82"/>
      <c r="AN785" s="82"/>
      <c r="AO785" s="82"/>
      <c r="AP785" s="82"/>
      <c r="AQ785" s="82"/>
    </row>
    <row r="786" spans="1:43" ht="15.75" customHeight="1" x14ac:dyDescent="0.2">
      <c r="A786" s="91"/>
      <c r="B786" s="54" t="s">
        <v>672</v>
      </c>
      <c r="C786" s="54" t="s">
        <v>802</v>
      </c>
      <c r="D786" s="54" t="s">
        <v>803</v>
      </c>
      <c r="E786" s="54" t="s">
        <v>1485</v>
      </c>
      <c r="F786" s="72">
        <v>2016</v>
      </c>
      <c r="G786" s="72">
        <v>2019</v>
      </c>
      <c r="H786" s="72">
        <v>0</v>
      </c>
      <c r="I786" s="72">
        <v>58.6</v>
      </c>
      <c r="J786" s="73">
        <v>0.65</v>
      </c>
      <c r="K786" s="72">
        <v>37.9</v>
      </c>
      <c r="L786" s="54"/>
      <c r="M786" s="54"/>
      <c r="N786" s="72">
        <v>13</v>
      </c>
      <c r="O786" s="72">
        <v>184</v>
      </c>
      <c r="P786" s="54"/>
      <c r="Q786" s="65">
        <v>34700</v>
      </c>
      <c r="R786" s="54" t="s">
        <v>676</v>
      </c>
      <c r="S786" s="54">
        <v>2018</v>
      </c>
      <c r="T786" s="15">
        <v>0.23699999999999999</v>
      </c>
      <c r="U786" s="69">
        <f t="shared" si="86"/>
        <v>8223.9</v>
      </c>
      <c r="V786" s="70">
        <f t="shared" si="87"/>
        <v>140.33959044368601</v>
      </c>
      <c r="W786" s="15">
        <f t="shared" si="90"/>
        <v>0</v>
      </c>
      <c r="X786" s="15">
        <f t="shared" si="91"/>
        <v>0</v>
      </c>
      <c r="Y786" s="15">
        <f t="shared" si="92"/>
        <v>0</v>
      </c>
      <c r="Z786" s="13">
        <f t="shared" si="93"/>
        <v>0</v>
      </c>
      <c r="AA786" s="16">
        <f>VLOOKUP(S786,[1]CPI!$A$2:$D$67,4,0)</f>
        <v>1.0791017375063221</v>
      </c>
      <c r="AB786" s="17">
        <f t="shared" si="88"/>
        <v>8874.424779078241</v>
      </c>
      <c r="AC786" s="17">
        <f t="shared" si="89"/>
        <v>151.44069588870721</v>
      </c>
      <c r="AD786" s="54"/>
      <c r="AE786" s="46" t="s">
        <v>1486</v>
      </c>
      <c r="AF786" s="54"/>
      <c r="AG786" s="54"/>
      <c r="AH786" s="54"/>
      <c r="AI786" s="54"/>
      <c r="AJ786" s="82"/>
      <c r="AK786" s="82"/>
      <c r="AL786" s="82"/>
      <c r="AM786" s="82"/>
      <c r="AN786" s="82"/>
      <c r="AO786" s="82"/>
      <c r="AP786" s="82"/>
      <c r="AQ786" s="82"/>
    </row>
    <row r="787" spans="1:43" ht="15.75" customHeight="1" x14ac:dyDescent="0.2">
      <c r="A787" s="91"/>
      <c r="B787" s="54" t="s">
        <v>672</v>
      </c>
      <c r="C787" s="54" t="s">
        <v>802</v>
      </c>
      <c r="D787" s="54" t="s">
        <v>119</v>
      </c>
      <c r="E787" s="54" t="s">
        <v>1487</v>
      </c>
      <c r="F787" s="72">
        <v>2015</v>
      </c>
      <c r="G787" s="72">
        <v>2020</v>
      </c>
      <c r="H787" s="72">
        <v>0</v>
      </c>
      <c r="I787" s="72">
        <v>49</v>
      </c>
      <c r="J787" s="73">
        <v>0.68</v>
      </c>
      <c r="K787" s="72">
        <v>33.200000000000003</v>
      </c>
      <c r="L787" s="54"/>
      <c r="M787" s="54"/>
      <c r="N787" s="72">
        <v>39</v>
      </c>
      <c r="O787" s="72">
        <v>184</v>
      </c>
      <c r="P787" s="54"/>
      <c r="Q787" s="65">
        <v>32480</v>
      </c>
      <c r="R787" s="54" t="s">
        <v>676</v>
      </c>
      <c r="S787" s="54">
        <v>2018</v>
      </c>
      <c r="T787" s="15">
        <v>0.23699999999999999</v>
      </c>
      <c r="U787" s="69">
        <f t="shared" si="86"/>
        <v>7697.7599999999993</v>
      </c>
      <c r="V787" s="70">
        <f t="shared" si="87"/>
        <v>157.09714285714284</v>
      </c>
      <c r="W787" s="15">
        <f t="shared" si="90"/>
        <v>0</v>
      </c>
      <c r="X787" s="15">
        <f t="shared" si="91"/>
        <v>0</v>
      </c>
      <c r="Y787" s="15">
        <f t="shared" si="92"/>
        <v>0</v>
      </c>
      <c r="Z787" s="13">
        <f t="shared" si="93"/>
        <v>0</v>
      </c>
      <c r="AA787" s="16">
        <f>VLOOKUP(S787,[1]CPI!$A$2:$D$67,4,0)</f>
        <v>1.0791017375063221</v>
      </c>
      <c r="AB787" s="17">
        <f t="shared" si="88"/>
        <v>8306.6661909066661</v>
      </c>
      <c r="AC787" s="17">
        <f t="shared" si="89"/>
        <v>169.52379981442175</v>
      </c>
      <c r="AD787" s="54"/>
      <c r="AE787" s="84" t="s">
        <v>1484</v>
      </c>
      <c r="AF787" s="54"/>
      <c r="AG787" s="54"/>
      <c r="AH787" s="54"/>
      <c r="AI787" s="54"/>
      <c r="AJ787" s="82"/>
      <c r="AK787" s="82"/>
      <c r="AL787" s="82"/>
      <c r="AM787" s="82"/>
      <c r="AN787" s="82"/>
      <c r="AO787" s="82"/>
      <c r="AP787" s="82"/>
      <c r="AQ787" s="82"/>
    </row>
    <row r="788" spans="1:43" ht="15.75" customHeight="1" x14ac:dyDescent="0.2">
      <c r="A788" s="91"/>
      <c r="B788" s="54" t="s">
        <v>672</v>
      </c>
      <c r="C788" s="54" t="s">
        <v>802</v>
      </c>
      <c r="D788" s="54" t="s">
        <v>810</v>
      </c>
      <c r="E788" s="54" t="s">
        <v>1488</v>
      </c>
      <c r="F788" s="72">
        <v>2021</v>
      </c>
      <c r="G788" s="72"/>
      <c r="H788" s="72">
        <v>0</v>
      </c>
      <c r="I788" s="72">
        <v>26.14</v>
      </c>
      <c r="J788" s="73">
        <v>0.79</v>
      </c>
      <c r="K788" s="72">
        <v>20.64</v>
      </c>
      <c r="L788" s="54"/>
      <c r="M788" s="54"/>
      <c r="N788" s="72">
        <v>9</v>
      </c>
      <c r="O788" s="72">
        <v>184</v>
      </c>
      <c r="P788" s="54"/>
      <c r="Q788" s="65">
        <v>17151</v>
      </c>
      <c r="R788" s="54" t="s">
        <v>676</v>
      </c>
      <c r="S788" s="54">
        <v>2021</v>
      </c>
      <c r="T788" s="61">
        <v>0.23900000000000099</v>
      </c>
      <c r="U788" s="69">
        <f t="shared" si="86"/>
        <v>4099.0890000000172</v>
      </c>
      <c r="V788" s="70">
        <f t="shared" si="87"/>
        <v>156.81289211935797</v>
      </c>
      <c r="W788" s="15">
        <f t="shared" si="90"/>
        <v>0</v>
      </c>
      <c r="X788" s="15">
        <f t="shared" si="91"/>
        <v>0</v>
      </c>
      <c r="Y788" s="15">
        <f t="shared" si="92"/>
        <v>0</v>
      </c>
      <c r="Z788" s="13">
        <f t="shared" si="93"/>
        <v>0</v>
      </c>
      <c r="AA788" s="16">
        <f>VLOOKUP(S788,[1]CPI!$A$2:$D$67,4,0)</f>
        <v>1</v>
      </c>
      <c r="AB788" s="17">
        <f t="shared" si="88"/>
        <v>4099.0890000000172</v>
      </c>
      <c r="AC788" s="17">
        <f t="shared" si="89"/>
        <v>156.81289211935797</v>
      </c>
      <c r="AD788" s="54"/>
      <c r="AE788" s="46" t="s">
        <v>1489</v>
      </c>
      <c r="AF788" s="84" t="s">
        <v>1490</v>
      </c>
      <c r="AG788" s="85"/>
      <c r="AH788" s="85"/>
      <c r="AI788" s="54"/>
      <c r="AJ788" s="82"/>
      <c r="AK788" s="82"/>
      <c r="AL788" s="82"/>
      <c r="AM788" s="82"/>
      <c r="AN788" s="82"/>
      <c r="AO788" s="82"/>
      <c r="AP788" s="82"/>
      <c r="AQ788" s="82"/>
    </row>
    <row r="789" spans="1:43" ht="15.75" customHeight="1" x14ac:dyDescent="0.2">
      <c r="A789" s="91"/>
      <c r="B789" s="54" t="s">
        <v>672</v>
      </c>
      <c r="C789" s="54" t="s">
        <v>802</v>
      </c>
      <c r="D789" s="54" t="s">
        <v>103</v>
      </c>
      <c r="E789" s="54" t="s">
        <v>730</v>
      </c>
      <c r="F789" s="72">
        <v>2013</v>
      </c>
      <c r="G789" s="72">
        <v>2020</v>
      </c>
      <c r="H789" s="72">
        <v>0</v>
      </c>
      <c r="I789" s="72">
        <v>15</v>
      </c>
      <c r="J789" s="73">
        <v>0.6</v>
      </c>
      <c r="K789" s="72">
        <v>9</v>
      </c>
      <c r="L789" s="54"/>
      <c r="M789" s="54"/>
      <c r="N789" s="72">
        <v>9</v>
      </c>
      <c r="O789" s="72">
        <v>117</v>
      </c>
      <c r="P789" s="54"/>
      <c r="Q789" s="65">
        <v>7030</v>
      </c>
      <c r="R789" s="54" t="s">
        <v>676</v>
      </c>
      <c r="S789" s="54">
        <v>2017</v>
      </c>
      <c r="T789" s="15">
        <v>0.23899999999999999</v>
      </c>
      <c r="U789" s="69">
        <f t="shared" si="86"/>
        <v>1680.1699999999998</v>
      </c>
      <c r="V789" s="70">
        <f t="shared" si="87"/>
        <v>112.01133333333333</v>
      </c>
      <c r="W789" s="15">
        <f t="shared" si="90"/>
        <v>0</v>
      </c>
      <c r="X789" s="15">
        <f t="shared" si="91"/>
        <v>0</v>
      </c>
      <c r="Y789" s="15">
        <f t="shared" si="92"/>
        <v>0</v>
      </c>
      <c r="Z789" s="13">
        <f t="shared" si="93"/>
        <v>0</v>
      </c>
      <c r="AA789" s="16">
        <f>VLOOKUP(S789,[1]CPI!$A$2:$D$67,4,0)</f>
        <v>1.1054585509138382</v>
      </c>
      <c r="AB789" s="17">
        <f t="shared" si="88"/>
        <v>1857.3582934889032</v>
      </c>
      <c r="AC789" s="17">
        <f t="shared" si="89"/>
        <v>123.82388623259355</v>
      </c>
      <c r="AD789" s="54"/>
      <c r="AE789" s="84" t="s">
        <v>1484</v>
      </c>
      <c r="AF789" s="54"/>
      <c r="AG789" s="54"/>
      <c r="AH789" s="54"/>
      <c r="AI789" s="54"/>
      <c r="AJ789" s="82"/>
      <c r="AK789" s="82"/>
      <c r="AL789" s="82"/>
      <c r="AM789" s="82"/>
      <c r="AN789" s="82"/>
      <c r="AO789" s="82"/>
      <c r="AP789" s="82"/>
      <c r="AQ789" s="82"/>
    </row>
    <row r="790" spans="1:43" ht="15.75" customHeight="1" x14ac:dyDescent="0.2">
      <c r="A790" s="91"/>
      <c r="B790" s="54" t="s">
        <v>672</v>
      </c>
      <c r="C790" s="54" t="s">
        <v>802</v>
      </c>
      <c r="D790" s="54" t="s">
        <v>103</v>
      </c>
      <c r="E790" s="54" t="s">
        <v>1491</v>
      </c>
      <c r="F790" s="72">
        <v>2015</v>
      </c>
      <c r="G790" s="54"/>
      <c r="H790" s="72">
        <v>0</v>
      </c>
      <c r="I790" s="72">
        <v>12.6</v>
      </c>
      <c r="J790" s="73">
        <v>0.56999999999999995</v>
      </c>
      <c r="K790" s="72">
        <v>7.2</v>
      </c>
      <c r="L790" s="54"/>
      <c r="M790" s="54"/>
      <c r="N790" s="72">
        <v>9</v>
      </c>
      <c r="O790" s="72">
        <v>117</v>
      </c>
      <c r="P790" s="54"/>
      <c r="Q790" s="65">
        <v>6240</v>
      </c>
      <c r="R790" s="54" t="s">
        <v>676</v>
      </c>
      <c r="S790" s="54">
        <v>2015</v>
      </c>
      <c r="T790" s="15">
        <v>0.25800000000000001</v>
      </c>
      <c r="U790" s="69">
        <f t="shared" si="86"/>
        <v>1609.92</v>
      </c>
      <c r="V790" s="70">
        <f t="shared" si="87"/>
        <v>127.77142857142859</v>
      </c>
      <c r="W790" s="15">
        <f t="shared" si="90"/>
        <v>0</v>
      </c>
      <c r="X790" s="15">
        <f t="shared" si="91"/>
        <v>0</v>
      </c>
      <c r="Y790" s="15">
        <f t="shared" si="92"/>
        <v>0</v>
      </c>
      <c r="Z790" s="13">
        <f t="shared" si="93"/>
        <v>0</v>
      </c>
      <c r="AA790" s="16">
        <f>VLOOKUP(S790,[1]CPI!$A$2:$D$67,4,0)</f>
        <v>1.143251327963817</v>
      </c>
      <c r="AB790" s="17">
        <f t="shared" si="88"/>
        <v>1840.5431779155083</v>
      </c>
      <c r="AC790" s="17">
        <f t="shared" si="89"/>
        <v>146.07485539011972</v>
      </c>
      <c r="AD790" s="54"/>
      <c r="AE790" s="84" t="s">
        <v>1484</v>
      </c>
      <c r="AF790" s="54"/>
      <c r="AG790" s="54"/>
      <c r="AH790" s="54"/>
      <c r="AI790" s="54"/>
      <c r="AJ790" s="82"/>
      <c r="AK790" s="82"/>
      <c r="AL790" s="82"/>
      <c r="AM790" s="82"/>
      <c r="AN790" s="82"/>
      <c r="AO790" s="82"/>
      <c r="AP790" s="82"/>
      <c r="AQ790" s="82"/>
    </row>
    <row r="791" spans="1:43" ht="15.75" customHeight="1" x14ac:dyDescent="0.2">
      <c r="A791" s="91"/>
      <c r="B791" s="54" t="s">
        <v>672</v>
      </c>
      <c r="C791" s="54" t="s">
        <v>802</v>
      </c>
      <c r="D791" s="54"/>
      <c r="E791" s="54" t="s">
        <v>283</v>
      </c>
      <c r="F791" s="72">
        <v>2013</v>
      </c>
      <c r="G791" s="72">
        <v>2020</v>
      </c>
      <c r="H791" s="72">
        <v>0</v>
      </c>
      <c r="I791" s="72">
        <v>38.6</v>
      </c>
      <c r="J791" s="73">
        <v>1</v>
      </c>
      <c r="K791" s="72">
        <v>38.6</v>
      </c>
      <c r="L791" s="54"/>
      <c r="M791" s="54"/>
      <c r="N791" s="72">
        <v>31</v>
      </c>
      <c r="O791" s="72">
        <v>138</v>
      </c>
      <c r="P791" s="54"/>
      <c r="Q791" s="65">
        <v>27010</v>
      </c>
      <c r="R791" s="54" t="s">
        <v>676</v>
      </c>
      <c r="S791" s="54">
        <v>2017</v>
      </c>
      <c r="T791" s="15">
        <v>0.23899999999999999</v>
      </c>
      <c r="U791" s="69">
        <f t="shared" si="86"/>
        <v>6455.3899999999994</v>
      </c>
      <c r="V791" s="70">
        <f t="shared" si="87"/>
        <v>167.23808290155438</v>
      </c>
      <c r="W791" s="15">
        <f t="shared" si="90"/>
        <v>0</v>
      </c>
      <c r="X791" s="15">
        <f t="shared" si="91"/>
        <v>0</v>
      </c>
      <c r="Y791" s="15">
        <f t="shared" si="92"/>
        <v>0</v>
      </c>
      <c r="Z791" s="13">
        <f t="shared" si="93"/>
        <v>0</v>
      </c>
      <c r="AA791" s="16">
        <f>VLOOKUP(S791,[1]CPI!$A$2:$D$67,4,0)</f>
        <v>1.1054585509138382</v>
      </c>
      <c r="AB791" s="17">
        <f t="shared" si="88"/>
        <v>7136.166074983681</v>
      </c>
      <c r="AC791" s="17">
        <f t="shared" si="89"/>
        <v>184.87476878196063</v>
      </c>
      <c r="AD791" s="54"/>
      <c r="AE791" s="84" t="s">
        <v>1484</v>
      </c>
      <c r="AF791" s="54"/>
      <c r="AG791" s="54"/>
      <c r="AH791" s="54"/>
      <c r="AI791" s="54"/>
      <c r="AJ791" s="82"/>
      <c r="AK791" s="82"/>
      <c r="AL791" s="82"/>
      <c r="AM791" s="82"/>
      <c r="AN791" s="82"/>
      <c r="AO791" s="82"/>
      <c r="AP791" s="82"/>
      <c r="AQ791" s="82"/>
    </row>
    <row r="792" spans="1:43" ht="15.75" customHeight="1" x14ac:dyDescent="0.2">
      <c r="A792" s="91"/>
      <c r="B792" s="54" t="s">
        <v>672</v>
      </c>
      <c r="C792" s="54" t="s">
        <v>802</v>
      </c>
      <c r="D792" s="54" t="s">
        <v>92</v>
      </c>
      <c r="E792" s="54" t="s">
        <v>944</v>
      </c>
      <c r="F792" s="72">
        <v>2013</v>
      </c>
      <c r="G792" s="72">
        <v>2020</v>
      </c>
      <c r="H792" s="72">
        <v>0</v>
      </c>
      <c r="I792" s="72">
        <v>13</v>
      </c>
      <c r="J792" s="73">
        <v>0.43</v>
      </c>
      <c r="K792" s="72">
        <v>5.6</v>
      </c>
      <c r="L792" s="54"/>
      <c r="M792" s="54"/>
      <c r="N792" s="72">
        <v>10</v>
      </c>
      <c r="O792" s="72">
        <v>117</v>
      </c>
      <c r="P792" s="54"/>
      <c r="Q792" s="65">
        <v>5820</v>
      </c>
      <c r="R792" s="54" t="s">
        <v>676</v>
      </c>
      <c r="S792" s="54">
        <v>2017</v>
      </c>
      <c r="T792" s="15">
        <v>0.23899999999999999</v>
      </c>
      <c r="U792" s="69">
        <f t="shared" si="86"/>
        <v>1390.98</v>
      </c>
      <c r="V792" s="70">
        <f t="shared" si="87"/>
        <v>106.99846153846154</v>
      </c>
      <c r="W792" s="15">
        <f t="shared" si="90"/>
        <v>0</v>
      </c>
      <c r="X792" s="15">
        <f t="shared" si="91"/>
        <v>0</v>
      </c>
      <c r="Y792" s="15">
        <f t="shared" si="92"/>
        <v>0</v>
      </c>
      <c r="Z792" s="13">
        <f t="shared" si="93"/>
        <v>0</v>
      </c>
      <c r="AA792" s="16">
        <f>VLOOKUP(S792,[1]CPI!$A$2:$D$67,4,0)</f>
        <v>1.1054585509138382</v>
      </c>
      <c r="AB792" s="17">
        <f t="shared" si="88"/>
        <v>1537.6707351501307</v>
      </c>
      <c r="AC792" s="17">
        <f t="shared" si="89"/>
        <v>118.28236424231774</v>
      </c>
      <c r="AD792" s="54"/>
      <c r="AE792" s="84" t="s">
        <v>1484</v>
      </c>
      <c r="AF792" s="54"/>
      <c r="AG792" s="54"/>
      <c r="AH792" s="54"/>
      <c r="AI792" s="54"/>
      <c r="AJ792" s="82"/>
      <c r="AK792" s="82"/>
      <c r="AL792" s="82"/>
      <c r="AM792" s="82"/>
      <c r="AN792" s="82"/>
      <c r="AO792" s="82"/>
      <c r="AP792" s="82"/>
      <c r="AQ792" s="82"/>
    </row>
    <row r="793" spans="1:43" ht="15.75" customHeight="1" x14ac:dyDescent="0.2">
      <c r="A793" s="91"/>
      <c r="B793" s="54" t="s">
        <v>672</v>
      </c>
      <c r="C793" s="54" t="s">
        <v>872</v>
      </c>
      <c r="D793" s="54"/>
      <c r="E793" s="54" t="s">
        <v>1492</v>
      </c>
      <c r="F793" s="72">
        <v>2020</v>
      </c>
      <c r="G793" s="54"/>
      <c r="H793" s="72">
        <v>0</v>
      </c>
      <c r="I793" s="72">
        <v>37.353000000000002</v>
      </c>
      <c r="J793" s="73">
        <v>0.28000000000000003</v>
      </c>
      <c r="K793" s="72">
        <v>10.385999999999999</v>
      </c>
      <c r="L793" s="54"/>
      <c r="M793" s="54"/>
      <c r="N793" s="72">
        <v>9</v>
      </c>
      <c r="O793" s="72">
        <v>92</v>
      </c>
      <c r="P793" s="54"/>
      <c r="Q793" s="65">
        <v>8642</v>
      </c>
      <c r="R793" s="54" t="s">
        <v>676</v>
      </c>
      <c r="S793" s="54">
        <v>2020</v>
      </c>
      <c r="T793" s="61">
        <v>0.23899999999999999</v>
      </c>
      <c r="U793" s="69">
        <f t="shared" si="86"/>
        <v>2065.4380000000001</v>
      </c>
      <c r="V793" s="70">
        <f t="shared" si="87"/>
        <v>55.295103472277994</v>
      </c>
      <c r="W793" s="15">
        <f t="shared" si="90"/>
        <v>0</v>
      </c>
      <c r="X793" s="15">
        <f t="shared" si="91"/>
        <v>0</v>
      </c>
      <c r="Y793" s="15">
        <f t="shared" si="92"/>
        <v>0</v>
      </c>
      <c r="Z793" s="13">
        <f t="shared" si="93"/>
        <v>0</v>
      </c>
      <c r="AA793" s="16">
        <f>VLOOKUP(S793,[1]CPI!$A$2:$D$67,4,0)</f>
        <v>1.0469802288156225</v>
      </c>
      <c r="AB793" s="17">
        <f t="shared" si="88"/>
        <v>2162.4727498444818</v>
      </c>
      <c r="AC793" s="17">
        <f t="shared" si="89"/>
        <v>57.892880085789137</v>
      </c>
      <c r="AD793" s="54"/>
      <c r="AE793" s="46" t="s">
        <v>1493</v>
      </c>
      <c r="AF793" s="46" t="s">
        <v>1494</v>
      </c>
      <c r="AG793" s="84" t="s">
        <v>1495</v>
      </c>
      <c r="AH793" s="85"/>
      <c r="AI793" s="85"/>
      <c r="AJ793" s="82"/>
      <c r="AK793" s="82"/>
      <c r="AL793" s="82"/>
      <c r="AM793" s="82"/>
      <c r="AN793" s="82"/>
      <c r="AO793" s="82"/>
      <c r="AP793" s="82"/>
      <c r="AQ793" s="82"/>
    </row>
    <row r="794" spans="1:43" ht="15.75" customHeight="1" x14ac:dyDescent="0.2">
      <c r="A794" s="91"/>
      <c r="B794" s="54" t="s">
        <v>672</v>
      </c>
      <c r="C794" s="54" t="s">
        <v>872</v>
      </c>
      <c r="D794" s="9" t="s">
        <v>1496</v>
      </c>
      <c r="E794" s="54" t="s">
        <v>1497</v>
      </c>
      <c r="F794" s="72">
        <v>2018</v>
      </c>
      <c r="G794" s="54"/>
      <c r="H794" s="72">
        <v>0</v>
      </c>
      <c r="I794" s="72">
        <v>4.5999999999999996</v>
      </c>
      <c r="J794" s="54"/>
      <c r="K794" s="54"/>
      <c r="L794" s="54"/>
      <c r="M794" s="54"/>
      <c r="N794" s="72">
        <v>2</v>
      </c>
      <c r="O794" s="72">
        <v>117</v>
      </c>
      <c r="P794" s="54"/>
      <c r="Q794" s="65">
        <v>3500</v>
      </c>
      <c r="R794" s="54" t="s">
        <v>676</v>
      </c>
      <c r="S794" s="54">
        <v>2018</v>
      </c>
      <c r="T794" s="15">
        <v>0.23699999999999999</v>
      </c>
      <c r="U794" s="69">
        <f t="shared" si="86"/>
        <v>829.5</v>
      </c>
      <c r="V794" s="70">
        <f t="shared" si="87"/>
        <v>180.32608695652175</v>
      </c>
      <c r="W794" s="15">
        <f t="shared" si="90"/>
        <v>0</v>
      </c>
      <c r="X794" s="15">
        <f t="shared" si="91"/>
        <v>0</v>
      </c>
      <c r="Y794" s="15">
        <f t="shared" si="92"/>
        <v>0</v>
      </c>
      <c r="Z794" s="13">
        <f t="shared" si="93"/>
        <v>0</v>
      </c>
      <c r="AA794" s="16">
        <f>VLOOKUP(S794,[1]CPI!$A$2:$D$67,4,0)</f>
        <v>1.0791017375063221</v>
      </c>
      <c r="AB794" s="17">
        <f t="shared" si="88"/>
        <v>895.11489126149422</v>
      </c>
      <c r="AC794" s="17">
        <f t="shared" si="89"/>
        <v>194.59019375249875</v>
      </c>
      <c r="AD794" s="54"/>
      <c r="AE794" s="84" t="s">
        <v>1498</v>
      </c>
      <c r="AF794" s="54"/>
      <c r="AG794" s="54"/>
      <c r="AH794" s="54"/>
      <c r="AI794" s="54"/>
      <c r="AJ794" s="82"/>
      <c r="AK794" s="82"/>
      <c r="AL794" s="82"/>
      <c r="AM794" s="82"/>
      <c r="AN794" s="82"/>
      <c r="AO794" s="82"/>
      <c r="AP794" s="82"/>
      <c r="AQ794" s="82"/>
    </row>
    <row r="795" spans="1:43" ht="15.75" customHeight="1" x14ac:dyDescent="0.2">
      <c r="A795" s="91"/>
      <c r="B795" s="54" t="s">
        <v>672</v>
      </c>
      <c r="C795" s="54" t="s">
        <v>872</v>
      </c>
      <c r="D795" s="9" t="s">
        <v>1496</v>
      </c>
      <c r="E795" s="54" t="s">
        <v>1496</v>
      </c>
      <c r="F795" s="72">
        <v>2020</v>
      </c>
      <c r="G795" s="54"/>
      <c r="H795" s="72">
        <v>0</v>
      </c>
      <c r="I795" s="72">
        <v>28.22</v>
      </c>
      <c r="J795" s="73">
        <v>0.21</v>
      </c>
      <c r="K795" s="72">
        <v>5.8</v>
      </c>
      <c r="L795" s="54"/>
      <c r="M795" s="54"/>
      <c r="N795" s="72">
        <v>7</v>
      </c>
      <c r="O795" s="72">
        <v>117</v>
      </c>
      <c r="P795" s="54"/>
      <c r="Q795" s="65">
        <v>6892</v>
      </c>
      <c r="R795" s="54" t="s">
        <v>676</v>
      </c>
      <c r="S795" s="54">
        <v>2020</v>
      </c>
      <c r="T795" s="61">
        <v>0.23899999999999999</v>
      </c>
      <c r="U795" s="69">
        <f t="shared" si="86"/>
        <v>1647.1879999999999</v>
      </c>
      <c r="V795" s="70">
        <f t="shared" si="87"/>
        <v>58.369525159461375</v>
      </c>
      <c r="W795" s="15">
        <f t="shared" si="90"/>
        <v>0</v>
      </c>
      <c r="X795" s="15">
        <f t="shared" si="91"/>
        <v>0</v>
      </c>
      <c r="Y795" s="15">
        <f t="shared" si="92"/>
        <v>0</v>
      </c>
      <c r="Z795" s="13">
        <f t="shared" si="93"/>
        <v>0</v>
      </c>
      <c r="AA795" s="16">
        <f>VLOOKUP(S795,[1]CPI!$A$2:$D$67,4,0)</f>
        <v>1.0469802288156225</v>
      </c>
      <c r="AB795" s="17">
        <f t="shared" si="88"/>
        <v>1724.5732691423475</v>
      </c>
      <c r="AC795" s="17">
        <f t="shared" si="89"/>
        <v>61.111738807312101</v>
      </c>
      <c r="AD795" s="54"/>
      <c r="AE795" s="46" t="s">
        <v>1499</v>
      </c>
      <c r="AF795" s="80" t="s">
        <v>1500</v>
      </c>
      <c r="AG795" s="81"/>
      <c r="AH795" s="81"/>
      <c r="AI795" s="81"/>
      <c r="AJ795" s="82"/>
      <c r="AK795" s="82"/>
      <c r="AL795" s="82"/>
      <c r="AM795" s="82"/>
      <c r="AN795" s="82"/>
      <c r="AO795" s="82"/>
      <c r="AP795" s="82"/>
      <c r="AQ795" s="82"/>
    </row>
    <row r="796" spans="1:43" ht="17.25" customHeight="1" x14ac:dyDescent="0.2">
      <c r="A796" s="91"/>
      <c r="B796" s="54" t="s">
        <v>672</v>
      </c>
      <c r="C796" s="54" t="s">
        <v>872</v>
      </c>
      <c r="D796" s="54"/>
      <c r="E796" s="54" t="s">
        <v>1501</v>
      </c>
      <c r="F796" s="72">
        <v>2022</v>
      </c>
      <c r="G796" s="72">
        <v>2026</v>
      </c>
      <c r="H796" s="72">
        <v>0</v>
      </c>
      <c r="I796" s="72">
        <v>14.18</v>
      </c>
      <c r="J796" s="73">
        <v>1</v>
      </c>
      <c r="K796" s="72">
        <v>14.18</v>
      </c>
      <c r="L796" s="54"/>
      <c r="M796" s="54"/>
      <c r="N796" s="72">
        <v>9</v>
      </c>
      <c r="O796" s="72">
        <v>117</v>
      </c>
      <c r="P796" s="54"/>
      <c r="Q796" s="65">
        <v>12256.96</v>
      </c>
      <c r="R796" s="54" t="s">
        <v>676</v>
      </c>
      <c r="S796" s="54">
        <v>2024</v>
      </c>
      <c r="T796" s="61">
        <v>0.23900000000000099</v>
      </c>
      <c r="U796" s="69">
        <f t="shared" si="86"/>
        <v>2929.4134400000121</v>
      </c>
      <c r="V796" s="70">
        <f t="shared" si="87"/>
        <v>206.58768970380905</v>
      </c>
      <c r="W796" s="15">
        <f t="shared" si="90"/>
        <v>0</v>
      </c>
      <c r="X796" s="15">
        <f t="shared" si="91"/>
        <v>0</v>
      </c>
      <c r="Y796" s="15">
        <f t="shared" si="92"/>
        <v>0</v>
      </c>
      <c r="Z796" s="13">
        <f t="shared" si="93"/>
        <v>0</v>
      </c>
      <c r="AA796" s="16">
        <f>VLOOKUP(S796,[1]CPI!$A$2:$D$67,4,0)</f>
        <v>1</v>
      </c>
      <c r="AB796" s="17">
        <f t="shared" si="88"/>
        <v>2929.4134400000121</v>
      </c>
      <c r="AC796" s="17">
        <f t="shared" si="89"/>
        <v>206.58768970380905</v>
      </c>
      <c r="AD796" s="54"/>
      <c r="AE796" s="46" t="s">
        <v>1502</v>
      </c>
      <c r="AF796" s="54"/>
      <c r="AG796" s="54"/>
      <c r="AH796" s="151"/>
      <c r="AI796" s="54"/>
      <c r="AJ796" s="82"/>
      <c r="AK796" s="82"/>
      <c r="AL796" s="82"/>
      <c r="AM796" s="82"/>
      <c r="AN796" s="82"/>
      <c r="AO796" s="82"/>
      <c r="AP796" s="82"/>
      <c r="AQ796" s="82"/>
    </row>
    <row r="797" spans="1:43" ht="15.75" customHeight="1" x14ac:dyDescent="0.2">
      <c r="A797" s="91"/>
      <c r="B797" s="54" t="s">
        <v>672</v>
      </c>
      <c r="C797" s="54" t="s">
        <v>872</v>
      </c>
      <c r="D797" s="54"/>
      <c r="E797" s="54" t="s">
        <v>1503</v>
      </c>
      <c r="F797" s="72">
        <v>2020</v>
      </c>
      <c r="G797" s="72">
        <v>2025</v>
      </c>
      <c r="H797" s="72">
        <v>0</v>
      </c>
      <c r="I797" s="72">
        <v>10.61</v>
      </c>
      <c r="J797" s="73">
        <v>1</v>
      </c>
      <c r="K797" s="72">
        <v>10.61</v>
      </c>
      <c r="L797" s="54"/>
      <c r="M797" s="54"/>
      <c r="N797" s="72">
        <v>8</v>
      </c>
      <c r="O797" s="72">
        <v>117</v>
      </c>
      <c r="P797" s="54"/>
      <c r="Q797" s="65">
        <v>9966</v>
      </c>
      <c r="R797" s="54" t="s">
        <v>676</v>
      </c>
      <c r="S797" s="54">
        <v>2023</v>
      </c>
      <c r="T797" s="61">
        <v>0.23900000000000099</v>
      </c>
      <c r="U797" s="69">
        <f t="shared" si="86"/>
        <v>2381.8740000000098</v>
      </c>
      <c r="V797" s="70">
        <f t="shared" si="87"/>
        <v>224.49330819981245</v>
      </c>
      <c r="W797" s="15">
        <f t="shared" si="90"/>
        <v>0</v>
      </c>
      <c r="X797" s="15">
        <f t="shared" si="91"/>
        <v>0</v>
      </c>
      <c r="Y797" s="15">
        <f t="shared" si="92"/>
        <v>0</v>
      </c>
      <c r="Z797" s="13">
        <f t="shared" si="93"/>
        <v>0</v>
      </c>
      <c r="AA797" s="16">
        <v>1</v>
      </c>
      <c r="AB797" s="17">
        <f t="shared" si="88"/>
        <v>2381.8740000000098</v>
      </c>
      <c r="AC797" s="17">
        <f t="shared" si="89"/>
        <v>224.49330819981245</v>
      </c>
      <c r="AD797" s="54"/>
      <c r="AE797" s="84" t="s">
        <v>1504</v>
      </c>
      <c r="AF797" s="85"/>
      <c r="AG797" s="54"/>
      <c r="AH797" s="54"/>
      <c r="AI797" s="54"/>
      <c r="AJ797" s="82"/>
      <c r="AK797" s="82"/>
      <c r="AL797" s="82"/>
      <c r="AM797" s="82"/>
      <c r="AN797" s="82"/>
      <c r="AO797" s="82"/>
      <c r="AP797" s="82"/>
      <c r="AQ797" s="82"/>
    </row>
    <row r="798" spans="1:43" ht="15.75" customHeight="1" x14ac:dyDescent="0.2">
      <c r="A798" s="91"/>
      <c r="B798" s="54" t="s">
        <v>672</v>
      </c>
      <c r="C798" s="54" t="s">
        <v>872</v>
      </c>
      <c r="D798" s="9" t="s">
        <v>281</v>
      </c>
      <c r="E798" s="54" t="s">
        <v>994</v>
      </c>
      <c r="F798" s="72">
        <v>2022</v>
      </c>
      <c r="G798" s="54"/>
      <c r="H798" s="72">
        <v>0</v>
      </c>
      <c r="I798" s="72">
        <v>6.7</v>
      </c>
      <c r="J798" s="54"/>
      <c r="K798" s="54"/>
      <c r="L798" s="54"/>
      <c r="M798" s="54"/>
      <c r="N798" s="72">
        <v>3</v>
      </c>
      <c r="O798" s="72">
        <v>117</v>
      </c>
      <c r="P798" s="54"/>
      <c r="Q798" s="65">
        <v>4469</v>
      </c>
      <c r="R798" s="54" t="s">
        <v>676</v>
      </c>
      <c r="S798" s="54">
        <v>2021</v>
      </c>
      <c r="T798" s="61">
        <v>0.23900000000000099</v>
      </c>
      <c r="U798" s="69">
        <f t="shared" si="86"/>
        <v>1068.0910000000044</v>
      </c>
      <c r="V798" s="70">
        <f t="shared" si="87"/>
        <v>159.41656716417975</v>
      </c>
      <c r="W798" s="15">
        <f t="shared" si="90"/>
        <v>0</v>
      </c>
      <c r="X798" s="15">
        <f t="shared" si="91"/>
        <v>0</v>
      </c>
      <c r="Y798" s="15">
        <f t="shared" si="92"/>
        <v>0</v>
      </c>
      <c r="Z798" s="13">
        <f t="shared" si="93"/>
        <v>0</v>
      </c>
      <c r="AA798" s="16">
        <f>VLOOKUP(S798,[1]CPI!$A$2:$D$67,4,0)</f>
        <v>1</v>
      </c>
      <c r="AB798" s="17">
        <f t="shared" si="88"/>
        <v>1068.0910000000044</v>
      </c>
      <c r="AC798" s="17">
        <f t="shared" si="89"/>
        <v>159.41656716417975</v>
      </c>
      <c r="AD798" s="54"/>
      <c r="AE798" s="46" t="s">
        <v>1505</v>
      </c>
      <c r="AF798" s="54"/>
      <c r="AG798" s="54"/>
      <c r="AH798" s="54"/>
      <c r="AI798" s="54"/>
      <c r="AJ798" s="82"/>
      <c r="AK798" s="82"/>
      <c r="AL798" s="82"/>
      <c r="AM798" s="82"/>
      <c r="AN798" s="82"/>
      <c r="AO798" s="82"/>
      <c r="AP798" s="82"/>
      <c r="AQ798" s="82"/>
    </row>
    <row r="799" spans="1:43" ht="15.75" customHeight="1" x14ac:dyDescent="0.2">
      <c r="A799" s="91"/>
      <c r="B799" s="54" t="s">
        <v>672</v>
      </c>
      <c r="C799" s="54" t="s">
        <v>872</v>
      </c>
      <c r="D799" s="54"/>
      <c r="E799" s="54" t="s">
        <v>1506</v>
      </c>
      <c r="F799" s="72">
        <v>2021</v>
      </c>
      <c r="G799" s="72">
        <v>2027</v>
      </c>
      <c r="H799" s="72">
        <v>1</v>
      </c>
      <c r="I799" s="72">
        <v>51.789000000000001</v>
      </c>
      <c r="J799" s="73">
        <v>0.98</v>
      </c>
      <c r="K799" s="72">
        <v>50.529000000000003</v>
      </c>
      <c r="L799" s="54"/>
      <c r="M799" s="54"/>
      <c r="N799" s="72">
        <v>14</v>
      </c>
      <c r="O799" s="72">
        <v>138</v>
      </c>
      <c r="P799" s="54"/>
      <c r="Q799" s="65">
        <v>34587</v>
      </c>
      <c r="R799" s="54" t="s">
        <v>676</v>
      </c>
      <c r="S799" s="54">
        <v>2021</v>
      </c>
      <c r="T799" s="61">
        <v>0.23900000000000099</v>
      </c>
      <c r="U799" s="69">
        <f t="shared" si="86"/>
        <v>8266.2930000000342</v>
      </c>
      <c r="V799" s="70">
        <f t="shared" si="87"/>
        <v>159.61484098939994</v>
      </c>
      <c r="W799" s="15">
        <f t="shared" si="90"/>
        <v>0</v>
      </c>
      <c r="X799" s="15">
        <f t="shared" si="91"/>
        <v>0</v>
      </c>
      <c r="Y799" s="15">
        <f t="shared" si="92"/>
        <v>0</v>
      </c>
      <c r="Z799" s="13">
        <f t="shared" si="93"/>
        <v>0</v>
      </c>
      <c r="AA799" s="16">
        <f>VLOOKUP(S799,[1]CPI!$A$2:$D$67,4,0)</f>
        <v>1</v>
      </c>
      <c r="AB799" s="17">
        <f t="shared" si="88"/>
        <v>8266.2930000000342</v>
      </c>
      <c r="AC799" s="17">
        <f t="shared" si="89"/>
        <v>159.61484098939994</v>
      </c>
      <c r="AD799" s="54"/>
      <c r="AE799" s="46" t="s">
        <v>1507</v>
      </c>
      <c r="AF799" s="80" t="s">
        <v>1508</v>
      </c>
      <c r="AG799" s="81"/>
      <c r="AH799" s="81"/>
      <c r="AI799" s="81"/>
      <c r="AJ799" s="82"/>
      <c r="AK799" s="82"/>
      <c r="AL799" s="82"/>
      <c r="AM799" s="82"/>
      <c r="AN799" s="82"/>
      <c r="AO799" s="82"/>
      <c r="AP799" s="82"/>
      <c r="AQ799" s="82"/>
    </row>
    <row r="800" spans="1:43" ht="15.75" customHeight="1" x14ac:dyDescent="0.2">
      <c r="A800" s="91"/>
      <c r="B800" s="54" t="s">
        <v>672</v>
      </c>
      <c r="C800" s="54" t="s">
        <v>872</v>
      </c>
      <c r="D800" s="54" t="s">
        <v>1078</v>
      </c>
      <c r="E800" s="54" t="s">
        <v>1509</v>
      </c>
      <c r="F800" s="72">
        <v>2021</v>
      </c>
      <c r="G800" s="54"/>
      <c r="H800" s="72">
        <v>1</v>
      </c>
      <c r="I800" s="72">
        <v>32.799999999999997</v>
      </c>
      <c r="J800" s="73">
        <v>0.93</v>
      </c>
      <c r="K800" s="72">
        <v>30.5</v>
      </c>
      <c r="L800" s="54"/>
      <c r="M800" s="54"/>
      <c r="N800" s="72">
        <v>11</v>
      </c>
      <c r="O800" s="72">
        <v>138</v>
      </c>
      <c r="P800" s="54"/>
      <c r="Q800" s="65">
        <v>22659</v>
      </c>
      <c r="R800" s="54" t="s">
        <v>676</v>
      </c>
      <c r="S800" s="54">
        <v>2021</v>
      </c>
      <c r="T800" s="61">
        <v>0.23900000000000099</v>
      </c>
      <c r="U800" s="69">
        <f t="shared" si="86"/>
        <v>5415.501000000022</v>
      </c>
      <c r="V800" s="70">
        <f t="shared" si="87"/>
        <v>165.10673780487875</v>
      </c>
      <c r="W800" s="15">
        <f t="shared" si="90"/>
        <v>0</v>
      </c>
      <c r="X800" s="15">
        <f t="shared" si="91"/>
        <v>0</v>
      </c>
      <c r="Y800" s="15">
        <f t="shared" si="92"/>
        <v>0</v>
      </c>
      <c r="Z800" s="13">
        <f t="shared" si="93"/>
        <v>0</v>
      </c>
      <c r="AA800" s="16">
        <f>VLOOKUP(S800,[1]CPI!$A$2:$D$67,4,0)</f>
        <v>1</v>
      </c>
      <c r="AB800" s="17">
        <f t="shared" si="88"/>
        <v>5415.501000000022</v>
      </c>
      <c r="AC800" s="17">
        <f t="shared" si="89"/>
        <v>165.10673780487875</v>
      </c>
      <c r="AD800" s="54"/>
      <c r="AE800" s="46" t="s">
        <v>1510</v>
      </c>
      <c r="AF800" s="54"/>
      <c r="AG800" s="54"/>
      <c r="AH800" s="54"/>
      <c r="AI800" s="54"/>
      <c r="AJ800" s="82"/>
      <c r="AK800" s="82"/>
      <c r="AL800" s="82"/>
      <c r="AM800" s="82"/>
      <c r="AN800" s="82"/>
      <c r="AO800" s="82"/>
      <c r="AP800" s="82"/>
      <c r="AQ800" s="82"/>
    </row>
    <row r="801" spans="1:43" ht="15.75" customHeight="1" x14ac:dyDescent="0.2">
      <c r="A801" s="91"/>
      <c r="B801" s="54" t="s">
        <v>672</v>
      </c>
      <c r="C801" s="54" t="s">
        <v>872</v>
      </c>
      <c r="D801" s="54" t="s">
        <v>1078</v>
      </c>
      <c r="E801" s="54" t="s">
        <v>953</v>
      </c>
      <c r="F801" s="72">
        <v>2021</v>
      </c>
      <c r="G801" s="72">
        <v>2027</v>
      </c>
      <c r="H801" s="72">
        <v>1</v>
      </c>
      <c r="I801" s="72">
        <v>38.729999999999997</v>
      </c>
      <c r="J801" s="73">
        <v>0.92</v>
      </c>
      <c r="K801" s="72">
        <v>35.463000000000001</v>
      </c>
      <c r="L801" s="54"/>
      <c r="M801" s="54"/>
      <c r="N801" s="72">
        <v>14</v>
      </c>
      <c r="O801" s="72">
        <v>138</v>
      </c>
      <c r="P801" s="54"/>
      <c r="Q801" s="65">
        <v>27398</v>
      </c>
      <c r="R801" s="54" t="s">
        <v>676</v>
      </c>
      <c r="S801" s="54">
        <v>2021</v>
      </c>
      <c r="T801" s="61">
        <v>0.23900000000000099</v>
      </c>
      <c r="U801" s="69">
        <f t="shared" si="86"/>
        <v>6548.1220000000267</v>
      </c>
      <c r="V801" s="70">
        <f t="shared" si="87"/>
        <v>169.07105602891886</v>
      </c>
      <c r="W801" s="15">
        <f t="shared" si="90"/>
        <v>0</v>
      </c>
      <c r="X801" s="15">
        <f t="shared" si="91"/>
        <v>0</v>
      </c>
      <c r="Y801" s="15">
        <f t="shared" si="92"/>
        <v>0</v>
      </c>
      <c r="Z801" s="13">
        <f t="shared" si="93"/>
        <v>0</v>
      </c>
      <c r="AA801" s="16">
        <f>VLOOKUP(S801,[1]CPI!$A$2:$D$67,4,0)</f>
        <v>1</v>
      </c>
      <c r="AB801" s="17">
        <f t="shared" si="88"/>
        <v>6548.1220000000267</v>
      </c>
      <c r="AC801" s="17">
        <f t="shared" si="89"/>
        <v>169.07105602891886</v>
      </c>
      <c r="AD801" s="54"/>
      <c r="AE801" s="46" t="s">
        <v>1511</v>
      </c>
      <c r="AF801" s="84" t="s">
        <v>1512</v>
      </c>
      <c r="AG801" s="85"/>
      <c r="AH801" s="85"/>
      <c r="AI801" s="54"/>
      <c r="AJ801" s="82"/>
      <c r="AK801" s="82"/>
      <c r="AL801" s="82"/>
      <c r="AM801" s="82"/>
      <c r="AN801" s="82"/>
      <c r="AO801" s="82"/>
      <c r="AP801" s="82"/>
      <c r="AQ801" s="82"/>
    </row>
    <row r="802" spans="1:43" ht="15.75" customHeight="1" x14ac:dyDescent="0.2">
      <c r="A802" s="91"/>
      <c r="B802" s="54" t="s">
        <v>672</v>
      </c>
      <c r="C802" s="54" t="s">
        <v>872</v>
      </c>
      <c r="D802" s="54"/>
      <c r="E802" s="54" t="s">
        <v>1513</v>
      </c>
      <c r="F802" s="72">
        <v>2021</v>
      </c>
      <c r="G802" s="54"/>
      <c r="H802" s="72">
        <v>0</v>
      </c>
      <c r="I802" s="72">
        <v>18.899999999999999</v>
      </c>
      <c r="J802" s="73">
        <v>1</v>
      </c>
      <c r="K802" s="72">
        <v>18.899999999999999</v>
      </c>
      <c r="L802" s="54"/>
      <c r="M802" s="54"/>
      <c r="N802" s="72">
        <v>12</v>
      </c>
      <c r="O802" s="72">
        <v>117</v>
      </c>
      <c r="P802" s="54"/>
      <c r="Q802" s="65">
        <v>15364</v>
      </c>
      <c r="R802" s="54" t="s">
        <v>676</v>
      </c>
      <c r="S802" s="54">
        <v>2021</v>
      </c>
      <c r="T802" s="61">
        <v>0.23900000000000099</v>
      </c>
      <c r="U802" s="69">
        <f t="shared" si="86"/>
        <v>3671.9960000000151</v>
      </c>
      <c r="V802" s="70">
        <f t="shared" si="87"/>
        <v>194.28550264550347</v>
      </c>
      <c r="W802" s="15">
        <f t="shared" si="90"/>
        <v>0</v>
      </c>
      <c r="X802" s="15">
        <f t="shared" si="91"/>
        <v>0</v>
      </c>
      <c r="Y802" s="15">
        <f t="shared" si="92"/>
        <v>0</v>
      </c>
      <c r="Z802" s="13">
        <f t="shared" si="93"/>
        <v>0</v>
      </c>
      <c r="AA802" s="16">
        <f>VLOOKUP(S802,[1]CPI!$A$2:$D$67,4,0)</f>
        <v>1</v>
      </c>
      <c r="AB802" s="17">
        <f t="shared" si="88"/>
        <v>3671.9960000000151</v>
      </c>
      <c r="AC802" s="17">
        <f t="shared" si="89"/>
        <v>194.28550264550347</v>
      </c>
      <c r="AD802" s="54"/>
      <c r="AE802" s="46" t="s">
        <v>1514</v>
      </c>
      <c r="AF802" s="54"/>
      <c r="AG802" s="54"/>
      <c r="AH802" s="54"/>
      <c r="AI802" s="54"/>
      <c r="AJ802" s="82"/>
      <c r="AK802" s="82"/>
      <c r="AL802" s="82"/>
      <c r="AM802" s="82"/>
      <c r="AN802" s="82"/>
      <c r="AO802" s="82"/>
      <c r="AP802" s="82"/>
      <c r="AQ802" s="82"/>
    </row>
    <row r="803" spans="1:43" ht="15.75" customHeight="1" x14ac:dyDescent="0.2">
      <c r="A803" s="91"/>
      <c r="B803" s="54" t="s">
        <v>672</v>
      </c>
      <c r="C803" s="54" t="s">
        <v>872</v>
      </c>
      <c r="D803" s="54" t="s">
        <v>92</v>
      </c>
      <c r="E803" s="54" t="s">
        <v>761</v>
      </c>
      <c r="F803" s="72">
        <v>2007</v>
      </c>
      <c r="G803" s="54"/>
      <c r="H803" s="72">
        <v>0</v>
      </c>
      <c r="I803" s="72">
        <v>15.5</v>
      </c>
      <c r="J803" s="54"/>
      <c r="K803" s="54"/>
      <c r="L803" s="54"/>
      <c r="M803" s="54"/>
      <c r="N803" s="72">
        <v>9</v>
      </c>
      <c r="O803" s="72">
        <v>117</v>
      </c>
      <c r="P803" s="54"/>
      <c r="Q803" s="65">
        <v>5014</v>
      </c>
      <c r="R803" s="54" t="s">
        <v>676</v>
      </c>
      <c r="S803" s="54">
        <v>2007</v>
      </c>
      <c r="T803" s="15">
        <v>0.33300000000000002</v>
      </c>
      <c r="U803" s="69">
        <f t="shared" si="86"/>
        <v>1669.662</v>
      </c>
      <c r="V803" s="70">
        <f t="shared" si="87"/>
        <v>107.72012903225807</v>
      </c>
      <c r="W803" s="15">
        <f t="shared" si="90"/>
        <v>0</v>
      </c>
      <c r="X803" s="15">
        <f t="shared" si="91"/>
        <v>0</v>
      </c>
      <c r="Y803" s="15">
        <f t="shared" si="92"/>
        <v>0</v>
      </c>
      <c r="Z803" s="13">
        <f t="shared" si="93"/>
        <v>0</v>
      </c>
      <c r="AA803" s="16">
        <f>VLOOKUP(S803,[1]CPI!$A$2:$D$67,4,0)</f>
        <v>1.3068746322500988</v>
      </c>
      <c r="AB803" s="17">
        <f t="shared" si="88"/>
        <v>2182.0389122319643</v>
      </c>
      <c r="AC803" s="17">
        <f t="shared" si="89"/>
        <v>140.77670401496545</v>
      </c>
      <c r="AD803" s="54"/>
      <c r="AE803" s="46" t="s">
        <v>1515</v>
      </c>
      <c r="AF803" s="54"/>
      <c r="AG803" s="54"/>
      <c r="AH803" s="54"/>
      <c r="AI803" s="54"/>
      <c r="AJ803" s="82"/>
      <c r="AK803" s="82"/>
      <c r="AL803" s="82"/>
      <c r="AM803" s="82"/>
      <c r="AN803" s="82"/>
      <c r="AO803" s="82"/>
      <c r="AP803" s="82"/>
      <c r="AQ803" s="82"/>
    </row>
    <row r="804" spans="1:43" ht="15.75" customHeight="1" x14ac:dyDescent="0.2">
      <c r="A804" s="91"/>
      <c r="B804" s="54" t="s">
        <v>672</v>
      </c>
      <c r="C804" s="54" t="s">
        <v>872</v>
      </c>
      <c r="D804" s="54" t="s">
        <v>92</v>
      </c>
      <c r="E804" s="54" t="s">
        <v>679</v>
      </c>
      <c r="F804" s="72">
        <v>2007</v>
      </c>
      <c r="G804" s="54"/>
      <c r="H804" s="72">
        <v>0</v>
      </c>
      <c r="I804" s="72">
        <v>16.5</v>
      </c>
      <c r="J804" s="54"/>
      <c r="K804" s="54"/>
      <c r="L804" s="54"/>
      <c r="M804" s="54"/>
      <c r="N804" s="72">
        <v>14</v>
      </c>
      <c r="O804" s="72">
        <v>117</v>
      </c>
      <c r="P804" s="54"/>
      <c r="Q804" s="65">
        <v>7500</v>
      </c>
      <c r="R804" s="54" t="s">
        <v>676</v>
      </c>
      <c r="S804" s="54">
        <v>2007</v>
      </c>
      <c r="T804" s="15">
        <v>0.33300000000000002</v>
      </c>
      <c r="U804" s="69">
        <f t="shared" si="86"/>
        <v>2497.5</v>
      </c>
      <c r="V804" s="70">
        <f t="shared" si="87"/>
        <v>151.36363636363637</v>
      </c>
      <c r="W804" s="15">
        <f t="shared" si="90"/>
        <v>0</v>
      </c>
      <c r="X804" s="15">
        <f t="shared" si="91"/>
        <v>0</v>
      </c>
      <c r="Y804" s="15">
        <f t="shared" si="92"/>
        <v>0</v>
      </c>
      <c r="Z804" s="13">
        <f t="shared" si="93"/>
        <v>0</v>
      </c>
      <c r="AA804" s="16">
        <f>VLOOKUP(S804,[1]CPI!$A$2:$D$67,4,0)</f>
        <v>1.3068746322500988</v>
      </c>
      <c r="AB804" s="17">
        <f t="shared" si="88"/>
        <v>3263.9193940446216</v>
      </c>
      <c r="AC804" s="17">
        <f t="shared" si="89"/>
        <v>197.81329660876497</v>
      </c>
      <c r="AD804" s="54"/>
      <c r="AE804" s="46" t="s">
        <v>1515</v>
      </c>
      <c r="AF804" s="54"/>
      <c r="AG804" s="54"/>
      <c r="AH804" s="54"/>
      <c r="AI804" s="54"/>
      <c r="AJ804" s="82"/>
      <c r="AK804" s="82"/>
      <c r="AL804" s="82"/>
      <c r="AM804" s="82"/>
      <c r="AN804" s="82"/>
      <c r="AO804" s="82"/>
      <c r="AP804" s="82"/>
      <c r="AQ804" s="82"/>
    </row>
    <row r="805" spans="1:43" ht="15.75" customHeight="1" x14ac:dyDescent="0.2">
      <c r="A805" s="91"/>
      <c r="B805" s="54" t="s">
        <v>672</v>
      </c>
      <c r="C805" s="54" t="s">
        <v>872</v>
      </c>
      <c r="D805" s="54"/>
      <c r="E805" s="54" t="s">
        <v>103</v>
      </c>
      <c r="F805" s="72">
        <v>2007</v>
      </c>
      <c r="G805" s="54"/>
      <c r="H805" s="72">
        <v>0</v>
      </c>
      <c r="I805" s="72">
        <v>39.1</v>
      </c>
      <c r="J805" s="54"/>
      <c r="K805" s="54"/>
      <c r="L805" s="54"/>
      <c r="M805" s="54"/>
      <c r="N805" s="72">
        <v>29</v>
      </c>
      <c r="O805" s="72">
        <v>120</v>
      </c>
      <c r="P805" s="54"/>
      <c r="Q805" s="65">
        <v>13800</v>
      </c>
      <c r="R805" s="54" t="s">
        <v>676</v>
      </c>
      <c r="S805" s="54">
        <v>2007</v>
      </c>
      <c r="T805" s="15">
        <v>0.33300000000000002</v>
      </c>
      <c r="U805" s="69">
        <f t="shared" si="86"/>
        <v>4595.4000000000005</v>
      </c>
      <c r="V805" s="70">
        <f t="shared" si="87"/>
        <v>117.5294117647059</v>
      </c>
      <c r="W805" s="15">
        <f t="shared" si="90"/>
        <v>0</v>
      </c>
      <c r="X805" s="15">
        <f t="shared" si="91"/>
        <v>0</v>
      </c>
      <c r="Y805" s="15">
        <f t="shared" si="92"/>
        <v>0</v>
      </c>
      <c r="Z805" s="13">
        <f t="shared" si="93"/>
        <v>0</v>
      </c>
      <c r="AA805" s="16">
        <f>VLOOKUP(S805,[1]CPI!$A$2:$D$67,4,0)</f>
        <v>1.3068746322500988</v>
      </c>
      <c r="AB805" s="17">
        <f t="shared" si="88"/>
        <v>6005.6116850421049</v>
      </c>
      <c r="AC805" s="17">
        <f t="shared" si="89"/>
        <v>153.59620677857046</v>
      </c>
      <c r="AD805" s="54"/>
      <c r="AE805" s="46" t="s">
        <v>1516</v>
      </c>
      <c r="AF805" s="54"/>
      <c r="AG805" s="54"/>
      <c r="AH805" s="54"/>
      <c r="AI805" s="54"/>
      <c r="AJ805" s="82"/>
      <c r="AK805" s="82"/>
      <c r="AL805" s="82"/>
      <c r="AM805" s="82"/>
      <c r="AN805" s="82"/>
      <c r="AO805" s="82"/>
      <c r="AP805" s="82"/>
      <c r="AQ805" s="82"/>
    </row>
    <row r="806" spans="1:43" ht="15.75" customHeight="1" x14ac:dyDescent="0.2">
      <c r="A806" s="91"/>
      <c r="B806" s="54" t="s">
        <v>672</v>
      </c>
      <c r="C806" s="54" t="s">
        <v>872</v>
      </c>
      <c r="D806" s="54"/>
      <c r="E806" s="54" t="s">
        <v>99</v>
      </c>
      <c r="F806" s="72">
        <v>2000</v>
      </c>
      <c r="G806" s="54"/>
      <c r="H806" s="72">
        <v>0</v>
      </c>
      <c r="I806" s="72">
        <v>19.149999999999999</v>
      </c>
      <c r="J806" s="54"/>
      <c r="K806" s="54"/>
      <c r="L806" s="54"/>
      <c r="M806" s="54"/>
      <c r="N806" s="72">
        <v>18</v>
      </c>
      <c r="O806" s="72">
        <v>120</v>
      </c>
      <c r="P806" s="54"/>
      <c r="Q806" s="65">
        <v>4300</v>
      </c>
      <c r="R806" s="54" t="s">
        <v>676</v>
      </c>
      <c r="S806" s="54">
        <v>2000</v>
      </c>
      <c r="T806" s="15">
        <v>0.36699999999999999</v>
      </c>
      <c r="U806" s="69">
        <f t="shared" si="86"/>
        <v>1578.1</v>
      </c>
      <c r="V806" s="70">
        <f t="shared" si="87"/>
        <v>82.407310704960835</v>
      </c>
      <c r="W806" s="15">
        <f t="shared" si="90"/>
        <v>0</v>
      </c>
      <c r="X806" s="15">
        <f t="shared" si="91"/>
        <v>0</v>
      </c>
      <c r="Y806" s="15">
        <f t="shared" si="92"/>
        <v>0</v>
      </c>
      <c r="Z806" s="13">
        <f t="shared" si="93"/>
        <v>0</v>
      </c>
      <c r="AA806" s="16">
        <f>VLOOKUP(S806,[1]CPI!$A$2:$D$67,4,0)</f>
        <v>1.5735772357723581</v>
      </c>
      <c r="AB806" s="17">
        <f t="shared" si="88"/>
        <v>2483.2622357723581</v>
      </c>
      <c r="AC806" s="17">
        <f t="shared" si="89"/>
        <v>129.67426818654613</v>
      </c>
      <c r="AD806" s="54"/>
      <c r="AE806" s="46" t="s">
        <v>1517</v>
      </c>
      <c r="AF806" s="80" t="s">
        <v>1518</v>
      </c>
      <c r="AG806" s="81"/>
      <c r="AH806" s="81"/>
      <c r="AI806" s="81"/>
      <c r="AJ806" s="82"/>
      <c r="AK806" s="82"/>
      <c r="AL806" s="82"/>
      <c r="AM806" s="82"/>
      <c r="AN806" s="82"/>
      <c r="AO806" s="82"/>
      <c r="AP806" s="82"/>
      <c r="AQ806" s="82"/>
    </row>
    <row r="807" spans="1:43" ht="15.75" customHeight="1" x14ac:dyDescent="0.2">
      <c r="A807" s="91"/>
      <c r="B807" s="54" t="s">
        <v>672</v>
      </c>
      <c r="C807" s="54" t="s">
        <v>872</v>
      </c>
      <c r="D807" s="9" t="s">
        <v>142</v>
      </c>
      <c r="E807" s="54" t="s">
        <v>1519</v>
      </c>
      <c r="F807" s="72">
        <v>2021</v>
      </c>
      <c r="G807" s="72">
        <v>2026</v>
      </c>
      <c r="H807" s="72">
        <v>0</v>
      </c>
      <c r="I807" s="72">
        <v>10.9</v>
      </c>
      <c r="J807" s="73">
        <v>1</v>
      </c>
      <c r="K807" s="72">
        <v>10.9</v>
      </c>
      <c r="L807" s="54"/>
      <c r="M807" s="54"/>
      <c r="N807" s="72">
        <v>9</v>
      </c>
      <c r="O807" s="72">
        <v>117</v>
      </c>
      <c r="P807" s="54"/>
      <c r="Q807" s="65">
        <v>10603</v>
      </c>
      <c r="R807" s="54" t="s">
        <v>676</v>
      </c>
      <c r="S807" s="54">
        <v>2021</v>
      </c>
      <c r="T807" s="61">
        <v>0.23900000000000099</v>
      </c>
      <c r="U807" s="69">
        <f t="shared" si="86"/>
        <v>2534.1170000000106</v>
      </c>
      <c r="V807" s="70">
        <f t="shared" si="87"/>
        <v>232.48779816513857</v>
      </c>
      <c r="W807" s="15">
        <f t="shared" si="90"/>
        <v>0</v>
      </c>
      <c r="X807" s="15">
        <f t="shared" si="91"/>
        <v>0</v>
      </c>
      <c r="Y807" s="15">
        <f t="shared" si="92"/>
        <v>0</v>
      </c>
      <c r="Z807" s="13">
        <f t="shared" si="93"/>
        <v>0</v>
      </c>
      <c r="AA807" s="16">
        <f>VLOOKUP(S807,[1]CPI!$A$2:$D$67,4,0)</f>
        <v>1</v>
      </c>
      <c r="AB807" s="17">
        <f t="shared" si="88"/>
        <v>2534.1170000000106</v>
      </c>
      <c r="AC807" s="17">
        <f t="shared" si="89"/>
        <v>232.48779816513857</v>
      </c>
      <c r="AD807" s="54"/>
      <c r="AE807" s="46" t="s">
        <v>1520</v>
      </c>
      <c r="AF807" s="84" t="s">
        <v>1521</v>
      </c>
      <c r="AG807" s="85"/>
      <c r="AH807" s="85"/>
      <c r="AI807" s="85"/>
      <c r="AJ807" s="82"/>
      <c r="AK807" s="82"/>
      <c r="AL807" s="82"/>
      <c r="AM807" s="82"/>
      <c r="AN807" s="82"/>
      <c r="AO807" s="82"/>
      <c r="AP807" s="82"/>
      <c r="AQ807" s="82"/>
    </row>
    <row r="808" spans="1:43" ht="15.75" customHeight="1" x14ac:dyDescent="0.2">
      <c r="A808" s="91"/>
      <c r="B808" s="54" t="s">
        <v>672</v>
      </c>
      <c r="C808" s="54" t="s">
        <v>866</v>
      </c>
      <c r="D808" s="9" t="s">
        <v>281</v>
      </c>
      <c r="E808" s="54" t="s">
        <v>1522</v>
      </c>
      <c r="F808" s="72">
        <v>2020</v>
      </c>
      <c r="G808" s="54"/>
      <c r="H808" s="72">
        <v>0</v>
      </c>
      <c r="I808" s="72">
        <v>5.29</v>
      </c>
      <c r="J808" s="73">
        <v>1</v>
      </c>
      <c r="K808" s="72">
        <v>5.29</v>
      </c>
      <c r="L808" s="54"/>
      <c r="M808" s="54"/>
      <c r="N808" s="72">
        <v>6</v>
      </c>
      <c r="O808" s="72">
        <v>117</v>
      </c>
      <c r="P808" s="54"/>
      <c r="Q808" s="65">
        <v>4083</v>
      </c>
      <c r="R808" s="54" t="s">
        <v>676</v>
      </c>
      <c r="S808" s="54">
        <v>2020</v>
      </c>
      <c r="T808" s="61">
        <v>0.23899999999999999</v>
      </c>
      <c r="U808" s="69">
        <f t="shared" si="86"/>
        <v>975.83699999999999</v>
      </c>
      <c r="V808" s="70">
        <f t="shared" si="87"/>
        <v>184.46824196597353</v>
      </c>
      <c r="W808" s="15">
        <f t="shared" si="90"/>
        <v>0</v>
      </c>
      <c r="X808" s="15">
        <f t="shared" si="91"/>
        <v>0</v>
      </c>
      <c r="Y808" s="15">
        <f t="shared" si="92"/>
        <v>0</v>
      </c>
      <c r="Z808" s="13">
        <f t="shared" si="93"/>
        <v>0</v>
      </c>
      <c r="AA808" s="16">
        <f>VLOOKUP(S808,[1]CPI!$A$2:$D$67,4,0)</f>
        <v>1.0469802288156225</v>
      </c>
      <c r="AB808" s="17">
        <f t="shared" si="88"/>
        <v>1021.6820455467506</v>
      </c>
      <c r="AC808" s="17">
        <f t="shared" si="89"/>
        <v>193.13460218275057</v>
      </c>
      <c r="AD808" s="54"/>
      <c r="AE808" s="46" t="s">
        <v>1349</v>
      </c>
      <c r="AF808" s="84" t="s">
        <v>1350</v>
      </c>
      <c r="AG808" s="85"/>
      <c r="AH808" s="85"/>
      <c r="AI808" s="85"/>
      <c r="AJ808" s="82"/>
      <c r="AK808" s="82"/>
      <c r="AL808" s="82"/>
      <c r="AM808" s="82"/>
      <c r="AN808" s="82"/>
      <c r="AO808" s="82"/>
      <c r="AP808" s="82"/>
      <c r="AQ808" s="82"/>
    </row>
    <row r="809" spans="1:43" ht="15.75" customHeight="1" x14ac:dyDescent="0.2">
      <c r="A809" s="91"/>
      <c r="B809" s="54" t="s">
        <v>672</v>
      </c>
      <c r="C809" s="54" t="s">
        <v>796</v>
      </c>
      <c r="D809" s="54" t="s">
        <v>386</v>
      </c>
      <c r="E809" s="54" t="s">
        <v>864</v>
      </c>
      <c r="F809" s="72">
        <v>2012</v>
      </c>
      <c r="G809" s="72">
        <v>2018</v>
      </c>
      <c r="H809" s="72">
        <v>0</v>
      </c>
      <c r="I809" s="72">
        <v>54.4</v>
      </c>
      <c r="J809" s="73">
        <v>0.4</v>
      </c>
      <c r="K809" s="72">
        <v>21.9</v>
      </c>
      <c r="L809" s="54"/>
      <c r="M809" s="54"/>
      <c r="N809" s="72">
        <v>13</v>
      </c>
      <c r="O809" s="72">
        <v>117</v>
      </c>
      <c r="P809" s="54"/>
      <c r="Q809" s="65">
        <v>18913</v>
      </c>
      <c r="R809" s="54" t="s">
        <v>676</v>
      </c>
      <c r="S809" s="54">
        <v>2015</v>
      </c>
      <c r="T809" s="15">
        <v>0.25800000000000001</v>
      </c>
      <c r="U809" s="69">
        <f t="shared" si="86"/>
        <v>4879.5540000000001</v>
      </c>
      <c r="V809" s="70">
        <f t="shared" si="87"/>
        <v>89.697683823529417</v>
      </c>
      <c r="W809" s="15">
        <f t="shared" si="90"/>
        <v>0</v>
      </c>
      <c r="X809" s="15">
        <f t="shared" si="91"/>
        <v>0</v>
      </c>
      <c r="Y809" s="15">
        <f t="shared" si="92"/>
        <v>0</v>
      </c>
      <c r="Z809" s="13">
        <f t="shared" si="93"/>
        <v>0</v>
      </c>
      <c r="AA809" s="16">
        <f>VLOOKUP(S809,[1]CPI!$A$2:$D$67,4,0)</f>
        <v>1.143251327963817</v>
      </c>
      <c r="AB809" s="17">
        <f t="shared" si="88"/>
        <v>5578.5565903711549</v>
      </c>
      <c r="AC809" s="17">
        <f t="shared" si="89"/>
        <v>102.5469961465286</v>
      </c>
      <c r="AD809" s="54"/>
      <c r="AE809" s="46" t="s">
        <v>1523</v>
      </c>
      <c r="AF809" s="80" t="s">
        <v>1524</v>
      </c>
      <c r="AG809" s="81"/>
      <c r="AH809" s="81"/>
      <c r="AI809" s="81"/>
      <c r="AJ809" s="82"/>
      <c r="AK809" s="82"/>
      <c r="AL809" s="82"/>
      <c r="AM809" s="82"/>
      <c r="AN809" s="82"/>
      <c r="AO809" s="82"/>
      <c r="AP809" s="82"/>
      <c r="AQ809" s="82"/>
    </row>
    <row r="810" spans="1:43" ht="15.75" customHeight="1" x14ac:dyDescent="0.2">
      <c r="A810" s="91"/>
      <c r="B810" s="54" t="s">
        <v>672</v>
      </c>
      <c r="C810" s="54" t="s">
        <v>796</v>
      </c>
      <c r="D810" s="54" t="s">
        <v>386</v>
      </c>
      <c r="E810" s="54" t="s">
        <v>1525</v>
      </c>
      <c r="F810" s="72">
        <v>2012</v>
      </c>
      <c r="G810" s="72">
        <v>2018</v>
      </c>
      <c r="H810" s="72">
        <v>0</v>
      </c>
      <c r="I810" s="72">
        <v>21.6</v>
      </c>
      <c r="J810" s="73">
        <v>0.92</v>
      </c>
      <c r="K810" s="72">
        <v>19.899999999999999</v>
      </c>
      <c r="L810" s="54"/>
      <c r="M810" s="54"/>
      <c r="N810" s="72">
        <v>5</v>
      </c>
      <c r="O810" s="72">
        <v>117</v>
      </c>
      <c r="P810" s="54"/>
      <c r="Q810" s="65">
        <v>7802</v>
      </c>
      <c r="R810" s="54" t="s">
        <v>676</v>
      </c>
      <c r="S810" s="54">
        <v>2015</v>
      </c>
      <c r="T810" s="15">
        <v>0.25800000000000001</v>
      </c>
      <c r="U810" s="69">
        <f t="shared" si="86"/>
        <v>2012.9160000000002</v>
      </c>
      <c r="V810" s="70">
        <f t="shared" si="87"/>
        <v>93.190555555555562</v>
      </c>
      <c r="W810" s="15">
        <f t="shared" si="90"/>
        <v>0</v>
      </c>
      <c r="X810" s="15">
        <f t="shared" si="91"/>
        <v>0</v>
      </c>
      <c r="Y810" s="15">
        <f t="shared" si="92"/>
        <v>0</v>
      </c>
      <c r="Z810" s="13">
        <f t="shared" si="93"/>
        <v>0</v>
      </c>
      <c r="AA810" s="16">
        <f>VLOOKUP(S810,[1]CPI!$A$2:$D$67,4,0)</f>
        <v>1.143251327963817</v>
      </c>
      <c r="AB810" s="17">
        <f t="shared" si="88"/>
        <v>2301.2688900796147</v>
      </c>
      <c r="AC810" s="17">
        <f t="shared" si="89"/>
        <v>106.54022639257477</v>
      </c>
      <c r="AD810" s="54"/>
      <c r="AE810" s="46" t="s">
        <v>1523</v>
      </c>
      <c r="AF810" s="80" t="s">
        <v>1526</v>
      </c>
      <c r="AG810" s="81"/>
      <c r="AH810" s="81"/>
      <c r="AI810" s="81"/>
      <c r="AJ810" s="82"/>
      <c r="AK810" s="82"/>
      <c r="AL810" s="82"/>
      <c r="AM810" s="82"/>
      <c r="AN810" s="82"/>
      <c r="AO810" s="82"/>
      <c r="AP810" s="82"/>
      <c r="AQ810" s="82"/>
    </row>
    <row r="811" spans="1:43" ht="15.75" customHeight="1" x14ac:dyDescent="0.2">
      <c r="A811" s="91"/>
      <c r="B811" s="54" t="s">
        <v>672</v>
      </c>
      <c r="C811" s="54" t="s">
        <v>796</v>
      </c>
      <c r="D811" s="54"/>
      <c r="E811" s="54" t="s">
        <v>1527</v>
      </c>
      <c r="F811" s="72">
        <v>2012</v>
      </c>
      <c r="G811" s="72">
        <v>2018</v>
      </c>
      <c r="H811" s="72">
        <v>0</v>
      </c>
      <c r="I811" s="72">
        <v>12.5</v>
      </c>
      <c r="J811" s="73">
        <v>0.96</v>
      </c>
      <c r="K811" s="72">
        <v>12.01</v>
      </c>
      <c r="L811" s="54"/>
      <c r="M811" s="54"/>
      <c r="N811" s="72">
        <v>6</v>
      </c>
      <c r="O811" s="72">
        <v>68</v>
      </c>
      <c r="P811" s="54"/>
      <c r="Q811" s="65">
        <v>7849.42</v>
      </c>
      <c r="R811" s="54" t="s">
        <v>676</v>
      </c>
      <c r="S811" s="54">
        <v>2015</v>
      </c>
      <c r="T811" s="15">
        <v>0.25800000000000001</v>
      </c>
      <c r="U811" s="69">
        <f t="shared" si="86"/>
        <v>2025.1503600000001</v>
      </c>
      <c r="V811" s="70">
        <f t="shared" si="87"/>
        <v>162.0120288</v>
      </c>
      <c r="W811" s="15">
        <f t="shared" si="90"/>
        <v>0</v>
      </c>
      <c r="X811" s="15">
        <f t="shared" si="91"/>
        <v>0</v>
      </c>
      <c r="Y811" s="15">
        <f t="shared" si="92"/>
        <v>0</v>
      </c>
      <c r="Z811" s="13">
        <f t="shared" si="93"/>
        <v>0</v>
      </c>
      <c r="AA811" s="16">
        <f>VLOOKUP(S811,[1]CPI!$A$2:$D$67,4,0)</f>
        <v>1.143251327963817</v>
      </c>
      <c r="AB811" s="17">
        <f t="shared" si="88"/>
        <v>2315.2558383964024</v>
      </c>
      <c r="AC811" s="17">
        <f t="shared" si="89"/>
        <v>185.22046707171216</v>
      </c>
      <c r="AD811" s="54"/>
      <c r="AE811" s="84" t="s">
        <v>1528</v>
      </c>
      <c r="AF811" s="85"/>
      <c r="AG811" s="54"/>
      <c r="AH811" s="54"/>
      <c r="AI811" s="54"/>
      <c r="AJ811" s="82"/>
      <c r="AK811" s="82"/>
      <c r="AL811" s="82"/>
      <c r="AM811" s="82"/>
      <c r="AN811" s="82"/>
      <c r="AO811" s="82"/>
      <c r="AP811" s="82"/>
      <c r="AQ811" s="82"/>
    </row>
    <row r="812" spans="1:43" ht="15.75" customHeight="1" x14ac:dyDescent="0.2">
      <c r="A812" s="91"/>
      <c r="B812" s="54" t="s">
        <v>672</v>
      </c>
      <c r="C812" s="54" t="s">
        <v>796</v>
      </c>
      <c r="D812" s="54"/>
      <c r="E812" s="54" t="s">
        <v>995</v>
      </c>
      <c r="F812" s="72">
        <v>2012</v>
      </c>
      <c r="G812" s="72">
        <v>2018</v>
      </c>
      <c r="H812" s="72">
        <v>0</v>
      </c>
      <c r="I812" s="72">
        <v>61.6</v>
      </c>
      <c r="J812" s="73">
        <v>0.69</v>
      </c>
      <c r="K812" s="72">
        <v>42.5</v>
      </c>
      <c r="L812" s="54"/>
      <c r="M812" s="54"/>
      <c r="N812" s="72">
        <v>14</v>
      </c>
      <c r="O812" s="72">
        <v>117</v>
      </c>
      <c r="P812" s="54"/>
      <c r="Q812" s="65">
        <v>29133</v>
      </c>
      <c r="R812" s="54" t="s">
        <v>676</v>
      </c>
      <c r="S812" s="54">
        <v>2015</v>
      </c>
      <c r="T812" s="15">
        <v>0.25800000000000001</v>
      </c>
      <c r="U812" s="69">
        <f t="shared" si="86"/>
        <v>7516.3140000000003</v>
      </c>
      <c r="V812" s="70">
        <f t="shared" si="87"/>
        <v>122.01808441558441</v>
      </c>
      <c r="W812" s="15">
        <f t="shared" si="90"/>
        <v>0</v>
      </c>
      <c r="X812" s="15">
        <f t="shared" si="91"/>
        <v>0</v>
      </c>
      <c r="Y812" s="15">
        <f t="shared" si="92"/>
        <v>0</v>
      </c>
      <c r="Z812" s="13">
        <f t="shared" si="93"/>
        <v>0</v>
      </c>
      <c r="AA812" s="16">
        <f>VLOOKUP(S812,[1]CPI!$A$2:$D$67,4,0)</f>
        <v>1.143251327963817</v>
      </c>
      <c r="AB812" s="17">
        <f t="shared" si="88"/>
        <v>8593.0359618930288</v>
      </c>
      <c r="AC812" s="17">
        <f t="shared" si="89"/>
        <v>139.49733704371801</v>
      </c>
      <c r="AD812" s="54"/>
      <c r="AE812" s="46" t="s">
        <v>1523</v>
      </c>
      <c r="AF812" s="80" t="s">
        <v>1529</v>
      </c>
      <c r="AG812" s="81"/>
      <c r="AH812" s="81"/>
      <c r="AI812" s="81"/>
      <c r="AJ812" s="82"/>
      <c r="AK812" s="82"/>
      <c r="AL812" s="82"/>
      <c r="AM812" s="82"/>
      <c r="AN812" s="82"/>
      <c r="AO812" s="82"/>
      <c r="AP812" s="82"/>
      <c r="AQ812" s="82"/>
    </row>
    <row r="813" spans="1:43" ht="15.75" customHeight="1" x14ac:dyDescent="0.2">
      <c r="A813" s="91"/>
      <c r="B813" s="54" t="s">
        <v>672</v>
      </c>
      <c r="C813" s="54" t="s">
        <v>796</v>
      </c>
      <c r="D813" s="54" t="s">
        <v>103</v>
      </c>
      <c r="E813" s="54" t="s">
        <v>907</v>
      </c>
      <c r="F813" s="72">
        <v>2000</v>
      </c>
      <c r="G813" s="54"/>
      <c r="H813" s="72">
        <v>0</v>
      </c>
      <c r="I813" s="72">
        <v>35.86</v>
      </c>
      <c r="J813" s="73">
        <v>1</v>
      </c>
      <c r="K813" s="72">
        <v>35.86</v>
      </c>
      <c r="L813" s="54"/>
      <c r="M813" s="54"/>
      <c r="N813" s="72">
        <v>18</v>
      </c>
      <c r="O813" s="72">
        <v>117</v>
      </c>
      <c r="P813" s="54"/>
      <c r="Q813" s="65">
        <v>15300</v>
      </c>
      <c r="R813" s="54" t="s">
        <v>676</v>
      </c>
      <c r="S813" s="54">
        <v>2000</v>
      </c>
      <c r="T813" s="15">
        <v>0.36699999999999999</v>
      </c>
      <c r="U813" s="69">
        <f t="shared" si="86"/>
        <v>5615.0999999999995</v>
      </c>
      <c r="V813" s="70">
        <f t="shared" si="87"/>
        <v>156.58393753485777</v>
      </c>
      <c r="W813" s="15">
        <f t="shared" si="90"/>
        <v>0</v>
      </c>
      <c r="X813" s="15">
        <f t="shared" si="91"/>
        <v>0</v>
      </c>
      <c r="Y813" s="15">
        <f t="shared" si="92"/>
        <v>0</v>
      </c>
      <c r="Z813" s="13">
        <f t="shared" si="93"/>
        <v>0</v>
      </c>
      <c r="AA813" s="16">
        <f>VLOOKUP(S813,[1]CPI!$A$2:$D$67,4,0)</f>
        <v>1.5735772357723581</v>
      </c>
      <c r="AB813" s="17">
        <f t="shared" si="88"/>
        <v>8835.7935365853664</v>
      </c>
      <c r="AC813" s="17">
        <f t="shared" si="89"/>
        <v>246.39691959245306</v>
      </c>
      <c r="AD813" s="54"/>
      <c r="AE813" s="46" t="s">
        <v>1530</v>
      </c>
      <c r="AF813" s="54"/>
      <c r="AG813" s="54"/>
      <c r="AH813" s="54"/>
      <c r="AI813" s="54"/>
      <c r="AJ813" s="82"/>
      <c r="AK813" s="82"/>
      <c r="AL813" s="82"/>
      <c r="AM813" s="82"/>
      <c r="AN813" s="82"/>
      <c r="AO813" s="82"/>
      <c r="AP813" s="82"/>
      <c r="AQ813" s="82"/>
    </row>
    <row r="814" spans="1:43" ht="15.75" customHeight="1" x14ac:dyDescent="0.2">
      <c r="A814" s="91"/>
      <c r="B814" s="54" t="s">
        <v>672</v>
      </c>
      <c r="C814" s="54" t="s">
        <v>796</v>
      </c>
      <c r="D814" s="54" t="s">
        <v>281</v>
      </c>
      <c r="E814" s="54" t="s">
        <v>735</v>
      </c>
      <c r="F814" s="72">
        <v>2006</v>
      </c>
      <c r="G814" s="54"/>
      <c r="H814" s="72">
        <v>0</v>
      </c>
      <c r="I814" s="72">
        <v>24.3</v>
      </c>
      <c r="J814" s="73">
        <v>0.87</v>
      </c>
      <c r="K814" s="72">
        <v>21.2</v>
      </c>
      <c r="L814" s="54"/>
      <c r="M814" s="54"/>
      <c r="N814" s="72">
        <v>22</v>
      </c>
      <c r="O814" s="72">
        <v>68</v>
      </c>
      <c r="P814" s="54"/>
      <c r="Q814" s="65">
        <v>11529</v>
      </c>
      <c r="R814" s="54" t="s">
        <v>676</v>
      </c>
      <c r="S814" s="54">
        <v>2006</v>
      </c>
      <c r="T814" s="15">
        <v>0.34899999999999998</v>
      </c>
      <c r="U814" s="69">
        <f t="shared" si="86"/>
        <v>4023.6209999999996</v>
      </c>
      <c r="V814" s="70">
        <f t="shared" si="87"/>
        <v>165.58111111111108</v>
      </c>
      <c r="W814" s="15">
        <f t="shared" si="90"/>
        <v>0</v>
      </c>
      <c r="X814" s="15">
        <f t="shared" si="91"/>
        <v>0</v>
      </c>
      <c r="Y814" s="15">
        <f t="shared" si="92"/>
        <v>0</v>
      </c>
      <c r="Z814" s="13">
        <f t="shared" si="93"/>
        <v>0</v>
      </c>
      <c r="AA814" s="16">
        <f>VLOOKUP(S814,[1]CPI!$A$2:$D$67,4,0)</f>
        <v>1.3440972222222225</v>
      </c>
      <c r="AB814" s="17">
        <f t="shared" si="88"/>
        <v>5408.1378093750009</v>
      </c>
      <c r="AC814" s="17">
        <f t="shared" si="89"/>
        <v>222.55711149691359</v>
      </c>
      <c r="AD814" s="54"/>
      <c r="AE814" s="84" t="s">
        <v>1531</v>
      </c>
      <c r="AF814" s="54"/>
      <c r="AG814" s="54"/>
      <c r="AH814" s="54"/>
      <c r="AI814" s="54"/>
      <c r="AJ814" s="82"/>
      <c r="AK814" s="82"/>
      <c r="AL814" s="82"/>
      <c r="AM814" s="82"/>
      <c r="AN814" s="82"/>
      <c r="AO814" s="82"/>
      <c r="AP814" s="82"/>
      <c r="AQ814" s="82"/>
    </row>
    <row r="815" spans="1:43" ht="15.75" customHeight="1" x14ac:dyDescent="0.2">
      <c r="A815" s="91"/>
      <c r="B815" s="54" t="s">
        <v>672</v>
      </c>
      <c r="C815" s="54" t="s">
        <v>796</v>
      </c>
      <c r="D815" s="54" t="s">
        <v>281</v>
      </c>
      <c r="E815" s="54" t="s">
        <v>1532</v>
      </c>
      <c r="F815" s="72">
        <v>2009</v>
      </c>
      <c r="G815" s="54"/>
      <c r="H815" s="72">
        <v>0</v>
      </c>
      <c r="I815" s="72">
        <v>17.600000000000001</v>
      </c>
      <c r="J815" s="73">
        <v>1</v>
      </c>
      <c r="K815" s="72">
        <v>17.600000000000001</v>
      </c>
      <c r="L815" s="54"/>
      <c r="M815" s="54"/>
      <c r="N815" s="54"/>
      <c r="O815" s="72">
        <v>102</v>
      </c>
      <c r="P815" s="54"/>
      <c r="Q815" s="65">
        <v>7156</v>
      </c>
      <c r="R815" s="54" t="s">
        <v>676</v>
      </c>
      <c r="S815" s="54">
        <v>2009</v>
      </c>
      <c r="T815" s="15">
        <v>0.317</v>
      </c>
      <c r="U815" s="69">
        <f t="shared" si="86"/>
        <v>2268.4520000000002</v>
      </c>
      <c r="V815" s="70">
        <f t="shared" si="87"/>
        <v>128.8893181818182</v>
      </c>
      <c r="W815" s="15">
        <f t="shared" si="90"/>
        <v>0</v>
      </c>
      <c r="X815" s="15">
        <f t="shared" si="91"/>
        <v>0</v>
      </c>
      <c r="Y815" s="15">
        <f t="shared" si="92"/>
        <v>0</v>
      </c>
      <c r="Z815" s="13">
        <f t="shared" si="93"/>
        <v>0</v>
      </c>
      <c r="AA815" s="16">
        <f>VLOOKUP(S815,[1]CPI!$A$2:$D$67,4,0)</f>
        <v>1.2630455352689747</v>
      </c>
      <c r="AB815" s="17">
        <f t="shared" si="88"/>
        <v>2865.1581705719764</v>
      </c>
      <c r="AC815" s="17">
        <f t="shared" si="89"/>
        <v>162.79307787340775</v>
      </c>
      <c r="AD815" s="54"/>
      <c r="AE815" s="46" t="s">
        <v>1533</v>
      </c>
      <c r="AF815" s="54"/>
      <c r="AG815" s="54"/>
      <c r="AH815" s="54"/>
      <c r="AI815" s="54"/>
      <c r="AJ815" s="82"/>
      <c r="AK815" s="82"/>
      <c r="AL815" s="82"/>
      <c r="AM815" s="82"/>
      <c r="AN815" s="82"/>
      <c r="AO815" s="82"/>
      <c r="AP815" s="82"/>
      <c r="AQ815" s="82"/>
    </row>
    <row r="816" spans="1:43" ht="15.75" customHeight="1" x14ac:dyDescent="0.2">
      <c r="A816" s="91"/>
      <c r="B816" s="54" t="s">
        <v>672</v>
      </c>
      <c r="C816" s="54" t="s">
        <v>796</v>
      </c>
      <c r="D816" s="54"/>
      <c r="E816" s="54" t="s">
        <v>335</v>
      </c>
      <c r="F816" s="72">
        <v>2009</v>
      </c>
      <c r="G816" s="54"/>
      <c r="H816" s="72">
        <v>0</v>
      </c>
      <c r="I816" s="72">
        <v>18.3</v>
      </c>
      <c r="J816" s="73">
        <v>1</v>
      </c>
      <c r="K816" s="72">
        <v>18.3</v>
      </c>
      <c r="L816" s="54"/>
      <c r="M816" s="54"/>
      <c r="N816" s="54"/>
      <c r="O816" s="72">
        <v>117</v>
      </c>
      <c r="P816" s="54"/>
      <c r="Q816" s="65">
        <v>7750</v>
      </c>
      <c r="R816" s="54" t="s">
        <v>676</v>
      </c>
      <c r="S816" s="54">
        <v>2009</v>
      </c>
      <c r="T816" s="15">
        <v>0.317</v>
      </c>
      <c r="U816" s="69">
        <f t="shared" si="86"/>
        <v>2456.75</v>
      </c>
      <c r="V816" s="70">
        <f t="shared" si="87"/>
        <v>134.24863387978141</v>
      </c>
      <c r="W816" s="15">
        <f t="shared" si="90"/>
        <v>0</v>
      </c>
      <c r="X816" s="15">
        <f t="shared" si="91"/>
        <v>0</v>
      </c>
      <c r="Y816" s="15">
        <f t="shared" si="92"/>
        <v>0</v>
      </c>
      <c r="Z816" s="13">
        <f t="shared" si="93"/>
        <v>0</v>
      </c>
      <c r="AA816" s="16">
        <f>VLOOKUP(S816,[1]CPI!$A$2:$D$67,4,0)</f>
        <v>1.2630455352689747</v>
      </c>
      <c r="AB816" s="17">
        <f t="shared" si="88"/>
        <v>3102.9871187720537</v>
      </c>
      <c r="AC816" s="17">
        <f t="shared" si="89"/>
        <v>169.56213763781713</v>
      </c>
      <c r="AD816" s="54"/>
      <c r="AE816" s="46" t="s">
        <v>1533</v>
      </c>
      <c r="AF816" s="54"/>
      <c r="AG816" s="54"/>
      <c r="AH816" s="54"/>
      <c r="AI816" s="54"/>
      <c r="AJ816" s="82"/>
      <c r="AK816" s="82"/>
      <c r="AL816" s="82"/>
      <c r="AM816" s="82"/>
      <c r="AN816" s="82"/>
      <c r="AO816" s="82"/>
      <c r="AP816" s="82"/>
      <c r="AQ816" s="82"/>
    </row>
    <row r="817" spans="1:43" ht="15.75" customHeight="1" x14ac:dyDescent="0.2">
      <c r="A817" s="91"/>
      <c r="B817" s="54" t="s">
        <v>672</v>
      </c>
      <c r="C817" s="54" t="s">
        <v>796</v>
      </c>
      <c r="D817" s="54" t="s">
        <v>283</v>
      </c>
      <c r="E817" s="54" t="s">
        <v>283</v>
      </c>
      <c r="F817" s="72">
        <v>2012</v>
      </c>
      <c r="G817" s="54"/>
      <c r="H817" s="72">
        <v>0</v>
      </c>
      <c r="I817" s="72">
        <v>17.600000000000001</v>
      </c>
      <c r="J817" s="73">
        <v>1</v>
      </c>
      <c r="K817" s="72">
        <v>17.600000000000001</v>
      </c>
      <c r="L817" s="54"/>
      <c r="M817" s="54"/>
      <c r="N817" s="54"/>
      <c r="O817" s="72">
        <v>117</v>
      </c>
      <c r="P817" s="54"/>
      <c r="Q817" s="65">
        <v>9230</v>
      </c>
      <c r="R817" s="54" t="s">
        <v>676</v>
      </c>
      <c r="S817" s="54">
        <v>2012</v>
      </c>
      <c r="T817" s="15">
        <v>0.28100000000000003</v>
      </c>
      <c r="U817" s="69">
        <f t="shared" si="86"/>
        <v>2593.63</v>
      </c>
      <c r="V817" s="70">
        <f t="shared" si="87"/>
        <v>147.36534090909089</v>
      </c>
      <c r="W817" s="15">
        <f t="shared" si="90"/>
        <v>0</v>
      </c>
      <c r="X817" s="15">
        <f t="shared" si="91"/>
        <v>0</v>
      </c>
      <c r="Y817" s="15">
        <f t="shared" si="92"/>
        <v>0</v>
      </c>
      <c r="Z817" s="13">
        <f t="shared" si="93"/>
        <v>0</v>
      </c>
      <c r="AA817" s="16">
        <f>VLOOKUP(S817,[1]CPI!$A$2:$D$67,4,0)</f>
        <v>1.1802137686524912</v>
      </c>
      <c r="AB817" s="17">
        <f t="shared" si="88"/>
        <v>3061.0378367901608</v>
      </c>
      <c r="AC817" s="17">
        <f t="shared" si="89"/>
        <v>173.92260436307728</v>
      </c>
      <c r="AD817" s="54"/>
      <c r="AE817" s="84" t="s">
        <v>1534</v>
      </c>
      <c r="AF817" s="54"/>
      <c r="AG817" s="54"/>
      <c r="AH817" s="54"/>
      <c r="AI817" s="54"/>
      <c r="AJ817" s="82"/>
      <c r="AK817" s="82"/>
      <c r="AL817" s="82"/>
      <c r="AM817" s="82"/>
      <c r="AN817" s="82"/>
      <c r="AO817" s="82"/>
      <c r="AP817" s="82"/>
      <c r="AQ817" s="82"/>
    </row>
    <row r="818" spans="1:43" ht="15.75" customHeight="1" x14ac:dyDescent="0.2">
      <c r="A818" s="91"/>
      <c r="B818" s="54" t="s">
        <v>672</v>
      </c>
      <c r="C818" s="54" t="s">
        <v>796</v>
      </c>
      <c r="D818" s="54"/>
      <c r="E818" s="54" t="s">
        <v>1535</v>
      </c>
      <c r="F818" s="72">
        <v>2007</v>
      </c>
      <c r="G818" s="54"/>
      <c r="H818" s="72">
        <v>0</v>
      </c>
      <c r="I818" s="72">
        <v>28.55</v>
      </c>
      <c r="J818" s="54"/>
      <c r="K818" s="54"/>
      <c r="L818" s="54"/>
      <c r="M818" s="54"/>
      <c r="N818" s="72">
        <v>22</v>
      </c>
      <c r="O818" s="72">
        <v>138</v>
      </c>
      <c r="P818" s="54"/>
      <c r="Q818" s="65">
        <v>14729</v>
      </c>
      <c r="R818" s="54" t="s">
        <v>676</v>
      </c>
      <c r="S818" s="54">
        <v>2007</v>
      </c>
      <c r="T818" s="15">
        <v>0.33300000000000002</v>
      </c>
      <c r="U818" s="69">
        <f t="shared" si="86"/>
        <v>4904.7570000000005</v>
      </c>
      <c r="V818" s="70">
        <f t="shared" si="87"/>
        <v>171.7953415061296</v>
      </c>
      <c r="W818" s="15">
        <f t="shared" si="90"/>
        <v>0</v>
      </c>
      <c r="X818" s="15">
        <f t="shared" si="91"/>
        <v>0</v>
      </c>
      <c r="Y818" s="15">
        <f t="shared" si="92"/>
        <v>0</v>
      </c>
      <c r="Z818" s="13">
        <f t="shared" si="93"/>
        <v>0</v>
      </c>
      <c r="AA818" s="16">
        <f>VLOOKUP(S818,[1]CPI!$A$2:$D$67,4,0)</f>
        <v>1.3068746322500988</v>
      </c>
      <c r="AB818" s="17">
        <f t="shared" si="88"/>
        <v>6409.9025006510983</v>
      </c>
      <c r="AC818" s="17">
        <f t="shared" si="89"/>
        <v>224.51497375310325</v>
      </c>
      <c r="AD818" s="54"/>
      <c r="AE818" s="84" t="s">
        <v>1536</v>
      </c>
      <c r="AF818" s="85"/>
      <c r="AG818" s="54"/>
      <c r="AH818" s="54"/>
      <c r="AI818" s="54"/>
      <c r="AJ818" s="82"/>
      <c r="AK818" s="82"/>
      <c r="AL818" s="82"/>
      <c r="AM818" s="82"/>
      <c r="AN818" s="82"/>
      <c r="AO818" s="82"/>
      <c r="AP818" s="82"/>
      <c r="AQ818" s="82"/>
    </row>
    <row r="819" spans="1:43" ht="15.75" customHeight="1" x14ac:dyDescent="0.2">
      <c r="A819" s="91"/>
      <c r="B819" s="54" t="s">
        <v>672</v>
      </c>
      <c r="C819" s="54" t="s">
        <v>796</v>
      </c>
      <c r="D819" s="54" t="s">
        <v>674</v>
      </c>
      <c r="E819" s="54" t="s">
        <v>1537</v>
      </c>
      <c r="F819" s="72">
        <v>2021</v>
      </c>
      <c r="G819" s="54"/>
      <c r="H819" s="72">
        <v>0</v>
      </c>
      <c r="I819" s="72">
        <v>18</v>
      </c>
      <c r="J819" s="73">
        <v>1</v>
      </c>
      <c r="K819" s="72">
        <v>18</v>
      </c>
      <c r="L819" s="54"/>
      <c r="M819" s="54"/>
      <c r="N819" s="72">
        <v>7</v>
      </c>
      <c r="O819" s="72">
        <v>138</v>
      </c>
      <c r="P819" s="54"/>
      <c r="Q819" s="65">
        <v>16576</v>
      </c>
      <c r="R819" s="54" t="s">
        <v>676</v>
      </c>
      <c r="S819" s="54">
        <v>2021</v>
      </c>
      <c r="T819" s="61">
        <v>0.23900000000000099</v>
      </c>
      <c r="U819" s="69">
        <f t="shared" si="86"/>
        <v>3961.6640000000166</v>
      </c>
      <c r="V819" s="70">
        <f t="shared" si="87"/>
        <v>220.09244444444536</v>
      </c>
      <c r="W819" s="15">
        <f t="shared" si="90"/>
        <v>0</v>
      </c>
      <c r="X819" s="15">
        <f t="shared" si="91"/>
        <v>0</v>
      </c>
      <c r="Y819" s="15">
        <f t="shared" si="92"/>
        <v>0</v>
      </c>
      <c r="Z819" s="13">
        <f t="shared" si="93"/>
        <v>0</v>
      </c>
      <c r="AA819" s="16">
        <f>VLOOKUP(S819,[1]CPI!$A$2:$D$67,4,0)</f>
        <v>1</v>
      </c>
      <c r="AB819" s="17">
        <f t="shared" si="88"/>
        <v>3961.6640000000166</v>
      </c>
      <c r="AC819" s="17">
        <f t="shared" si="89"/>
        <v>220.09244444444536</v>
      </c>
      <c r="AD819" s="54"/>
      <c r="AE819" s="46" t="s">
        <v>1538</v>
      </c>
      <c r="AF819" s="80" t="s">
        <v>1539</v>
      </c>
      <c r="AG819" s="81"/>
      <c r="AH819" s="81"/>
      <c r="AI819" s="81"/>
      <c r="AJ819" s="82"/>
      <c r="AK819" s="82"/>
      <c r="AL819" s="82"/>
      <c r="AM819" s="82"/>
      <c r="AN819" s="82"/>
      <c r="AO819" s="82"/>
      <c r="AP819" s="82"/>
      <c r="AQ819" s="82"/>
    </row>
    <row r="820" spans="1:43" x14ac:dyDescent="0.2">
      <c r="A820" s="54"/>
      <c r="B820" s="54" t="s">
        <v>672</v>
      </c>
      <c r="C820" s="54" t="s">
        <v>796</v>
      </c>
      <c r="D820" s="54" t="s">
        <v>803</v>
      </c>
      <c r="E820" s="54" t="s">
        <v>1540</v>
      </c>
      <c r="F820" s="72">
        <v>2021</v>
      </c>
      <c r="G820" s="54"/>
      <c r="H820" s="72">
        <v>1</v>
      </c>
      <c r="I820" s="72">
        <v>41.1</v>
      </c>
      <c r="J820" s="73">
        <v>1</v>
      </c>
      <c r="K820" s="72">
        <v>41.1</v>
      </c>
      <c r="L820" s="54"/>
      <c r="M820" s="54"/>
      <c r="N820" s="72">
        <v>10</v>
      </c>
      <c r="O820" s="72">
        <v>184</v>
      </c>
      <c r="P820" s="54"/>
      <c r="Q820" s="65">
        <v>38130</v>
      </c>
      <c r="R820" s="54" t="s">
        <v>676</v>
      </c>
      <c r="S820" s="54">
        <v>2021</v>
      </c>
      <c r="T820" s="61">
        <v>0.23900000000000099</v>
      </c>
      <c r="U820" s="69">
        <f t="shared" si="86"/>
        <v>9113.0700000000379</v>
      </c>
      <c r="V820" s="70">
        <f t="shared" si="87"/>
        <v>221.72919708029289</v>
      </c>
      <c r="W820" s="15">
        <f t="shared" si="90"/>
        <v>0</v>
      </c>
      <c r="X820" s="15">
        <f t="shared" si="91"/>
        <v>0</v>
      </c>
      <c r="Y820" s="15">
        <f t="shared" si="92"/>
        <v>0</v>
      </c>
      <c r="Z820" s="13">
        <f t="shared" si="93"/>
        <v>0</v>
      </c>
      <c r="AA820" s="16">
        <f>VLOOKUP(S820,[1]CPI!$A$2:$D$67,4,0)</f>
        <v>1</v>
      </c>
      <c r="AB820" s="17">
        <f t="shared" si="88"/>
        <v>9113.0700000000379</v>
      </c>
      <c r="AC820" s="17">
        <f t="shared" si="89"/>
        <v>221.72919708029289</v>
      </c>
      <c r="AD820" s="54"/>
      <c r="AE820" s="46" t="s">
        <v>1541</v>
      </c>
      <c r="AF820" s="54"/>
      <c r="AG820" s="54"/>
      <c r="AH820" s="54"/>
      <c r="AI820" s="54"/>
      <c r="AJ820" s="82"/>
      <c r="AK820" s="82"/>
      <c r="AL820" s="82"/>
      <c r="AM820" s="82"/>
      <c r="AN820" s="82"/>
      <c r="AO820" s="82"/>
      <c r="AP820" s="82"/>
      <c r="AQ820" s="82"/>
    </row>
    <row r="821" spans="1:43" x14ac:dyDescent="0.2">
      <c r="A821" s="54"/>
      <c r="B821" s="54" t="s">
        <v>672</v>
      </c>
      <c r="C821" s="54" t="s">
        <v>796</v>
      </c>
      <c r="D821" s="54"/>
      <c r="E821" s="54" t="s">
        <v>124</v>
      </c>
      <c r="F821" s="72">
        <v>2019</v>
      </c>
      <c r="G821" s="54"/>
      <c r="H821" s="72">
        <v>0</v>
      </c>
      <c r="I821" s="72">
        <v>44.2</v>
      </c>
      <c r="J821" s="73">
        <v>1</v>
      </c>
      <c r="K821" s="72">
        <v>44.2</v>
      </c>
      <c r="L821" s="54"/>
      <c r="M821" s="54"/>
      <c r="N821" s="72">
        <v>32</v>
      </c>
      <c r="O821" s="72">
        <v>184</v>
      </c>
      <c r="P821" s="54"/>
      <c r="Q821" s="65">
        <v>45521</v>
      </c>
      <c r="R821" s="54" t="s">
        <v>676</v>
      </c>
      <c r="S821" s="54">
        <v>2019</v>
      </c>
      <c r="T821" s="61">
        <v>0.23799999999999999</v>
      </c>
      <c r="U821" s="69">
        <f t="shared" si="86"/>
        <v>10833.998</v>
      </c>
      <c r="V821" s="70">
        <f t="shared" si="87"/>
        <v>245.1130769230769</v>
      </c>
      <c r="W821" s="15">
        <f t="shared" si="90"/>
        <v>0</v>
      </c>
      <c r="X821" s="15">
        <f t="shared" si="91"/>
        <v>0</v>
      </c>
      <c r="Y821" s="15">
        <f t="shared" si="92"/>
        <v>0</v>
      </c>
      <c r="Z821" s="13">
        <f t="shared" si="93"/>
        <v>0</v>
      </c>
      <c r="AA821" s="16">
        <f>VLOOKUP(S821,[1]CPI!$A$2:$D$67,4,0)</f>
        <v>1.0598966584134211</v>
      </c>
      <c r="AB821" s="17">
        <f t="shared" si="88"/>
        <v>11482.918277457686</v>
      </c>
      <c r="AC821" s="17">
        <f t="shared" si="89"/>
        <v>259.79453116420103</v>
      </c>
      <c r="AD821" s="54"/>
      <c r="AE821" s="46" t="s">
        <v>1542</v>
      </c>
      <c r="AF821" s="54"/>
      <c r="AG821" s="54"/>
      <c r="AH821" s="54"/>
      <c r="AI821" s="54"/>
      <c r="AJ821" s="82"/>
      <c r="AK821" s="82"/>
      <c r="AL821" s="82"/>
      <c r="AM821" s="82"/>
      <c r="AN821" s="82"/>
      <c r="AO821" s="82"/>
      <c r="AP821" s="82"/>
      <c r="AQ821" s="82"/>
    </row>
    <row r="822" spans="1:43" x14ac:dyDescent="0.2">
      <c r="A822" s="54"/>
      <c r="B822" s="54" t="s">
        <v>672</v>
      </c>
      <c r="C822" s="54" t="s">
        <v>796</v>
      </c>
      <c r="D822" s="54"/>
      <c r="E822" s="54" t="s">
        <v>1543</v>
      </c>
      <c r="F822" s="72">
        <v>2020</v>
      </c>
      <c r="G822" s="54"/>
      <c r="H822" s="72">
        <v>1</v>
      </c>
      <c r="I822" s="72">
        <v>79</v>
      </c>
      <c r="J822" s="73">
        <v>1</v>
      </c>
      <c r="K822" s="72">
        <v>79</v>
      </c>
      <c r="L822" s="54"/>
      <c r="M822" s="54"/>
      <c r="N822" s="54"/>
      <c r="O822" s="72">
        <v>184</v>
      </c>
      <c r="P822" s="54"/>
      <c r="Q822" s="65">
        <v>48600</v>
      </c>
      <c r="R822" s="54" t="s">
        <v>676</v>
      </c>
      <c r="S822" s="54">
        <v>2020</v>
      </c>
      <c r="T822" s="61">
        <v>0.23899999999999999</v>
      </c>
      <c r="U822" s="69">
        <f t="shared" si="86"/>
        <v>11615.4</v>
      </c>
      <c r="V822" s="70">
        <f t="shared" si="87"/>
        <v>147.03037974683545</v>
      </c>
      <c r="W822" s="15">
        <f t="shared" si="90"/>
        <v>0</v>
      </c>
      <c r="X822" s="15">
        <f t="shared" si="91"/>
        <v>0</v>
      </c>
      <c r="Y822" s="15">
        <f t="shared" si="92"/>
        <v>0</v>
      </c>
      <c r="Z822" s="13">
        <f t="shared" si="93"/>
        <v>0</v>
      </c>
      <c r="AA822" s="16">
        <f>VLOOKUP(S822,[1]CPI!$A$2:$D$67,4,0)</f>
        <v>1.0469802288156225</v>
      </c>
      <c r="AB822" s="17">
        <f t="shared" si="88"/>
        <v>12161.094149784982</v>
      </c>
      <c r="AC822" s="17">
        <f t="shared" si="89"/>
        <v>153.93790063018963</v>
      </c>
      <c r="AD822" s="54"/>
      <c r="AE822" s="46" t="s">
        <v>1544</v>
      </c>
      <c r="AF822" s="54"/>
      <c r="AG822" s="54"/>
      <c r="AH822" s="54"/>
      <c r="AI822" s="54"/>
      <c r="AJ822" s="82"/>
      <c r="AK822" s="82"/>
      <c r="AL822" s="82"/>
      <c r="AM822" s="82"/>
      <c r="AN822" s="82"/>
      <c r="AO822" s="82"/>
      <c r="AP822" s="82"/>
      <c r="AQ822" s="82"/>
    </row>
    <row r="823" spans="1:43" x14ac:dyDescent="0.2">
      <c r="A823" s="54"/>
      <c r="B823" s="54" t="s">
        <v>672</v>
      </c>
      <c r="C823" s="54" t="s">
        <v>796</v>
      </c>
      <c r="D823" s="54" t="s">
        <v>856</v>
      </c>
      <c r="E823" s="54" t="s">
        <v>1545</v>
      </c>
      <c r="F823" s="72">
        <v>2020</v>
      </c>
      <c r="G823" s="54"/>
      <c r="H823" s="72">
        <v>1</v>
      </c>
      <c r="I823" s="72">
        <v>39</v>
      </c>
      <c r="J823" s="73">
        <v>1</v>
      </c>
      <c r="K823" s="72">
        <v>39</v>
      </c>
      <c r="L823" s="54"/>
      <c r="M823" s="54"/>
      <c r="N823" s="54"/>
      <c r="O823" s="72">
        <v>184</v>
      </c>
      <c r="P823" s="54"/>
      <c r="Q823" s="65">
        <v>32500</v>
      </c>
      <c r="R823" s="54" t="s">
        <v>676</v>
      </c>
      <c r="S823" s="54">
        <v>2020</v>
      </c>
      <c r="T823" s="61">
        <v>0.23899999999999999</v>
      </c>
      <c r="U823" s="69">
        <f t="shared" si="86"/>
        <v>7767.5</v>
      </c>
      <c r="V823" s="70">
        <f t="shared" si="87"/>
        <v>199.16666666666666</v>
      </c>
      <c r="W823" s="15">
        <f t="shared" si="90"/>
        <v>0</v>
      </c>
      <c r="X823" s="15">
        <f t="shared" si="91"/>
        <v>0</v>
      </c>
      <c r="Y823" s="15">
        <f t="shared" si="92"/>
        <v>0</v>
      </c>
      <c r="Z823" s="13">
        <f t="shared" si="93"/>
        <v>0</v>
      </c>
      <c r="AA823" s="16">
        <f>VLOOKUP(S823,[1]CPI!$A$2:$D$67,4,0)</f>
        <v>1.0469802288156225</v>
      </c>
      <c r="AB823" s="17">
        <f t="shared" si="88"/>
        <v>8132.4189273253478</v>
      </c>
      <c r="AC823" s="17">
        <f t="shared" si="89"/>
        <v>208.52356223911147</v>
      </c>
      <c r="AD823" s="54"/>
      <c r="AE823" s="46" t="s">
        <v>1544</v>
      </c>
      <c r="AF823" s="54"/>
      <c r="AG823" s="54"/>
      <c r="AH823" s="54"/>
      <c r="AI823" s="54"/>
      <c r="AJ823" s="82"/>
      <c r="AK823" s="82"/>
      <c r="AL823" s="82"/>
      <c r="AM823" s="82"/>
      <c r="AN823" s="82"/>
      <c r="AO823" s="82"/>
      <c r="AP823" s="82"/>
      <c r="AQ823" s="82"/>
    </row>
    <row r="824" spans="1:43" x14ac:dyDescent="0.2">
      <c r="A824" s="54"/>
      <c r="B824" s="54" t="s">
        <v>672</v>
      </c>
      <c r="C824" s="54" t="s">
        <v>796</v>
      </c>
      <c r="D824" s="54"/>
      <c r="E824" s="54" t="s">
        <v>780</v>
      </c>
      <c r="F824" s="72">
        <v>2020</v>
      </c>
      <c r="G824" s="54"/>
      <c r="H824" s="72">
        <v>1</v>
      </c>
      <c r="I824" s="72">
        <v>107</v>
      </c>
      <c r="J824" s="73">
        <v>1</v>
      </c>
      <c r="K824" s="72">
        <v>107</v>
      </c>
      <c r="L824" s="54"/>
      <c r="M824" s="54"/>
      <c r="N824" s="54"/>
      <c r="O824" s="72">
        <v>184</v>
      </c>
      <c r="P824" s="54"/>
      <c r="Q824" s="65">
        <v>95300</v>
      </c>
      <c r="R824" s="54" t="s">
        <v>676</v>
      </c>
      <c r="S824" s="54">
        <v>2020</v>
      </c>
      <c r="T824" s="61">
        <v>0.23899999999999999</v>
      </c>
      <c r="U824" s="69">
        <f t="shared" si="86"/>
        <v>22776.7</v>
      </c>
      <c r="V824" s="70">
        <f t="shared" si="87"/>
        <v>212.86635514018693</v>
      </c>
      <c r="W824" s="15">
        <f t="shared" si="90"/>
        <v>0</v>
      </c>
      <c r="X824" s="15">
        <f t="shared" si="91"/>
        <v>0</v>
      </c>
      <c r="Y824" s="15">
        <f t="shared" si="92"/>
        <v>0</v>
      </c>
      <c r="Z824" s="13">
        <f t="shared" si="93"/>
        <v>0</v>
      </c>
      <c r="AA824" s="16">
        <f>VLOOKUP(S824,[1]CPI!$A$2:$D$67,4,0)</f>
        <v>1.0469802288156225</v>
      </c>
      <c r="AB824" s="17">
        <f t="shared" si="88"/>
        <v>23846.754577664789</v>
      </c>
      <c r="AC824" s="17">
        <f t="shared" si="89"/>
        <v>222.86686521182045</v>
      </c>
      <c r="AD824" s="54"/>
      <c r="AE824" s="84" t="s">
        <v>1544</v>
      </c>
      <c r="AF824" s="54"/>
      <c r="AG824" s="54"/>
      <c r="AH824" s="54"/>
      <c r="AI824" s="54"/>
      <c r="AJ824" s="82"/>
      <c r="AK824" s="82"/>
      <c r="AL824" s="82"/>
      <c r="AM824" s="82"/>
      <c r="AN824" s="82"/>
      <c r="AO824" s="82"/>
      <c r="AP824" s="82"/>
      <c r="AQ824" s="82"/>
    </row>
    <row r="825" spans="1:43" x14ac:dyDescent="0.2">
      <c r="A825" s="54"/>
      <c r="B825" s="54" t="s">
        <v>672</v>
      </c>
      <c r="C825" s="54" t="s">
        <v>906</v>
      </c>
      <c r="D825" s="54" t="s">
        <v>99</v>
      </c>
      <c r="E825" s="54" t="s">
        <v>698</v>
      </c>
      <c r="F825" s="54"/>
      <c r="G825" s="54">
        <v>2021</v>
      </c>
      <c r="H825" s="54">
        <v>0</v>
      </c>
      <c r="I825" s="54">
        <v>27.6</v>
      </c>
      <c r="J825" s="73">
        <v>1</v>
      </c>
      <c r="K825" s="54">
        <v>27.6</v>
      </c>
      <c r="L825" s="54"/>
      <c r="M825" s="54"/>
      <c r="N825" s="54">
        <v>24</v>
      </c>
      <c r="O825" s="54">
        <v>117</v>
      </c>
      <c r="P825" s="54"/>
      <c r="Q825" s="65">
        <v>19459</v>
      </c>
      <c r="R825" s="54" t="s">
        <v>676</v>
      </c>
      <c r="S825" s="54">
        <v>2021</v>
      </c>
      <c r="T825" s="61">
        <v>0.23900000000000099</v>
      </c>
      <c r="U825" s="69">
        <f t="shared" si="86"/>
        <v>4650.7010000000191</v>
      </c>
      <c r="V825" s="70">
        <f t="shared" si="87"/>
        <v>168.50365942029055</v>
      </c>
      <c r="W825" s="15">
        <f t="shared" si="90"/>
        <v>0</v>
      </c>
      <c r="X825" s="15">
        <f t="shared" si="91"/>
        <v>0</v>
      </c>
      <c r="Y825" s="15">
        <f t="shared" si="92"/>
        <v>0</v>
      </c>
      <c r="Z825" s="13">
        <f t="shared" si="93"/>
        <v>0</v>
      </c>
      <c r="AA825" s="16">
        <f>VLOOKUP(S825,[1]CPI!$A$2:$D$67,4,0)</f>
        <v>1</v>
      </c>
      <c r="AB825" s="17">
        <f t="shared" si="88"/>
        <v>4650.7010000000191</v>
      </c>
      <c r="AC825" s="17">
        <f t="shared" si="89"/>
        <v>168.50365942029055</v>
      </c>
      <c r="AD825" s="54"/>
      <c r="AE825" s="46" t="s">
        <v>1546</v>
      </c>
      <c r="AF825" s="54"/>
      <c r="AG825" s="54"/>
      <c r="AH825" s="54"/>
      <c r="AI825" s="54"/>
      <c r="AJ825" s="82"/>
      <c r="AK825" s="82"/>
      <c r="AL825" s="82"/>
      <c r="AM825" s="82"/>
      <c r="AN825" s="82"/>
      <c r="AO825" s="82"/>
      <c r="AP825" s="82"/>
      <c r="AQ825" s="82"/>
    </row>
    <row r="826" spans="1:43" x14ac:dyDescent="0.2">
      <c r="A826" s="54"/>
      <c r="B826" s="54" t="s">
        <v>672</v>
      </c>
      <c r="C826" s="54" t="s">
        <v>755</v>
      </c>
      <c r="D826" s="54"/>
      <c r="E826" s="54" t="s">
        <v>1547</v>
      </c>
      <c r="F826" s="54"/>
      <c r="G826" s="72">
        <v>2021</v>
      </c>
      <c r="H826" s="72">
        <v>0</v>
      </c>
      <c r="I826" s="72">
        <v>48.18</v>
      </c>
      <c r="J826" s="73">
        <v>0.31</v>
      </c>
      <c r="K826" s="72">
        <v>14.81</v>
      </c>
      <c r="L826" s="54"/>
      <c r="M826" s="54"/>
      <c r="N826" s="72">
        <v>12</v>
      </c>
      <c r="O826" s="72">
        <v>78</v>
      </c>
      <c r="P826" s="54"/>
      <c r="Q826" s="65">
        <v>13611</v>
      </c>
      <c r="R826" s="54" t="s">
        <v>676</v>
      </c>
      <c r="S826" s="54">
        <v>2021</v>
      </c>
      <c r="T826" s="61">
        <v>0.23900000000000099</v>
      </c>
      <c r="U826" s="69">
        <f t="shared" si="86"/>
        <v>3253.0290000000136</v>
      </c>
      <c r="V826" s="70">
        <f t="shared" si="87"/>
        <v>67.518244084682721</v>
      </c>
      <c r="W826" s="15">
        <f t="shared" si="90"/>
        <v>0</v>
      </c>
      <c r="X826" s="15">
        <f t="shared" si="91"/>
        <v>0</v>
      </c>
      <c r="Y826" s="15">
        <f t="shared" si="92"/>
        <v>0</v>
      </c>
      <c r="Z826" s="13">
        <f t="shared" si="93"/>
        <v>0</v>
      </c>
      <c r="AA826" s="16">
        <f>VLOOKUP(S826,[1]CPI!$A$2:$D$67,4,0)</f>
        <v>1</v>
      </c>
      <c r="AB826" s="17">
        <f t="shared" si="88"/>
        <v>3253.0290000000136</v>
      </c>
      <c r="AC826" s="17">
        <f t="shared" si="89"/>
        <v>67.518244084682721</v>
      </c>
      <c r="AD826" s="54"/>
      <c r="AE826" s="46" t="s">
        <v>1548</v>
      </c>
      <c r="AF826" s="54"/>
      <c r="AG826" s="54"/>
      <c r="AH826" s="54"/>
      <c r="AI826" s="54"/>
      <c r="AJ826" s="82"/>
      <c r="AK826" s="82"/>
      <c r="AL826" s="82"/>
      <c r="AM826" s="82"/>
      <c r="AN826" s="82"/>
      <c r="AO826" s="82"/>
      <c r="AP826" s="82"/>
      <c r="AQ826" s="82"/>
    </row>
    <row r="827" spans="1:43" x14ac:dyDescent="0.2">
      <c r="A827" s="54"/>
      <c r="B827" s="54" t="s">
        <v>672</v>
      </c>
      <c r="C827" s="54" t="s">
        <v>755</v>
      </c>
      <c r="D827" s="54" t="s">
        <v>1549</v>
      </c>
      <c r="E827" s="54" t="s">
        <v>1550</v>
      </c>
      <c r="F827" s="72">
        <v>2016</v>
      </c>
      <c r="G827" s="72">
        <v>2020</v>
      </c>
      <c r="H827" s="72">
        <v>0</v>
      </c>
      <c r="I827" s="72">
        <v>14.26</v>
      </c>
      <c r="J827" s="73">
        <v>0.3</v>
      </c>
      <c r="K827" s="72">
        <v>4.32</v>
      </c>
      <c r="L827" s="54"/>
      <c r="M827" s="54"/>
      <c r="N827" s="72">
        <v>6</v>
      </c>
      <c r="O827" s="72">
        <v>78</v>
      </c>
      <c r="P827" s="54"/>
      <c r="Q827" s="65">
        <v>4590</v>
      </c>
      <c r="R827" s="54" t="s">
        <v>676</v>
      </c>
      <c r="S827" s="54">
        <v>2018</v>
      </c>
      <c r="T827" s="15">
        <v>0.23699999999999999</v>
      </c>
      <c r="U827" s="69">
        <f t="shared" si="86"/>
        <v>1087.83</v>
      </c>
      <c r="V827" s="70">
        <f t="shared" si="87"/>
        <v>76.285413744740524</v>
      </c>
      <c r="W827" s="15">
        <f t="shared" si="90"/>
        <v>0</v>
      </c>
      <c r="X827" s="15">
        <f t="shared" si="91"/>
        <v>0</v>
      </c>
      <c r="Y827" s="15">
        <f t="shared" si="92"/>
        <v>0</v>
      </c>
      <c r="Z827" s="13">
        <f t="shared" si="93"/>
        <v>0</v>
      </c>
      <c r="AA827" s="16">
        <f>VLOOKUP(S827,[1]CPI!$A$2:$D$67,4,0)</f>
        <v>1.0791017375063221</v>
      </c>
      <c r="AB827" s="17">
        <f t="shared" si="88"/>
        <v>1173.8792431115023</v>
      </c>
      <c r="AC827" s="17">
        <f t="shared" si="89"/>
        <v>82.319722518338168</v>
      </c>
      <c r="AD827" s="54"/>
      <c r="AE827" s="46" t="s">
        <v>1551</v>
      </c>
      <c r="AF827" s="54"/>
      <c r="AG827" s="54"/>
      <c r="AH827" s="54"/>
      <c r="AI827" s="54"/>
      <c r="AJ827" s="82"/>
      <c r="AK827" s="82"/>
      <c r="AL827" s="82"/>
      <c r="AM827" s="82"/>
      <c r="AN827" s="82"/>
      <c r="AO827" s="82"/>
      <c r="AP827" s="82"/>
      <c r="AQ827" s="82"/>
    </row>
    <row r="828" spans="1:43" ht="15.75" customHeight="1" x14ac:dyDescent="0.2">
      <c r="A828" s="91"/>
      <c r="B828" s="54" t="s">
        <v>672</v>
      </c>
      <c r="C828" s="54" t="s">
        <v>755</v>
      </c>
      <c r="D828" s="54" t="s">
        <v>1549</v>
      </c>
      <c r="E828" s="54" t="s">
        <v>1552</v>
      </c>
      <c r="F828" s="72">
        <v>2016</v>
      </c>
      <c r="G828" s="72">
        <v>2020</v>
      </c>
      <c r="H828" s="72">
        <v>0</v>
      </c>
      <c r="I828" s="72">
        <v>20.72</v>
      </c>
      <c r="J828" s="73">
        <v>0.42</v>
      </c>
      <c r="K828" s="72">
        <v>8.64</v>
      </c>
      <c r="L828" s="54"/>
      <c r="M828" s="54"/>
      <c r="N828" s="72">
        <v>6</v>
      </c>
      <c r="O828" s="72">
        <v>78</v>
      </c>
      <c r="P828" s="54"/>
      <c r="Q828" s="65">
        <v>6740</v>
      </c>
      <c r="R828" s="54" t="s">
        <v>676</v>
      </c>
      <c r="S828" s="54">
        <v>2018</v>
      </c>
      <c r="T828" s="15">
        <v>0.23699999999999999</v>
      </c>
      <c r="U828" s="69">
        <f t="shared" si="86"/>
        <v>1597.3799999999999</v>
      </c>
      <c r="V828" s="70">
        <f t="shared" si="87"/>
        <v>77.093629343629345</v>
      </c>
      <c r="W828" s="15">
        <f t="shared" si="90"/>
        <v>0</v>
      </c>
      <c r="X828" s="15">
        <f t="shared" si="91"/>
        <v>0</v>
      </c>
      <c r="Y828" s="15">
        <f t="shared" si="92"/>
        <v>0</v>
      </c>
      <c r="Z828" s="13">
        <f t="shared" si="93"/>
        <v>0</v>
      </c>
      <c r="AA828" s="16">
        <f>VLOOKUP(S828,[1]CPI!$A$2:$D$67,4,0)</f>
        <v>1.0791017375063221</v>
      </c>
      <c r="AB828" s="17">
        <f t="shared" si="88"/>
        <v>1723.7355334578488</v>
      </c>
      <c r="AC828" s="17">
        <f t="shared" si="89"/>
        <v>83.191869375378801</v>
      </c>
      <c r="AD828" s="54"/>
      <c r="AE828" s="46" t="s">
        <v>1551</v>
      </c>
      <c r="AF828" s="54"/>
      <c r="AG828" s="54"/>
      <c r="AH828" s="54"/>
      <c r="AI828" s="54"/>
      <c r="AJ828" s="82"/>
      <c r="AK828" s="82"/>
      <c r="AL828" s="82"/>
      <c r="AM828" s="82"/>
      <c r="AN828" s="82"/>
      <c r="AO828" s="82"/>
      <c r="AP828" s="82"/>
      <c r="AQ828" s="82"/>
    </row>
    <row r="829" spans="1:43" ht="15.75" customHeight="1" x14ac:dyDescent="0.2">
      <c r="A829" s="91"/>
      <c r="B829" s="54" t="s">
        <v>672</v>
      </c>
      <c r="C829" s="54" t="s">
        <v>755</v>
      </c>
      <c r="D829" s="54" t="s">
        <v>99</v>
      </c>
      <c r="E829" s="54" t="s">
        <v>1553</v>
      </c>
      <c r="F829" s="72">
        <v>2008</v>
      </c>
      <c r="G829" s="54"/>
      <c r="H829" s="72">
        <v>0</v>
      </c>
      <c r="I829" s="72">
        <v>18.2</v>
      </c>
      <c r="J829" s="73">
        <v>1</v>
      </c>
      <c r="K829" s="72">
        <v>18.2</v>
      </c>
      <c r="L829" s="54"/>
      <c r="M829" s="54"/>
      <c r="N829" s="72">
        <v>13</v>
      </c>
      <c r="O829" s="72">
        <v>117</v>
      </c>
      <c r="P829" s="54"/>
      <c r="Q829" s="65">
        <v>10500</v>
      </c>
      <c r="R829" s="54" t="s">
        <v>676</v>
      </c>
      <c r="S829" s="54">
        <v>2008</v>
      </c>
      <c r="T829" s="15">
        <v>0.315</v>
      </c>
      <c r="U829" s="69">
        <f t="shared" si="86"/>
        <v>3307.5</v>
      </c>
      <c r="V829" s="70">
        <f t="shared" si="87"/>
        <v>181.73076923076923</v>
      </c>
      <c r="W829" s="15">
        <f t="shared" si="90"/>
        <v>0</v>
      </c>
      <c r="X829" s="15">
        <f t="shared" si="91"/>
        <v>0</v>
      </c>
      <c r="Y829" s="15">
        <f t="shared" si="92"/>
        <v>0</v>
      </c>
      <c r="Z829" s="13">
        <f t="shared" si="93"/>
        <v>0</v>
      </c>
      <c r="AA829" s="16">
        <f>VLOOKUP(S829,[1]CPI!$A$2:$D$67,4,0)</f>
        <v>1.2585519012740187</v>
      </c>
      <c r="AB829" s="17">
        <f t="shared" si="88"/>
        <v>4162.6604134638173</v>
      </c>
      <c r="AC829" s="17">
        <f t="shared" si="89"/>
        <v>228.71760513537455</v>
      </c>
      <c r="AD829" s="54"/>
      <c r="AE829" s="84" t="s">
        <v>1554</v>
      </c>
      <c r="AF829" s="54"/>
      <c r="AG829" s="54"/>
      <c r="AH829" s="54"/>
      <c r="AI829" s="54"/>
      <c r="AJ829" s="82"/>
      <c r="AK829" s="82"/>
      <c r="AL829" s="82"/>
      <c r="AM829" s="82"/>
      <c r="AN829" s="82"/>
      <c r="AO829" s="82"/>
      <c r="AP829" s="82"/>
      <c r="AQ829" s="82"/>
    </row>
    <row r="830" spans="1:43" ht="15.75" customHeight="1" x14ac:dyDescent="0.2">
      <c r="A830" s="91"/>
      <c r="B830" s="54" t="s">
        <v>672</v>
      </c>
      <c r="C830" s="54" t="s">
        <v>755</v>
      </c>
      <c r="D830" s="54"/>
      <c r="E830" s="54" t="s">
        <v>1555</v>
      </c>
      <c r="F830" s="72">
        <v>2019</v>
      </c>
      <c r="G830" s="72">
        <v>2022</v>
      </c>
      <c r="H830" s="72">
        <v>0</v>
      </c>
      <c r="I830" s="72">
        <v>59.131599999999999</v>
      </c>
      <c r="J830" s="73">
        <v>0.79</v>
      </c>
      <c r="K830" s="72">
        <v>46.5</v>
      </c>
      <c r="L830" s="54"/>
      <c r="M830" s="54"/>
      <c r="N830" s="72">
        <v>15</v>
      </c>
      <c r="O830" s="72">
        <v>138</v>
      </c>
      <c r="P830" s="54"/>
      <c r="Q830" s="65">
        <v>43206</v>
      </c>
      <c r="R830" s="54" t="s">
        <v>676</v>
      </c>
      <c r="S830" s="54">
        <v>2021</v>
      </c>
      <c r="T830" s="61">
        <v>0.23900000000000099</v>
      </c>
      <c r="U830" s="69">
        <f t="shared" si="86"/>
        <v>10326.234000000042</v>
      </c>
      <c r="V830" s="70">
        <f t="shared" si="87"/>
        <v>174.63139844009029</v>
      </c>
      <c r="W830" s="15">
        <f t="shared" si="90"/>
        <v>0</v>
      </c>
      <c r="X830" s="15">
        <f t="shared" si="91"/>
        <v>0</v>
      </c>
      <c r="Y830" s="15">
        <f t="shared" si="92"/>
        <v>0</v>
      </c>
      <c r="Z830" s="13">
        <f t="shared" si="93"/>
        <v>0</v>
      </c>
      <c r="AA830" s="16">
        <f>VLOOKUP(S830,[1]CPI!$A$2:$D$67,4,0)</f>
        <v>1</v>
      </c>
      <c r="AB830" s="17">
        <f t="shared" si="88"/>
        <v>10326.234000000042</v>
      </c>
      <c r="AC830" s="17">
        <f t="shared" si="89"/>
        <v>174.63139844009029</v>
      </c>
      <c r="AD830" s="54"/>
      <c r="AE830" s="46" t="s">
        <v>1556</v>
      </c>
      <c r="AF830" s="54"/>
      <c r="AG830" s="54"/>
      <c r="AH830" s="54"/>
      <c r="AI830" s="54"/>
      <c r="AJ830" s="82"/>
      <c r="AK830" s="82"/>
      <c r="AL830" s="82"/>
      <c r="AM830" s="82"/>
      <c r="AN830" s="82"/>
      <c r="AO830" s="82"/>
      <c r="AP830" s="82"/>
      <c r="AQ830" s="82"/>
    </row>
    <row r="831" spans="1:43" ht="15.75" customHeight="1" x14ac:dyDescent="0.2">
      <c r="A831" s="91"/>
      <c r="B831" s="54" t="s">
        <v>672</v>
      </c>
      <c r="C831" s="54" t="s">
        <v>755</v>
      </c>
      <c r="D831" s="54" t="s">
        <v>103</v>
      </c>
      <c r="E831" s="54" t="s">
        <v>1557</v>
      </c>
      <c r="F831" s="72">
        <v>2020</v>
      </c>
      <c r="G831" s="72">
        <v>2022</v>
      </c>
      <c r="H831" s="72">
        <v>0</v>
      </c>
      <c r="I831" s="72">
        <v>4.7</v>
      </c>
      <c r="J831" s="73">
        <v>1</v>
      </c>
      <c r="K831" s="72">
        <v>4.7</v>
      </c>
      <c r="L831" s="54"/>
      <c r="M831" s="54"/>
      <c r="N831" s="72">
        <v>4</v>
      </c>
      <c r="O831" s="72">
        <v>117</v>
      </c>
      <c r="P831" s="54"/>
      <c r="Q831" s="65">
        <v>10870</v>
      </c>
      <c r="R831" s="54" t="s">
        <v>676</v>
      </c>
      <c r="S831" s="54">
        <v>2020</v>
      </c>
      <c r="T831" s="61">
        <v>0.23899999999999999</v>
      </c>
      <c r="U831" s="69">
        <f t="shared" si="86"/>
        <v>2597.9299999999998</v>
      </c>
      <c r="V831" s="70">
        <f t="shared" si="87"/>
        <v>552.7510638297872</v>
      </c>
      <c r="W831" s="15">
        <f t="shared" si="90"/>
        <v>0</v>
      </c>
      <c r="X831" s="15">
        <f t="shared" si="91"/>
        <v>0</v>
      </c>
      <c r="Y831" s="15">
        <f t="shared" si="92"/>
        <v>0</v>
      </c>
      <c r="Z831" s="13">
        <f t="shared" si="93"/>
        <v>0</v>
      </c>
      <c r="AA831" s="16">
        <f>VLOOKUP(S831,[1]CPI!$A$2:$D$67,4,0)</f>
        <v>1.0469802288156225</v>
      </c>
      <c r="AB831" s="17">
        <f t="shared" si="88"/>
        <v>2719.9813458469698</v>
      </c>
      <c r="AC831" s="17">
        <f t="shared" si="89"/>
        <v>578.71943528658937</v>
      </c>
      <c r="AD831" s="54"/>
      <c r="AE831" s="46" t="s">
        <v>1558</v>
      </c>
      <c r="AF831" s="54"/>
      <c r="AG831" s="54"/>
      <c r="AH831" s="54"/>
      <c r="AI831" s="54"/>
      <c r="AJ831" s="82"/>
      <c r="AK831" s="82"/>
      <c r="AL831" s="82"/>
      <c r="AM831" s="82"/>
      <c r="AN831" s="82"/>
      <c r="AO831" s="82"/>
      <c r="AP831" s="82"/>
      <c r="AQ831" s="82"/>
    </row>
    <row r="832" spans="1:43" ht="15.75" customHeight="1" x14ac:dyDescent="0.2">
      <c r="A832" s="91"/>
      <c r="B832" s="54" t="s">
        <v>672</v>
      </c>
      <c r="C832" s="54" t="s">
        <v>755</v>
      </c>
      <c r="D832" s="54"/>
      <c r="E832" s="54" t="s">
        <v>1559</v>
      </c>
      <c r="F832" s="54"/>
      <c r="G832" s="72">
        <v>2021</v>
      </c>
      <c r="H832" s="72">
        <v>0</v>
      </c>
      <c r="I832" s="72">
        <v>23.507999999999999</v>
      </c>
      <c r="J832" s="73">
        <v>1</v>
      </c>
      <c r="K832" s="72">
        <v>23.507999999999999</v>
      </c>
      <c r="L832" s="54"/>
      <c r="M832" s="54"/>
      <c r="N832" s="72">
        <v>11</v>
      </c>
      <c r="O832" s="72">
        <v>117</v>
      </c>
      <c r="P832" s="54"/>
      <c r="Q832" s="65">
        <v>13298</v>
      </c>
      <c r="R832" s="54" t="s">
        <v>676</v>
      </c>
      <c r="S832" s="54">
        <v>2021</v>
      </c>
      <c r="T832" s="61">
        <v>0.23900000000000099</v>
      </c>
      <c r="U832" s="69">
        <f t="shared" si="86"/>
        <v>3178.2220000000129</v>
      </c>
      <c r="V832" s="70">
        <f t="shared" si="87"/>
        <v>135.19746469287108</v>
      </c>
      <c r="W832" s="15">
        <f t="shared" si="90"/>
        <v>0</v>
      </c>
      <c r="X832" s="15">
        <f t="shared" si="91"/>
        <v>0</v>
      </c>
      <c r="Y832" s="15">
        <f t="shared" si="92"/>
        <v>0</v>
      </c>
      <c r="Z832" s="13">
        <f t="shared" si="93"/>
        <v>0</v>
      </c>
      <c r="AA832" s="16">
        <f>VLOOKUP(S832,[1]CPI!$A$2:$D$67,4,0)</f>
        <v>1</v>
      </c>
      <c r="AB832" s="17">
        <f t="shared" si="88"/>
        <v>3178.2220000000129</v>
      </c>
      <c r="AC832" s="17">
        <f t="shared" si="89"/>
        <v>135.19746469287108</v>
      </c>
      <c r="AD832" s="54"/>
      <c r="AE832" s="46" t="s">
        <v>1560</v>
      </c>
      <c r="AF832" s="54"/>
      <c r="AG832" s="54"/>
      <c r="AH832" s="54"/>
      <c r="AI832" s="54"/>
      <c r="AJ832" s="82"/>
      <c r="AK832" s="82"/>
      <c r="AL832" s="82"/>
      <c r="AM832" s="82"/>
      <c r="AN832" s="82"/>
      <c r="AO832" s="82"/>
      <c r="AP832" s="82"/>
      <c r="AQ832" s="82"/>
    </row>
    <row r="833" spans="1:43" ht="15.75" customHeight="1" x14ac:dyDescent="0.2">
      <c r="A833" s="91"/>
      <c r="B833" s="54" t="s">
        <v>672</v>
      </c>
      <c r="C833" s="54" t="s">
        <v>755</v>
      </c>
      <c r="D833" s="54" t="s">
        <v>287</v>
      </c>
      <c r="E833" s="54" t="s">
        <v>849</v>
      </c>
      <c r="F833" s="72">
        <v>2022</v>
      </c>
      <c r="G833" s="54"/>
      <c r="H833" s="72">
        <v>0</v>
      </c>
      <c r="I833" s="72">
        <v>13.33</v>
      </c>
      <c r="J833" s="73">
        <v>1</v>
      </c>
      <c r="K833" s="72">
        <v>13.33</v>
      </c>
      <c r="L833" s="54"/>
      <c r="M833" s="54"/>
      <c r="N833" s="72">
        <v>10</v>
      </c>
      <c r="O833" s="72">
        <v>138</v>
      </c>
      <c r="P833" s="54"/>
      <c r="Q833" s="65">
        <v>10508</v>
      </c>
      <c r="R833" s="54" t="s">
        <v>676</v>
      </c>
      <c r="S833" s="54">
        <v>2021</v>
      </c>
      <c r="T833" s="61">
        <v>0.23900000000000099</v>
      </c>
      <c r="U833" s="69">
        <f t="shared" si="86"/>
        <v>2511.4120000000103</v>
      </c>
      <c r="V833" s="70">
        <f t="shared" si="87"/>
        <v>188.40300075018831</v>
      </c>
      <c r="W833" s="15">
        <f t="shared" si="90"/>
        <v>0</v>
      </c>
      <c r="X833" s="15">
        <f t="shared" si="91"/>
        <v>0</v>
      </c>
      <c r="Y833" s="15">
        <f t="shared" si="92"/>
        <v>0</v>
      </c>
      <c r="Z833" s="13">
        <f t="shared" si="93"/>
        <v>0</v>
      </c>
      <c r="AA833" s="16">
        <f>VLOOKUP(S833,[1]CPI!$A$2:$D$67,4,0)</f>
        <v>1</v>
      </c>
      <c r="AB833" s="17">
        <f t="shared" si="88"/>
        <v>2511.4120000000103</v>
      </c>
      <c r="AC833" s="17">
        <f t="shared" si="89"/>
        <v>188.40300075018831</v>
      </c>
      <c r="AD833" s="54"/>
      <c r="AE833" s="46" t="s">
        <v>850</v>
      </c>
      <c r="AF833" s="54"/>
      <c r="AG833" s="54"/>
      <c r="AH833" s="54"/>
      <c r="AI833" s="54"/>
      <c r="AJ833" s="82"/>
      <c r="AK833" s="82"/>
      <c r="AL833" s="82"/>
      <c r="AM833" s="82"/>
      <c r="AN833" s="82"/>
      <c r="AO833" s="82"/>
      <c r="AP833" s="82"/>
      <c r="AQ833" s="82"/>
    </row>
    <row r="834" spans="1:43" ht="15.75" customHeight="1" x14ac:dyDescent="0.2">
      <c r="A834" s="91"/>
      <c r="B834" s="54" t="s">
        <v>672</v>
      </c>
      <c r="C834" s="54" t="s">
        <v>755</v>
      </c>
      <c r="D834" s="54" t="s">
        <v>119</v>
      </c>
      <c r="E834" s="54" t="s">
        <v>1561</v>
      </c>
      <c r="F834" s="72">
        <v>2020</v>
      </c>
      <c r="G834" s="54"/>
      <c r="H834" s="72">
        <v>0</v>
      </c>
      <c r="I834" s="72">
        <v>4.95</v>
      </c>
      <c r="J834" s="73">
        <v>1</v>
      </c>
      <c r="K834" s="72">
        <v>4.95</v>
      </c>
      <c r="L834" s="54"/>
      <c r="M834" s="54"/>
      <c r="N834" s="72">
        <v>2</v>
      </c>
      <c r="O834" s="72">
        <v>117</v>
      </c>
      <c r="P834" s="54"/>
      <c r="Q834" s="65">
        <v>3038</v>
      </c>
      <c r="R834" s="54" t="s">
        <v>676</v>
      </c>
      <c r="S834" s="54">
        <v>2020</v>
      </c>
      <c r="T834" s="61">
        <v>0.23899999999999999</v>
      </c>
      <c r="U834" s="69">
        <f t="shared" si="86"/>
        <v>726.08199999999999</v>
      </c>
      <c r="V834" s="70">
        <f t="shared" si="87"/>
        <v>146.68323232323232</v>
      </c>
      <c r="W834" s="15">
        <f t="shared" si="90"/>
        <v>0</v>
      </c>
      <c r="X834" s="15">
        <f t="shared" si="91"/>
        <v>0</v>
      </c>
      <c r="Y834" s="15">
        <f t="shared" si="92"/>
        <v>0</v>
      </c>
      <c r="Z834" s="13">
        <f t="shared" si="93"/>
        <v>0</v>
      </c>
      <c r="AA834" s="16">
        <f>VLOOKUP(S834,[1]CPI!$A$2:$D$67,4,0)</f>
        <v>1.0469802288156225</v>
      </c>
      <c r="AB834" s="17">
        <f t="shared" si="88"/>
        <v>760.19349849890477</v>
      </c>
      <c r="AC834" s="17">
        <f t="shared" si="89"/>
        <v>153.57444414119288</v>
      </c>
      <c r="AD834" s="54"/>
      <c r="AE834" s="46" t="s">
        <v>1562</v>
      </c>
      <c r="AF834" s="54"/>
      <c r="AG834" s="54"/>
      <c r="AH834" s="54"/>
      <c r="AI834" s="54"/>
      <c r="AJ834" s="82"/>
      <c r="AK834" s="82"/>
      <c r="AL834" s="82"/>
      <c r="AM834" s="82"/>
      <c r="AN834" s="82"/>
      <c r="AO834" s="82"/>
      <c r="AP834" s="82"/>
      <c r="AQ834" s="82"/>
    </row>
    <row r="835" spans="1:43" ht="15.75" customHeight="1" x14ac:dyDescent="0.2">
      <c r="A835" s="91"/>
      <c r="B835" s="54" t="s">
        <v>672</v>
      </c>
      <c r="C835" s="54" t="s">
        <v>755</v>
      </c>
      <c r="D835" s="54" t="s">
        <v>99</v>
      </c>
      <c r="E835" s="54" t="s">
        <v>1563</v>
      </c>
      <c r="F835" s="72">
        <v>2017</v>
      </c>
      <c r="G835" s="72"/>
      <c r="H835" s="72">
        <v>0</v>
      </c>
      <c r="I835" s="72">
        <v>30.5</v>
      </c>
      <c r="J835" s="73">
        <v>1</v>
      </c>
      <c r="K835" s="72">
        <v>30.5</v>
      </c>
      <c r="L835" s="54"/>
      <c r="M835" s="54"/>
      <c r="N835" s="72">
        <v>24</v>
      </c>
      <c r="O835" s="72">
        <v>117</v>
      </c>
      <c r="P835" s="54"/>
      <c r="Q835" s="65">
        <v>17783</v>
      </c>
      <c r="R835" s="54" t="s">
        <v>676</v>
      </c>
      <c r="S835" s="54">
        <v>2017</v>
      </c>
      <c r="T835" s="15">
        <v>0.23899999999999999</v>
      </c>
      <c r="U835" s="69">
        <f t="shared" si="86"/>
        <v>4250.1369999999997</v>
      </c>
      <c r="V835" s="70">
        <f t="shared" si="87"/>
        <v>139.34875409836064</v>
      </c>
      <c r="W835" s="15">
        <f t="shared" si="90"/>
        <v>0</v>
      </c>
      <c r="X835" s="15">
        <f t="shared" si="91"/>
        <v>0</v>
      </c>
      <c r="Y835" s="15">
        <f t="shared" si="92"/>
        <v>0</v>
      </c>
      <c r="Z835" s="13">
        <f t="shared" si="93"/>
        <v>0</v>
      </c>
      <c r="AA835" s="16">
        <f>VLOOKUP(S835,[1]CPI!$A$2:$D$67,4,0)</f>
        <v>1.1054585509138382</v>
      </c>
      <c r="AB835" s="17">
        <f t="shared" si="88"/>
        <v>4698.3502892052875</v>
      </c>
      <c r="AC835" s="17">
        <f t="shared" si="89"/>
        <v>154.04427177722252</v>
      </c>
      <c r="AD835" s="54"/>
      <c r="AE835" s="84" t="s">
        <v>1564</v>
      </c>
      <c r="AF835" s="54"/>
      <c r="AG835" s="54"/>
      <c r="AH835" s="54"/>
      <c r="AI835" s="54"/>
      <c r="AJ835" s="82"/>
      <c r="AK835" s="82"/>
      <c r="AL835" s="82"/>
      <c r="AM835" s="82"/>
      <c r="AN835" s="82"/>
      <c r="AO835" s="82"/>
      <c r="AP835" s="82"/>
      <c r="AQ835" s="82"/>
    </row>
    <row r="836" spans="1:43" ht="15.75" customHeight="1" x14ac:dyDescent="0.2">
      <c r="A836" s="91"/>
      <c r="B836" s="54" t="s">
        <v>672</v>
      </c>
      <c r="C836" s="54" t="s">
        <v>755</v>
      </c>
      <c r="D836" s="54" t="s">
        <v>99</v>
      </c>
      <c r="E836" s="54" t="s">
        <v>862</v>
      </c>
      <c r="F836" s="72">
        <v>2014</v>
      </c>
      <c r="G836" s="54"/>
      <c r="H836" s="72">
        <v>0</v>
      </c>
      <c r="I836" s="72">
        <v>11.281000000000001</v>
      </c>
      <c r="J836" s="73">
        <v>1</v>
      </c>
      <c r="K836" s="72">
        <v>11.281000000000001</v>
      </c>
      <c r="L836" s="54"/>
      <c r="M836" s="54"/>
      <c r="N836" s="72">
        <v>9</v>
      </c>
      <c r="O836" s="72">
        <v>117</v>
      </c>
      <c r="P836" s="54"/>
      <c r="Q836" s="65">
        <v>7900</v>
      </c>
      <c r="R836" s="54" t="s">
        <v>676</v>
      </c>
      <c r="S836" s="54">
        <v>2014</v>
      </c>
      <c r="T836" s="15">
        <v>0.26600000000000001</v>
      </c>
      <c r="U836" s="69">
        <f t="shared" si="86"/>
        <v>2101.4</v>
      </c>
      <c r="V836" s="70">
        <f t="shared" si="87"/>
        <v>186.27781225068699</v>
      </c>
      <c r="W836" s="15">
        <f t="shared" si="90"/>
        <v>0</v>
      </c>
      <c r="X836" s="15">
        <f t="shared" si="91"/>
        <v>0</v>
      </c>
      <c r="Y836" s="15">
        <f t="shared" si="92"/>
        <v>0</v>
      </c>
      <c r="Z836" s="13">
        <f t="shared" si="93"/>
        <v>0</v>
      </c>
      <c r="AA836" s="16">
        <f>VLOOKUP(S836,[1]CPI!$A$2:$D$67,4,0)</f>
        <v>1.1446083400919169</v>
      </c>
      <c r="AB836" s="17">
        <f t="shared" si="88"/>
        <v>2405.2799658691542</v>
      </c>
      <c r="AC836" s="17">
        <f t="shared" si="89"/>
        <v>213.21513747621259</v>
      </c>
      <c r="AD836" s="54"/>
      <c r="AE836" s="46" t="s">
        <v>1565</v>
      </c>
      <c r="AF836" s="80" t="s">
        <v>1566</v>
      </c>
      <c r="AG836" s="81"/>
      <c r="AH836" s="81"/>
      <c r="AI836" s="81"/>
      <c r="AJ836" s="82"/>
      <c r="AK836" s="82"/>
      <c r="AL836" s="82"/>
      <c r="AM836" s="82"/>
      <c r="AN836" s="82"/>
      <c r="AO836" s="82"/>
      <c r="AP836" s="82"/>
      <c r="AQ836" s="82"/>
    </row>
    <row r="837" spans="1:43" ht="15.75" customHeight="1" x14ac:dyDescent="0.2">
      <c r="A837" s="91"/>
      <c r="B837" s="54" t="s">
        <v>672</v>
      </c>
      <c r="C837" s="54" t="s">
        <v>755</v>
      </c>
      <c r="D837" s="54" t="s">
        <v>281</v>
      </c>
      <c r="E837" s="54" t="s">
        <v>735</v>
      </c>
      <c r="F837" s="54"/>
      <c r="G837" s="72">
        <v>2021</v>
      </c>
      <c r="H837" s="72">
        <v>0</v>
      </c>
      <c r="I837" s="72">
        <v>26.954999999999998</v>
      </c>
      <c r="J837" s="73">
        <v>1</v>
      </c>
      <c r="K837" s="72">
        <v>26.954999999999998</v>
      </c>
      <c r="L837" s="54"/>
      <c r="M837" s="54"/>
      <c r="N837" s="72">
        <v>19</v>
      </c>
      <c r="O837" s="72">
        <v>117</v>
      </c>
      <c r="P837" s="54"/>
      <c r="Q837" s="65">
        <v>17830</v>
      </c>
      <c r="R837" s="54" t="s">
        <v>676</v>
      </c>
      <c r="S837" s="54">
        <v>2021</v>
      </c>
      <c r="T837" s="61">
        <v>0.23900000000000099</v>
      </c>
      <c r="U837" s="69">
        <f t="shared" si="86"/>
        <v>4261.3700000000181</v>
      </c>
      <c r="V837" s="70">
        <f t="shared" si="87"/>
        <v>158.09200519384225</v>
      </c>
      <c r="W837" s="15">
        <f t="shared" si="90"/>
        <v>0</v>
      </c>
      <c r="X837" s="15">
        <f t="shared" si="91"/>
        <v>0</v>
      </c>
      <c r="Y837" s="15">
        <f t="shared" si="92"/>
        <v>0</v>
      </c>
      <c r="Z837" s="13">
        <f t="shared" si="93"/>
        <v>0</v>
      </c>
      <c r="AA837" s="16">
        <f>VLOOKUP(S837,[1]CPI!$A$2:$D$67,4,0)</f>
        <v>1</v>
      </c>
      <c r="AB837" s="17">
        <f t="shared" si="88"/>
        <v>4261.3700000000181</v>
      </c>
      <c r="AC837" s="17">
        <f t="shared" si="89"/>
        <v>158.09200519384225</v>
      </c>
      <c r="AD837" s="54"/>
      <c r="AE837" s="46" t="s">
        <v>1567</v>
      </c>
      <c r="AF837" s="54"/>
      <c r="AG837" s="54"/>
      <c r="AH837" s="54"/>
      <c r="AI837" s="54"/>
      <c r="AJ837" s="82"/>
      <c r="AK837" s="82"/>
      <c r="AL837" s="82"/>
      <c r="AM837" s="82"/>
      <c r="AN837" s="82"/>
      <c r="AO837" s="82"/>
      <c r="AP837" s="82"/>
      <c r="AQ837" s="82"/>
    </row>
    <row r="838" spans="1:43" ht="15.75" customHeight="1" x14ac:dyDescent="0.2">
      <c r="A838" s="91"/>
      <c r="B838" s="54" t="s">
        <v>672</v>
      </c>
      <c r="C838" s="54" t="s">
        <v>755</v>
      </c>
      <c r="D838" s="54" t="s">
        <v>119</v>
      </c>
      <c r="E838" s="54" t="s">
        <v>708</v>
      </c>
      <c r="F838" s="72">
        <v>2014</v>
      </c>
      <c r="G838" s="72">
        <v>2020</v>
      </c>
      <c r="H838" s="72">
        <v>0</v>
      </c>
      <c r="I838" s="72">
        <v>51.6</v>
      </c>
      <c r="J838" s="73">
        <v>1</v>
      </c>
      <c r="K838" s="72">
        <v>51.6</v>
      </c>
      <c r="L838" s="54"/>
      <c r="M838" s="54"/>
      <c r="N838" s="72">
        <v>36</v>
      </c>
      <c r="O838" s="72">
        <v>117</v>
      </c>
      <c r="P838" s="54"/>
      <c r="Q838" s="65">
        <v>36064</v>
      </c>
      <c r="R838" s="54" t="s">
        <v>676</v>
      </c>
      <c r="S838" s="54">
        <v>2017</v>
      </c>
      <c r="T838" s="15">
        <v>0.23899999999999999</v>
      </c>
      <c r="U838" s="69">
        <f t="shared" si="86"/>
        <v>8619.2960000000003</v>
      </c>
      <c r="V838" s="70">
        <f t="shared" si="87"/>
        <v>167.04062015503877</v>
      </c>
      <c r="W838" s="15">
        <f t="shared" si="90"/>
        <v>0</v>
      </c>
      <c r="X838" s="15">
        <f t="shared" si="91"/>
        <v>0</v>
      </c>
      <c r="Y838" s="15">
        <f t="shared" si="92"/>
        <v>0</v>
      </c>
      <c r="Z838" s="13">
        <f t="shared" si="93"/>
        <v>0</v>
      </c>
      <c r="AA838" s="16">
        <f>VLOOKUP(S838,[1]CPI!$A$2:$D$67,4,0)</f>
        <v>1.1054585509138382</v>
      </c>
      <c r="AB838" s="17">
        <f t="shared" si="88"/>
        <v>9528.2744660574426</v>
      </c>
      <c r="AC838" s="17">
        <f t="shared" si="89"/>
        <v>184.65648190033801</v>
      </c>
      <c r="AD838" s="54"/>
      <c r="AE838" s="46" t="s">
        <v>1568</v>
      </c>
      <c r="AF838" s="54"/>
      <c r="AG838" s="54"/>
      <c r="AH838" s="54"/>
      <c r="AI838" s="54"/>
      <c r="AJ838" s="82"/>
      <c r="AK838" s="82"/>
      <c r="AL838" s="82"/>
      <c r="AM838" s="82"/>
      <c r="AN838" s="82"/>
      <c r="AO838" s="82"/>
      <c r="AP838" s="82"/>
      <c r="AQ838" s="82"/>
    </row>
    <row r="839" spans="1:43" ht="15.75" customHeight="1" x14ac:dyDescent="0.2">
      <c r="A839" s="91"/>
      <c r="B839" s="54" t="s">
        <v>672</v>
      </c>
      <c r="C839" s="54" t="s">
        <v>755</v>
      </c>
      <c r="D839" s="54" t="s">
        <v>142</v>
      </c>
      <c r="E839" s="54" t="s">
        <v>706</v>
      </c>
      <c r="F839" s="72">
        <v>2013</v>
      </c>
      <c r="G839" s="54"/>
      <c r="H839" s="72">
        <v>0</v>
      </c>
      <c r="I839" s="72">
        <v>20.8</v>
      </c>
      <c r="J839" s="73">
        <v>1</v>
      </c>
      <c r="K839" s="72">
        <v>20.8</v>
      </c>
      <c r="L839" s="54"/>
      <c r="M839" s="54"/>
      <c r="N839" s="72">
        <v>18</v>
      </c>
      <c r="O839" s="72">
        <v>117</v>
      </c>
      <c r="P839" s="54"/>
      <c r="Q839" s="65">
        <v>14350</v>
      </c>
      <c r="R839" s="54" t="s">
        <v>676</v>
      </c>
      <c r="S839" s="54">
        <v>2013</v>
      </c>
      <c r="T839" s="15">
        <v>0.27300000000000002</v>
      </c>
      <c r="U839" s="69">
        <f t="shared" si="86"/>
        <v>3917.55</v>
      </c>
      <c r="V839" s="70">
        <f t="shared" si="87"/>
        <v>188.34375</v>
      </c>
      <c r="W839" s="15">
        <f t="shared" si="90"/>
        <v>0</v>
      </c>
      <c r="X839" s="15">
        <f t="shared" si="91"/>
        <v>0</v>
      </c>
      <c r="Y839" s="15">
        <f t="shared" si="92"/>
        <v>0</v>
      </c>
      <c r="Z839" s="13">
        <f t="shared" si="93"/>
        <v>0</v>
      </c>
      <c r="AA839" s="16">
        <f>VLOOKUP(S839,[1]CPI!$A$2:$D$67,4,0)</f>
        <v>1.16317603677932</v>
      </c>
      <c r="AB839" s="17">
        <f t="shared" si="88"/>
        <v>4556.8002828848257</v>
      </c>
      <c r="AC839" s="17">
        <f t="shared" si="89"/>
        <v>219.07693667715506</v>
      </c>
      <c r="AD839" s="54"/>
      <c r="AE839" s="46" t="s">
        <v>1569</v>
      </c>
      <c r="AF839" s="54"/>
      <c r="AG839" s="54"/>
      <c r="AH839" s="54"/>
      <c r="AI839" s="54"/>
      <c r="AJ839" s="82"/>
      <c r="AK839" s="82"/>
      <c r="AL839" s="82"/>
      <c r="AM839" s="82"/>
      <c r="AN839" s="82"/>
      <c r="AO839" s="82"/>
      <c r="AP839" s="82"/>
      <c r="AQ839" s="82"/>
    </row>
    <row r="840" spans="1:43" ht="15.75" customHeight="1" x14ac:dyDescent="0.2">
      <c r="A840" s="91"/>
      <c r="B840" s="54" t="s">
        <v>672</v>
      </c>
      <c r="C840" s="54" t="s">
        <v>765</v>
      </c>
      <c r="D840" s="9" t="s">
        <v>281</v>
      </c>
      <c r="E840" s="54" t="s">
        <v>1522</v>
      </c>
      <c r="F840" s="72">
        <v>2021</v>
      </c>
      <c r="G840" s="54"/>
      <c r="H840" s="72">
        <v>0</v>
      </c>
      <c r="I840" s="72">
        <v>10</v>
      </c>
      <c r="J840" s="73">
        <v>1</v>
      </c>
      <c r="K840" s="72">
        <v>10</v>
      </c>
      <c r="L840" s="54"/>
      <c r="M840" s="54"/>
      <c r="N840" s="72">
        <v>4</v>
      </c>
      <c r="O840" s="72">
        <v>117</v>
      </c>
      <c r="P840" s="54"/>
      <c r="Q840" s="65">
        <v>6887</v>
      </c>
      <c r="R840" s="54" t="s">
        <v>676</v>
      </c>
      <c r="S840" s="58">
        <v>2020</v>
      </c>
      <c r="T840" s="61">
        <v>0.23899999999999999</v>
      </c>
      <c r="U840" s="62">
        <f t="shared" si="86"/>
        <v>1645.9929999999999</v>
      </c>
      <c r="V840" s="14">
        <f t="shared" si="87"/>
        <v>164.5993</v>
      </c>
      <c r="W840" s="15">
        <f t="shared" si="90"/>
        <v>0</v>
      </c>
      <c r="X840" s="15">
        <f t="shared" si="91"/>
        <v>0</v>
      </c>
      <c r="Y840" s="15">
        <f t="shared" si="92"/>
        <v>0</v>
      </c>
      <c r="Z840" s="13">
        <f t="shared" si="93"/>
        <v>0</v>
      </c>
      <c r="AA840" s="16">
        <f>VLOOKUP(S840,[1]CPI!$A$2:$D$67,4,0)</f>
        <v>1.0469802288156225</v>
      </c>
      <c r="AB840" s="17">
        <f t="shared" si="88"/>
        <v>1723.3221277689129</v>
      </c>
      <c r="AC840" s="17">
        <f t="shared" si="89"/>
        <v>172.33221277689128</v>
      </c>
      <c r="AD840" s="57" t="s">
        <v>43</v>
      </c>
      <c r="AE840" s="46" t="s">
        <v>1570</v>
      </c>
      <c r="AF840" s="54"/>
      <c r="AG840" s="54"/>
      <c r="AH840" s="54"/>
      <c r="AI840" s="54"/>
      <c r="AJ840" s="82"/>
      <c r="AK840" s="82"/>
      <c r="AL840" s="82"/>
      <c r="AM840" s="82"/>
      <c r="AN840" s="82"/>
      <c r="AO840" s="82"/>
      <c r="AP840" s="82"/>
      <c r="AQ840" s="82"/>
    </row>
    <row r="841" spans="1:43" ht="15.75" customHeight="1" x14ac:dyDescent="0.2">
      <c r="A841" s="91"/>
      <c r="B841" s="54" t="s">
        <v>672</v>
      </c>
      <c r="C841" s="54" t="s">
        <v>765</v>
      </c>
      <c r="D841" s="54"/>
      <c r="E841" s="54" t="s">
        <v>1571</v>
      </c>
      <c r="F841" s="72">
        <v>2018</v>
      </c>
      <c r="G841" s="54"/>
      <c r="H841" s="72">
        <v>0</v>
      </c>
      <c r="I841" s="72">
        <v>63.1</v>
      </c>
      <c r="J841" s="73">
        <v>0.19</v>
      </c>
      <c r="K841" s="72">
        <v>11.94</v>
      </c>
      <c r="L841" s="54"/>
      <c r="M841" s="54"/>
      <c r="N841" s="72">
        <v>19</v>
      </c>
      <c r="O841" s="72">
        <v>117</v>
      </c>
      <c r="P841" s="54"/>
      <c r="Q841" s="65">
        <v>22190</v>
      </c>
      <c r="R841" s="54" t="s">
        <v>676</v>
      </c>
      <c r="S841" s="58">
        <v>2020</v>
      </c>
      <c r="T841" s="61">
        <v>0.23899999999999999</v>
      </c>
      <c r="U841" s="62">
        <f t="shared" si="86"/>
        <v>5303.41</v>
      </c>
      <c r="V841" s="14">
        <f t="shared" si="87"/>
        <v>84.047702060221866</v>
      </c>
      <c r="W841" s="15">
        <f t="shared" si="90"/>
        <v>0</v>
      </c>
      <c r="X841" s="15">
        <f t="shared" si="91"/>
        <v>0</v>
      </c>
      <c r="Y841" s="15">
        <f t="shared" si="92"/>
        <v>0</v>
      </c>
      <c r="Z841" s="13">
        <f t="shared" si="93"/>
        <v>0</v>
      </c>
      <c r="AA841" s="16">
        <f>VLOOKUP(S841,[1]CPI!$A$2:$D$67,4,0)</f>
        <v>1.0469802288156225</v>
      </c>
      <c r="AB841" s="17">
        <f t="shared" si="88"/>
        <v>5552.56541530306</v>
      </c>
      <c r="AC841" s="17">
        <f t="shared" si="89"/>
        <v>87.996282334438348</v>
      </c>
      <c r="AD841" s="54" t="s">
        <v>73</v>
      </c>
      <c r="AE841" s="46" t="s">
        <v>1572</v>
      </c>
      <c r="AF841" s="54"/>
      <c r="AG841" s="54"/>
      <c r="AH841" s="54"/>
      <c r="AI841" s="54"/>
      <c r="AJ841" s="82"/>
      <c r="AK841" s="82"/>
      <c r="AL841" s="82"/>
      <c r="AM841" s="82"/>
      <c r="AN841" s="82"/>
      <c r="AO841" s="82"/>
      <c r="AP841" s="82"/>
      <c r="AQ841" s="82"/>
    </row>
    <row r="842" spans="1:43" ht="15.75" customHeight="1" x14ac:dyDescent="0.2">
      <c r="A842" s="91"/>
      <c r="B842" s="54" t="s">
        <v>672</v>
      </c>
      <c r="C842" s="54" t="s">
        <v>765</v>
      </c>
      <c r="D842" s="54" t="s">
        <v>92</v>
      </c>
      <c r="E842" s="54" t="s">
        <v>1325</v>
      </c>
      <c r="F842" s="72">
        <v>2019</v>
      </c>
      <c r="G842" s="54"/>
      <c r="H842" s="72">
        <v>0</v>
      </c>
      <c r="I842" s="72">
        <v>4.54</v>
      </c>
      <c r="J842" s="73">
        <v>1</v>
      </c>
      <c r="K842" s="72">
        <v>4.54</v>
      </c>
      <c r="L842" s="54"/>
      <c r="M842" s="54"/>
      <c r="N842" s="72">
        <v>3</v>
      </c>
      <c r="O842" s="72">
        <v>117</v>
      </c>
      <c r="P842" s="54"/>
      <c r="Q842" s="65">
        <v>4257</v>
      </c>
      <c r="R842" s="54" t="s">
        <v>676</v>
      </c>
      <c r="S842" s="54">
        <v>2019</v>
      </c>
      <c r="T842" s="61">
        <v>0.23799999999999999</v>
      </c>
      <c r="U842" s="69">
        <f t="shared" si="86"/>
        <v>1013.1659999999999</v>
      </c>
      <c r="V842" s="70">
        <f t="shared" si="87"/>
        <v>223.16431718061673</v>
      </c>
      <c r="W842" s="15">
        <f t="shared" si="90"/>
        <v>0</v>
      </c>
      <c r="X842" s="15">
        <f t="shared" si="91"/>
        <v>0</v>
      </c>
      <c r="Y842" s="15">
        <f t="shared" si="92"/>
        <v>0</v>
      </c>
      <c r="Z842" s="13">
        <f t="shared" si="93"/>
        <v>0</v>
      </c>
      <c r="AA842" s="16">
        <f>VLOOKUP(S842,[1]CPI!$A$2:$D$67,4,0)</f>
        <v>1.0598966584134211</v>
      </c>
      <c r="AB842" s="17">
        <f t="shared" si="88"/>
        <v>1073.8512578180921</v>
      </c>
      <c r="AC842" s="17">
        <f t="shared" si="89"/>
        <v>236.53111405684848</v>
      </c>
      <c r="AD842" s="54"/>
      <c r="AE842" s="46" t="s">
        <v>1573</v>
      </c>
      <c r="AF842" s="54"/>
      <c r="AG842" s="54"/>
      <c r="AH842" s="54"/>
      <c r="AI842" s="54"/>
      <c r="AJ842" s="82"/>
      <c r="AK842" s="82"/>
      <c r="AL842" s="82"/>
      <c r="AM842" s="82"/>
      <c r="AN842" s="82"/>
      <c r="AO842" s="82"/>
      <c r="AP842" s="82"/>
      <c r="AQ842" s="82"/>
    </row>
    <row r="843" spans="1:43" ht="15.75" customHeight="1" x14ac:dyDescent="0.2">
      <c r="A843" s="91"/>
      <c r="B843" s="54" t="s">
        <v>672</v>
      </c>
      <c r="C843" s="54" t="s">
        <v>765</v>
      </c>
      <c r="D843" s="54" t="s">
        <v>99</v>
      </c>
      <c r="E843" s="54" t="s">
        <v>881</v>
      </c>
      <c r="F843" s="72">
        <v>2021</v>
      </c>
      <c r="G843" s="54"/>
      <c r="H843" s="72">
        <v>0</v>
      </c>
      <c r="I843" s="72">
        <v>12.7</v>
      </c>
      <c r="J843" s="73">
        <v>1</v>
      </c>
      <c r="K843" s="72">
        <v>12.7</v>
      </c>
      <c r="L843" s="54"/>
      <c r="M843" s="54"/>
      <c r="N843" s="72">
        <v>8</v>
      </c>
      <c r="O843" s="72">
        <v>117</v>
      </c>
      <c r="P843" s="54"/>
      <c r="Q843" s="65">
        <v>8965</v>
      </c>
      <c r="R843" s="54" t="s">
        <v>676</v>
      </c>
      <c r="S843" s="54">
        <v>2021</v>
      </c>
      <c r="T843" s="61">
        <v>0.23900000000000099</v>
      </c>
      <c r="U843" s="69">
        <f t="shared" si="86"/>
        <v>2142.6350000000089</v>
      </c>
      <c r="V843" s="70">
        <f t="shared" si="87"/>
        <v>168.71141732283536</v>
      </c>
      <c r="W843" s="15">
        <f t="shared" si="90"/>
        <v>0</v>
      </c>
      <c r="X843" s="15">
        <f t="shared" si="91"/>
        <v>0</v>
      </c>
      <c r="Y843" s="15">
        <f t="shared" si="92"/>
        <v>0</v>
      </c>
      <c r="Z843" s="13">
        <f t="shared" si="93"/>
        <v>0</v>
      </c>
      <c r="AA843" s="16">
        <f>VLOOKUP(S843,[1]CPI!$A$2:$D$67,4,0)</f>
        <v>1</v>
      </c>
      <c r="AB843" s="17">
        <f t="shared" si="88"/>
        <v>2142.6350000000089</v>
      </c>
      <c r="AC843" s="17">
        <f t="shared" si="89"/>
        <v>168.71141732283536</v>
      </c>
      <c r="AD843" s="54"/>
      <c r="AE843" s="46" t="s">
        <v>1574</v>
      </c>
      <c r="AF843" s="54"/>
      <c r="AG843" s="54"/>
      <c r="AH843" s="54"/>
      <c r="AI843" s="54"/>
      <c r="AJ843" s="82"/>
      <c r="AK843" s="82"/>
      <c r="AL843" s="82"/>
      <c r="AM843" s="82"/>
      <c r="AN843" s="82"/>
      <c r="AO843" s="82"/>
      <c r="AP843" s="82"/>
      <c r="AQ843" s="82"/>
    </row>
    <row r="844" spans="1:43" ht="15.75" customHeight="1" x14ac:dyDescent="0.2">
      <c r="A844" s="91"/>
      <c r="B844" s="54" t="s">
        <v>672</v>
      </c>
      <c r="C844" s="54" t="s">
        <v>775</v>
      </c>
      <c r="D844" s="54" t="s">
        <v>103</v>
      </c>
      <c r="E844" s="54" t="s">
        <v>907</v>
      </c>
      <c r="F844" s="72">
        <v>2017</v>
      </c>
      <c r="G844" s="54"/>
      <c r="H844" s="72">
        <v>0</v>
      </c>
      <c r="I844" s="72">
        <v>19.5</v>
      </c>
      <c r="J844" s="54"/>
      <c r="K844" s="54"/>
      <c r="L844" s="54"/>
      <c r="M844" s="54"/>
      <c r="N844" s="54"/>
      <c r="O844" s="72">
        <v>117</v>
      </c>
      <c r="P844" s="54"/>
      <c r="Q844" s="65">
        <v>13057</v>
      </c>
      <c r="R844" s="54" t="s">
        <v>676</v>
      </c>
      <c r="S844" s="54">
        <v>2017</v>
      </c>
      <c r="T844" s="15">
        <v>0.23899999999999999</v>
      </c>
      <c r="U844" s="69">
        <f t="shared" si="86"/>
        <v>3120.623</v>
      </c>
      <c r="V844" s="70">
        <f t="shared" si="87"/>
        <v>160.03194871794872</v>
      </c>
      <c r="W844" s="15">
        <f t="shared" si="90"/>
        <v>0</v>
      </c>
      <c r="X844" s="15">
        <f t="shared" si="91"/>
        <v>0</v>
      </c>
      <c r="Y844" s="15">
        <f t="shared" si="92"/>
        <v>0</v>
      </c>
      <c r="Z844" s="13">
        <f t="shared" si="93"/>
        <v>0</v>
      </c>
      <c r="AA844" s="16">
        <f>VLOOKUP(S844,[1]CPI!$A$2:$D$67,4,0)</f>
        <v>1.1054585509138382</v>
      </c>
      <c r="AB844" s="17">
        <f t="shared" si="88"/>
        <v>3449.7193795283943</v>
      </c>
      <c r="AC844" s="17">
        <f t="shared" si="89"/>
        <v>176.90868612966125</v>
      </c>
      <c r="AD844" s="54"/>
      <c r="AE844" s="46" t="s">
        <v>777</v>
      </c>
      <c r="AF844" s="54"/>
      <c r="AG844" s="54"/>
      <c r="AH844" s="54"/>
      <c r="AI844" s="54"/>
      <c r="AJ844" s="82"/>
      <c r="AK844" s="82"/>
      <c r="AL844" s="82"/>
      <c r="AM844" s="82"/>
      <c r="AN844" s="82"/>
      <c r="AO844" s="82"/>
      <c r="AP844" s="82"/>
      <c r="AQ844" s="82"/>
    </row>
    <row r="845" spans="1:43" ht="15.75" customHeight="1" x14ac:dyDescent="0.2">
      <c r="A845" s="91"/>
      <c r="B845" s="54" t="s">
        <v>672</v>
      </c>
      <c r="C845" s="54" t="s">
        <v>1021</v>
      </c>
      <c r="D845" s="54"/>
      <c r="E845" s="54" t="s">
        <v>706</v>
      </c>
      <c r="F845" s="72">
        <v>2019</v>
      </c>
      <c r="G845" s="54"/>
      <c r="H845" s="72">
        <v>0</v>
      </c>
      <c r="I845" s="72">
        <v>26.8</v>
      </c>
      <c r="J845" s="73">
        <v>0.6</v>
      </c>
      <c r="K845" s="72">
        <v>16</v>
      </c>
      <c r="L845" s="54"/>
      <c r="M845" s="54"/>
      <c r="N845" s="72">
        <v>11</v>
      </c>
      <c r="O845" s="54"/>
      <c r="P845" s="54"/>
      <c r="Q845" s="65">
        <v>17062</v>
      </c>
      <c r="R845" s="54" t="s">
        <v>676</v>
      </c>
      <c r="S845" s="54">
        <v>2019</v>
      </c>
      <c r="T845" s="61">
        <v>0.23799999999999999</v>
      </c>
      <c r="U845" s="69">
        <f t="shared" si="86"/>
        <v>4060.7559999999999</v>
      </c>
      <c r="V845" s="70">
        <f t="shared" si="87"/>
        <v>151.52074626865669</v>
      </c>
      <c r="W845" s="15">
        <f t="shared" si="90"/>
        <v>0</v>
      </c>
      <c r="X845" s="15">
        <f t="shared" si="91"/>
        <v>0</v>
      </c>
      <c r="Y845" s="15">
        <f t="shared" si="92"/>
        <v>0</v>
      </c>
      <c r="Z845" s="13">
        <f t="shared" si="93"/>
        <v>0</v>
      </c>
      <c r="AA845" s="16">
        <f>VLOOKUP(S845,[1]CPI!$A$2:$D$67,4,0)</f>
        <v>1.0598966584134211</v>
      </c>
      <c r="AB845" s="17">
        <f t="shared" si="88"/>
        <v>4303.9817150322497</v>
      </c>
      <c r="AC845" s="17">
        <f t="shared" si="89"/>
        <v>160.59633265045707</v>
      </c>
      <c r="AD845" s="54"/>
      <c r="AE845" s="46" t="s">
        <v>1575</v>
      </c>
      <c r="AF845" s="54"/>
      <c r="AG845" s="54"/>
      <c r="AH845" s="54"/>
      <c r="AI845" s="54"/>
      <c r="AJ845" s="82"/>
      <c r="AK845" s="82"/>
      <c r="AL845" s="82"/>
      <c r="AM845" s="82"/>
      <c r="AN845" s="82"/>
      <c r="AO845" s="82"/>
      <c r="AP845" s="82"/>
      <c r="AQ845" s="82"/>
    </row>
    <row r="846" spans="1:43" ht="15.75" customHeight="1" x14ac:dyDescent="0.2">
      <c r="A846" s="91"/>
      <c r="B846" s="54" t="s">
        <v>672</v>
      </c>
      <c r="C846" s="54" t="s">
        <v>757</v>
      </c>
      <c r="D846" s="9" t="s">
        <v>1576</v>
      </c>
      <c r="E846" s="54" t="s">
        <v>1577</v>
      </c>
      <c r="F846" s="72">
        <v>2021</v>
      </c>
      <c r="G846" s="54"/>
      <c r="H846" s="72">
        <v>1</v>
      </c>
      <c r="I846" s="72">
        <v>27.49</v>
      </c>
      <c r="J846" s="73">
        <v>0</v>
      </c>
      <c r="K846" s="72">
        <v>0</v>
      </c>
      <c r="L846" s="54"/>
      <c r="M846" s="54"/>
      <c r="N846" s="72">
        <v>8</v>
      </c>
      <c r="O846" s="72">
        <v>117</v>
      </c>
      <c r="P846" s="54"/>
      <c r="Q846" s="65">
        <v>6337</v>
      </c>
      <c r="R846" s="54" t="s">
        <v>676</v>
      </c>
      <c r="S846" s="54">
        <v>2021</v>
      </c>
      <c r="T846" s="61">
        <v>0.23900000000000099</v>
      </c>
      <c r="U846" s="69">
        <f t="shared" si="86"/>
        <v>1514.5430000000063</v>
      </c>
      <c r="V846" s="70">
        <f t="shared" si="87"/>
        <v>55.094325209167202</v>
      </c>
      <c r="W846" s="15">
        <f t="shared" si="90"/>
        <v>0</v>
      </c>
      <c r="X846" s="15">
        <f t="shared" si="91"/>
        <v>0</v>
      </c>
      <c r="Y846" s="15">
        <f t="shared" si="92"/>
        <v>0</v>
      </c>
      <c r="Z846" s="13">
        <f t="shared" si="93"/>
        <v>0</v>
      </c>
      <c r="AA846" s="16">
        <f>VLOOKUP(S846,[1]CPI!$A$2:$D$67,4,0)</f>
        <v>1</v>
      </c>
      <c r="AB846" s="17">
        <f t="shared" si="88"/>
        <v>1514.5430000000063</v>
      </c>
      <c r="AC846" s="17">
        <f t="shared" si="89"/>
        <v>55.094325209167202</v>
      </c>
      <c r="AD846" s="54"/>
      <c r="AE846" s="46" t="s">
        <v>1578</v>
      </c>
      <c r="AF846" s="54"/>
      <c r="AG846" s="54"/>
      <c r="AH846" s="54"/>
      <c r="AI846" s="54"/>
      <c r="AJ846" s="82"/>
      <c r="AK846" s="82"/>
      <c r="AL846" s="82"/>
      <c r="AM846" s="82"/>
      <c r="AN846" s="82"/>
      <c r="AO846" s="82"/>
      <c r="AP846" s="82"/>
      <c r="AQ846" s="82"/>
    </row>
    <row r="847" spans="1:43" ht="15.75" customHeight="1" x14ac:dyDescent="0.2">
      <c r="A847" s="91"/>
      <c r="B847" s="54" t="s">
        <v>672</v>
      </c>
      <c r="C847" s="54" t="s">
        <v>757</v>
      </c>
      <c r="D847" s="54" t="s">
        <v>916</v>
      </c>
      <c r="E847" s="54" t="s">
        <v>1579</v>
      </c>
      <c r="F847" s="72">
        <v>2022</v>
      </c>
      <c r="G847" s="54"/>
      <c r="H847" s="72">
        <v>0</v>
      </c>
      <c r="I847" s="72">
        <v>24</v>
      </c>
      <c r="J847" s="54"/>
      <c r="K847" s="54"/>
      <c r="L847" s="54"/>
      <c r="M847" s="54"/>
      <c r="N847" s="72">
        <v>8</v>
      </c>
      <c r="O847" s="72">
        <v>78</v>
      </c>
      <c r="P847" s="54"/>
      <c r="Q847" s="65">
        <v>6830</v>
      </c>
      <c r="R847" s="54" t="s">
        <v>676</v>
      </c>
      <c r="S847" s="54">
        <v>2021</v>
      </c>
      <c r="T847" s="61">
        <v>0.23900000000000099</v>
      </c>
      <c r="U847" s="69">
        <f t="shared" si="86"/>
        <v>1632.3700000000067</v>
      </c>
      <c r="V847" s="70">
        <f t="shared" si="87"/>
        <v>68.015416666666951</v>
      </c>
      <c r="W847" s="15">
        <f t="shared" si="90"/>
        <v>0</v>
      </c>
      <c r="X847" s="15">
        <f t="shared" si="91"/>
        <v>0</v>
      </c>
      <c r="Y847" s="15">
        <f t="shared" si="92"/>
        <v>0</v>
      </c>
      <c r="Z847" s="13">
        <f t="shared" si="93"/>
        <v>0</v>
      </c>
      <c r="AA847" s="16">
        <f>VLOOKUP(S847,[1]CPI!$A$2:$D$67,4,0)</f>
        <v>1</v>
      </c>
      <c r="AB847" s="17">
        <f t="shared" si="88"/>
        <v>1632.3700000000067</v>
      </c>
      <c r="AC847" s="17">
        <f t="shared" si="89"/>
        <v>68.015416666666951</v>
      </c>
      <c r="AD847" s="54"/>
      <c r="AE847" s="46" t="s">
        <v>1580</v>
      </c>
      <c r="AF847" s="54"/>
      <c r="AG847" s="54"/>
      <c r="AH847" s="54"/>
      <c r="AI847" s="54"/>
      <c r="AJ847" s="82"/>
      <c r="AK847" s="82"/>
      <c r="AL847" s="82"/>
      <c r="AM847" s="82"/>
      <c r="AN847" s="82"/>
      <c r="AO847" s="82"/>
      <c r="AP847" s="82"/>
      <c r="AQ847" s="82"/>
    </row>
    <row r="848" spans="1:43" ht="15.75" customHeight="1" x14ac:dyDescent="0.2">
      <c r="A848" s="91"/>
      <c r="B848" s="54" t="s">
        <v>672</v>
      </c>
      <c r="C848" s="54" t="s">
        <v>757</v>
      </c>
      <c r="D848" s="54" t="s">
        <v>916</v>
      </c>
      <c r="E848" s="54" t="s">
        <v>1579</v>
      </c>
      <c r="F848" s="72">
        <v>2012</v>
      </c>
      <c r="G848" s="72">
        <v>2014</v>
      </c>
      <c r="H848" s="72">
        <v>0</v>
      </c>
      <c r="I848" s="72">
        <v>45.2</v>
      </c>
      <c r="J848" s="73">
        <v>0.27</v>
      </c>
      <c r="K848" s="72">
        <v>12.2</v>
      </c>
      <c r="L848" s="54"/>
      <c r="M848" s="54"/>
      <c r="N848" s="72">
        <v>17</v>
      </c>
      <c r="O848" s="72">
        <v>78</v>
      </c>
      <c r="P848" s="54"/>
      <c r="Q848" s="65">
        <v>14379</v>
      </c>
      <c r="R848" s="54" t="s">
        <v>676</v>
      </c>
      <c r="S848" s="54">
        <v>2021</v>
      </c>
      <c r="T848" s="61">
        <v>0.23900000000000099</v>
      </c>
      <c r="U848" s="69">
        <f t="shared" si="86"/>
        <v>3436.5810000000142</v>
      </c>
      <c r="V848" s="70">
        <f t="shared" si="87"/>
        <v>76.030553097345447</v>
      </c>
      <c r="W848" s="15">
        <f t="shared" si="90"/>
        <v>0</v>
      </c>
      <c r="X848" s="15">
        <f t="shared" si="91"/>
        <v>0</v>
      </c>
      <c r="Y848" s="15">
        <f t="shared" si="92"/>
        <v>0</v>
      </c>
      <c r="Z848" s="13">
        <f t="shared" si="93"/>
        <v>0</v>
      </c>
      <c r="AA848" s="16">
        <f>VLOOKUP(S848,[1]CPI!$A$2:$D$67,4,0)</f>
        <v>1</v>
      </c>
      <c r="AB848" s="17">
        <f t="shared" si="88"/>
        <v>3436.5810000000142</v>
      </c>
      <c r="AC848" s="17">
        <f t="shared" si="89"/>
        <v>76.030553097345447</v>
      </c>
      <c r="AD848" s="54"/>
      <c r="AE848" s="46" t="s">
        <v>1581</v>
      </c>
      <c r="AF848" s="80" t="s">
        <v>1582</v>
      </c>
      <c r="AG848" s="81"/>
      <c r="AH848" s="81"/>
      <c r="AI848" s="81"/>
      <c r="AJ848" s="82"/>
      <c r="AK848" s="82"/>
      <c r="AL848" s="82"/>
      <c r="AM848" s="82"/>
      <c r="AN848" s="82"/>
      <c r="AO848" s="82"/>
      <c r="AP848" s="82"/>
      <c r="AQ848" s="82"/>
    </row>
    <row r="849" spans="1:43" ht="15.75" customHeight="1" x14ac:dyDescent="0.2">
      <c r="A849" s="91"/>
      <c r="B849" s="54" t="s">
        <v>672</v>
      </c>
      <c r="C849" s="54" t="s">
        <v>757</v>
      </c>
      <c r="D849" s="9" t="s">
        <v>1583</v>
      </c>
      <c r="E849" s="54" t="s">
        <v>1584</v>
      </c>
      <c r="F849" s="72">
        <v>2018</v>
      </c>
      <c r="G849" s="72">
        <v>2022</v>
      </c>
      <c r="H849" s="72">
        <v>0</v>
      </c>
      <c r="I849" s="72">
        <v>32.950000000000003</v>
      </c>
      <c r="J849" s="73">
        <v>0</v>
      </c>
      <c r="K849" s="72">
        <v>0</v>
      </c>
      <c r="L849" s="54"/>
      <c r="M849" s="54"/>
      <c r="N849" s="72">
        <v>6</v>
      </c>
      <c r="O849" s="72">
        <v>92</v>
      </c>
      <c r="P849" s="54"/>
      <c r="Q849" s="65">
        <v>9399.67</v>
      </c>
      <c r="R849" s="54" t="s">
        <v>676</v>
      </c>
      <c r="S849" s="54">
        <v>2013</v>
      </c>
      <c r="T849" s="15">
        <v>0.27300000000000002</v>
      </c>
      <c r="U849" s="69">
        <f t="shared" si="86"/>
        <v>2566.1099100000001</v>
      </c>
      <c r="V849" s="70">
        <f t="shared" si="87"/>
        <v>77.87890470409711</v>
      </c>
      <c r="W849" s="15">
        <f t="shared" si="90"/>
        <v>0</v>
      </c>
      <c r="X849" s="15">
        <f t="shared" si="91"/>
        <v>0</v>
      </c>
      <c r="Y849" s="15">
        <f t="shared" si="92"/>
        <v>0</v>
      </c>
      <c r="Z849" s="13">
        <f t="shared" si="93"/>
        <v>0</v>
      </c>
      <c r="AA849" s="16">
        <f>VLOOKUP(S849,[1]CPI!$A$2:$D$67,4,0)</f>
        <v>1.16317603677932</v>
      </c>
      <c r="AB849" s="17">
        <f t="shared" si="88"/>
        <v>2984.8375550539376</v>
      </c>
      <c r="AC849" s="17">
        <f t="shared" si="89"/>
        <v>90.586875722426015</v>
      </c>
      <c r="AD849" s="54"/>
      <c r="AE849" s="46" t="s">
        <v>1585</v>
      </c>
      <c r="AF849" s="80" t="s">
        <v>1586</v>
      </c>
      <c r="AG849" s="81"/>
      <c r="AH849" s="81"/>
      <c r="AI849" s="81"/>
      <c r="AJ849" s="82"/>
      <c r="AK849" s="82"/>
      <c r="AL849" s="82"/>
      <c r="AM849" s="82"/>
      <c r="AN849" s="82"/>
      <c r="AO849" s="82"/>
      <c r="AP849" s="82"/>
      <c r="AQ849" s="82"/>
    </row>
    <row r="850" spans="1:43" ht="15.75" customHeight="1" x14ac:dyDescent="0.2">
      <c r="A850" s="91"/>
      <c r="B850" s="54" t="s">
        <v>672</v>
      </c>
      <c r="C850" s="54" t="s">
        <v>757</v>
      </c>
      <c r="D850" s="9" t="s">
        <v>1583</v>
      </c>
      <c r="E850" s="54" t="s">
        <v>1587</v>
      </c>
      <c r="F850" s="72">
        <v>2022</v>
      </c>
      <c r="G850" s="54"/>
      <c r="H850" s="72">
        <v>0</v>
      </c>
      <c r="I850" s="72">
        <v>13.28</v>
      </c>
      <c r="J850" s="54"/>
      <c r="K850" s="54"/>
      <c r="L850" s="54"/>
      <c r="M850" s="54"/>
      <c r="N850" s="72">
        <v>6</v>
      </c>
      <c r="O850" s="72">
        <v>92</v>
      </c>
      <c r="P850" s="54"/>
      <c r="Q850" s="65">
        <v>4420</v>
      </c>
      <c r="R850" s="54" t="s">
        <v>676</v>
      </c>
      <c r="S850" s="54">
        <v>2021</v>
      </c>
      <c r="T850" s="61">
        <v>0.23900000000000099</v>
      </c>
      <c r="U850" s="69">
        <f t="shared" si="86"/>
        <v>1056.3800000000044</v>
      </c>
      <c r="V850" s="70">
        <f t="shared" si="87"/>
        <v>79.546686746988286</v>
      </c>
      <c r="W850" s="15">
        <f t="shared" si="90"/>
        <v>0</v>
      </c>
      <c r="X850" s="15">
        <f t="shared" si="91"/>
        <v>0</v>
      </c>
      <c r="Y850" s="15">
        <f t="shared" si="92"/>
        <v>0</v>
      </c>
      <c r="Z850" s="13">
        <f t="shared" si="93"/>
        <v>0</v>
      </c>
      <c r="AA850" s="16">
        <f>VLOOKUP(S850,[1]CPI!$A$2:$D$67,4,0)</f>
        <v>1</v>
      </c>
      <c r="AB850" s="17">
        <f t="shared" si="88"/>
        <v>1056.3800000000044</v>
      </c>
      <c r="AC850" s="17">
        <f t="shared" si="89"/>
        <v>79.546686746988286</v>
      </c>
      <c r="AD850" s="54"/>
      <c r="AE850" s="46" t="s">
        <v>1588</v>
      </c>
      <c r="AF850" s="80" t="s">
        <v>1586</v>
      </c>
      <c r="AG850" s="81"/>
      <c r="AH850" s="81"/>
      <c r="AI850" s="81"/>
      <c r="AJ850" s="82"/>
      <c r="AK850" s="82"/>
      <c r="AL850" s="82"/>
      <c r="AM850" s="82"/>
      <c r="AN850" s="82"/>
      <c r="AO850" s="82"/>
      <c r="AP850" s="82"/>
      <c r="AQ850" s="82"/>
    </row>
    <row r="851" spans="1:43" ht="15.75" customHeight="1" x14ac:dyDescent="0.2">
      <c r="A851" s="91"/>
      <c r="B851" s="54" t="s">
        <v>672</v>
      </c>
      <c r="C851" s="54" t="s">
        <v>757</v>
      </c>
      <c r="D851" s="9" t="s">
        <v>1583</v>
      </c>
      <c r="E851" s="54" t="s">
        <v>1589</v>
      </c>
      <c r="F851" s="72">
        <v>2021</v>
      </c>
      <c r="G851" s="54"/>
      <c r="H851" s="72">
        <v>0</v>
      </c>
      <c r="I851" s="72">
        <v>5.6710000000000003</v>
      </c>
      <c r="J851" s="73">
        <v>0.46</v>
      </c>
      <c r="K851" s="72">
        <v>2.63</v>
      </c>
      <c r="L851" s="54"/>
      <c r="M851" s="54"/>
      <c r="N851" s="72">
        <v>2</v>
      </c>
      <c r="O851" s="72">
        <v>92</v>
      </c>
      <c r="P851" s="54"/>
      <c r="Q851" s="65">
        <v>3435</v>
      </c>
      <c r="R851" s="54" t="s">
        <v>676</v>
      </c>
      <c r="S851" s="54">
        <v>2021</v>
      </c>
      <c r="T851" s="61">
        <v>0.23900000000000199</v>
      </c>
      <c r="U851" s="69">
        <f t="shared" si="86"/>
        <v>820.96500000000685</v>
      </c>
      <c r="V851" s="70">
        <f t="shared" si="87"/>
        <v>144.76547346147183</v>
      </c>
      <c r="W851" s="15">
        <f t="shared" si="90"/>
        <v>0</v>
      </c>
      <c r="X851" s="15">
        <f t="shared" si="91"/>
        <v>0</v>
      </c>
      <c r="Y851" s="15">
        <f t="shared" si="92"/>
        <v>0</v>
      </c>
      <c r="Z851" s="13">
        <f t="shared" si="93"/>
        <v>0</v>
      </c>
      <c r="AA851" s="16">
        <f>VLOOKUP(S851,[1]CPI!$A$2:$D$67,4,0)</f>
        <v>1</v>
      </c>
      <c r="AB851" s="17">
        <f t="shared" si="88"/>
        <v>820.96500000000685</v>
      </c>
      <c r="AC851" s="17">
        <f t="shared" si="89"/>
        <v>144.76547346147183</v>
      </c>
      <c r="AD851" s="54"/>
      <c r="AE851" s="46" t="s">
        <v>1590</v>
      </c>
      <c r="AF851" s="80" t="s">
        <v>1586</v>
      </c>
      <c r="AG851" s="81"/>
      <c r="AH851" s="81"/>
      <c r="AI851" s="81"/>
      <c r="AJ851" s="82"/>
      <c r="AK851" s="82"/>
      <c r="AL851" s="82"/>
      <c r="AM851" s="82"/>
      <c r="AN851" s="82"/>
      <c r="AO851" s="82"/>
      <c r="AP851" s="82"/>
      <c r="AQ851" s="82"/>
    </row>
    <row r="852" spans="1:43" ht="15.75" customHeight="1" x14ac:dyDescent="0.2">
      <c r="A852" s="91"/>
      <c r="B852" s="54" t="s">
        <v>672</v>
      </c>
      <c r="C852" s="54" t="s">
        <v>757</v>
      </c>
      <c r="D852" s="54"/>
      <c r="E852" s="54" t="s">
        <v>1591</v>
      </c>
      <c r="F852" s="72">
        <v>2021</v>
      </c>
      <c r="G852" s="54"/>
      <c r="H852" s="72">
        <v>0</v>
      </c>
      <c r="I852" s="72">
        <v>42.4</v>
      </c>
      <c r="J852" s="54"/>
      <c r="K852" s="54"/>
      <c r="L852" s="54"/>
      <c r="M852" s="54"/>
      <c r="N852" s="72">
        <v>11</v>
      </c>
      <c r="O852" s="72">
        <v>117</v>
      </c>
      <c r="P852" s="54"/>
      <c r="Q852" s="65">
        <v>14980</v>
      </c>
      <c r="R852" s="54" t="s">
        <v>676</v>
      </c>
      <c r="S852" s="54">
        <v>2021</v>
      </c>
      <c r="T852" s="61">
        <v>0.23900000000000199</v>
      </c>
      <c r="U852" s="69">
        <f t="shared" si="86"/>
        <v>3580.2200000000298</v>
      </c>
      <c r="V852" s="70">
        <f t="shared" si="87"/>
        <v>84.439150943396939</v>
      </c>
      <c r="W852" s="15">
        <f t="shared" si="90"/>
        <v>0</v>
      </c>
      <c r="X852" s="15">
        <f t="shared" si="91"/>
        <v>0</v>
      </c>
      <c r="Y852" s="15">
        <f t="shared" si="92"/>
        <v>0</v>
      </c>
      <c r="Z852" s="13">
        <f t="shared" si="93"/>
        <v>0</v>
      </c>
      <c r="AA852" s="16">
        <f>VLOOKUP(S852,[1]CPI!$A$2:$D$67,4,0)</f>
        <v>1</v>
      </c>
      <c r="AB852" s="17">
        <f t="shared" si="88"/>
        <v>3580.2200000000298</v>
      </c>
      <c r="AC852" s="17">
        <f t="shared" si="89"/>
        <v>84.439150943396939</v>
      </c>
      <c r="AD852" s="54"/>
      <c r="AE852" s="46" t="s">
        <v>1592</v>
      </c>
      <c r="AF852" s="54"/>
      <c r="AG852" s="54"/>
      <c r="AH852" s="54"/>
      <c r="AI852" s="54"/>
      <c r="AJ852" s="82"/>
      <c r="AK852" s="82"/>
      <c r="AL852" s="82"/>
      <c r="AM852" s="82"/>
      <c r="AN852" s="82"/>
      <c r="AO852" s="82"/>
      <c r="AP852" s="82"/>
      <c r="AQ852" s="82"/>
    </row>
    <row r="853" spans="1:43" ht="15.75" customHeight="1" x14ac:dyDescent="0.2">
      <c r="A853" s="91"/>
      <c r="B853" s="54" t="s">
        <v>672</v>
      </c>
      <c r="C853" s="54" t="s">
        <v>757</v>
      </c>
      <c r="D853" s="54"/>
      <c r="E853" s="54" t="s">
        <v>1593</v>
      </c>
      <c r="F853" s="72">
        <v>2021</v>
      </c>
      <c r="G853" s="54"/>
      <c r="H853" s="72">
        <v>0</v>
      </c>
      <c r="I853" s="72">
        <v>53.75</v>
      </c>
      <c r="J853" s="73">
        <v>0.56999999999999995</v>
      </c>
      <c r="K853" s="72">
        <v>30.66</v>
      </c>
      <c r="L853" s="54"/>
      <c r="M853" s="54"/>
      <c r="N853" s="72">
        <v>16</v>
      </c>
      <c r="O853" s="72">
        <v>138</v>
      </c>
      <c r="P853" s="54"/>
      <c r="Q853" s="65">
        <v>26852</v>
      </c>
      <c r="R853" s="54" t="s">
        <v>676</v>
      </c>
      <c r="S853" s="54">
        <v>2021</v>
      </c>
      <c r="T853" s="61">
        <v>0.23900000000000199</v>
      </c>
      <c r="U853" s="69">
        <f t="shared" si="86"/>
        <v>6417.6280000000534</v>
      </c>
      <c r="V853" s="70">
        <f t="shared" si="87"/>
        <v>119.39773023255913</v>
      </c>
      <c r="W853" s="15">
        <f t="shared" si="90"/>
        <v>0</v>
      </c>
      <c r="X853" s="15">
        <f t="shared" si="91"/>
        <v>0</v>
      </c>
      <c r="Y853" s="15">
        <f t="shared" si="92"/>
        <v>0</v>
      </c>
      <c r="Z853" s="13">
        <f t="shared" si="93"/>
        <v>0</v>
      </c>
      <c r="AA853" s="16">
        <f>VLOOKUP(S853,[1]CPI!$A$2:$D$67,4,0)</f>
        <v>1</v>
      </c>
      <c r="AB853" s="17">
        <f t="shared" si="88"/>
        <v>6417.6280000000534</v>
      </c>
      <c r="AC853" s="17">
        <f t="shared" si="89"/>
        <v>119.39773023255913</v>
      </c>
      <c r="AD853" s="54"/>
      <c r="AE853" s="46" t="s">
        <v>1594</v>
      </c>
      <c r="AF853" s="80" t="s">
        <v>1595</v>
      </c>
      <c r="AG853" s="81"/>
      <c r="AH853" s="81"/>
      <c r="AI853" s="81"/>
      <c r="AJ853" s="82"/>
      <c r="AK853" s="82"/>
      <c r="AL853" s="82"/>
      <c r="AM853" s="82"/>
      <c r="AN853" s="82"/>
      <c r="AO853" s="82"/>
      <c r="AP853" s="82"/>
      <c r="AQ853" s="82"/>
    </row>
    <row r="854" spans="1:43" ht="15.75" customHeight="1" x14ac:dyDescent="0.2">
      <c r="A854" s="91"/>
      <c r="B854" s="54" t="s">
        <v>672</v>
      </c>
      <c r="C854" s="54" t="s">
        <v>757</v>
      </c>
      <c r="D854" s="9" t="s">
        <v>1576</v>
      </c>
      <c r="E854" s="54" t="s">
        <v>1596</v>
      </c>
      <c r="F854" s="72">
        <v>2021</v>
      </c>
      <c r="G854" s="54"/>
      <c r="H854" s="72">
        <v>1</v>
      </c>
      <c r="I854" s="72">
        <v>26.5</v>
      </c>
      <c r="J854" s="73">
        <v>0.52</v>
      </c>
      <c r="K854" s="72">
        <v>13.71</v>
      </c>
      <c r="L854" s="54"/>
      <c r="M854" s="54"/>
      <c r="N854" s="72">
        <v>8</v>
      </c>
      <c r="O854" s="72">
        <v>117</v>
      </c>
      <c r="P854" s="54"/>
      <c r="Q854" s="65">
        <v>14698</v>
      </c>
      <c r="R854" s="54" t="s">
        <v>676</v>
      </c>
      <c r="S854" s="54">
        <v>2021</v>
      </c>
      <c r="T854" s="61">
        <v>0.23900000000000199</v>
      </c>
      <c r="U854" s="69">
        <f t="shared" si="86"/>
        <v>3512.8220000000292</v>
      </c>
      <c r="V854" s="70">
        <f t="shared" si="87"/>
        <v>132.55932075471807</v>
      </c>
      <c r="W854" s="15">
        <f t="shared" si="90"/>
        <v>0</v>
      </c>
      <c r="X854" s="15">
        <f t="shared" si="91"/>
        <v>0</v>
      </c>
      <c r="Y854" s="15">
        <f t="shared" si="92"/>
        <v>0</v>
      </c>
      <c r="Z854" s="13">
        <f t="shared" si="93"/>
        <v>0</v>
      </c>
      <c r="AA854" s="16">
        <f>VLOOKUP(S854,[1]CPI!$A$2:$D$67,4,0)</f>
        <v>1</v>
      </c>
      <c r="AB854" s="17">
        <f t="shared" si="88"/>
        <v>3512.8220000000292</v>
      </c>
      <c r="AC854" s="17">
        <f t="shared" si="89"/>
        <v>132.55932075471807</v>
      </c>
      <c r="AD854" s="54"/>
      <c r="AE854" s="46" t="s">
        <v>1597</v>
      </c>
      <c r="AF854" s="80" t="s">
        <v>1598</v>
      </c>
      <c r="AG854" s="81"/>
      <c r="AH854" s="81"/>
      <c r="AI854" s="81"/>
      <c r="AJ854" s="82"/>
      <c r="AK854" s="82"/>
      <c r="AL854" s="82"/>
      <c r="AM854" s="82"/>
      <c r="AN854" s="82"/>
      <c r="AO854" s="82"/>
      <c r="AP854" s="82"/>
      <c r="AQ854" s="82"/>
    </row>
    <row r="855" spans="1:43" ht="15.75" customHeight="1" x14ac:dyDescent="0.2">
      <c r="A855" s="91"/>
      <c r="B855" s="54" t="s">
        <v>672</v>
      </c>
      <c r="C855" s="54" t="s">
        <v>757</v>
      </c>
      <c r="D855" s="54" t="s">
        <v>142</v>
      </c>
      <c r="E855" s="54" t="s">
        <v>706</v>
      </c>
      <c r="F855" s="72">
        <v>2004</v>
      </c>
      <c r="G855" s="72">
        <v>2015</v>
      </c>
      <c r="H855" s="72">
        <v>0</v>
      </c>
      <c r="I855" s="72">
        <v>43.9</v>
      </c>
      <c r="J855" s="73">
        <v>0.95</v>
      </c>
      <c r="K855" s="72">
        <v>41.7</v>
      </c>
      <c r="L855" s="54"/>
      <c r="M855" s="54"/>
      <c r="N855" s="54"/>
      <c r="O855" s="72">
        <v>117</v>
      </c>
      <c r="P855" s="54"/>
      <c r="Q855" s="65">
        <v>20070</v>
      </c>
      <c r="R855" s="54" t="s">
        <v>676</v>
      </c>
      <c r="S855" s="54">
        <v>2010</v>
      </c>
      <c r="T855" s="15">
        <v>0.3</v>
      </c>
      <c r="U855" s="69">
        <f t="shared" si="86"/>
        <v>6021</v>
      </c>
      <c r="V855" s="70">
        <f t="shared" si="87"/>
        <v>137.15261958997723</v>
      </c>
      <c r="W855" s="15">
        <f t="shared" si="90"/>
        <v>0</v>
      </c>
      <c r="X855" s="15">
        <f t="shared" si="91"/>
        <v>0</v>
      </c>
      <c r="Y855" s="15">
        <f t="shared" si="92"/>
        <v>0</v>
      </c>
      <c r="Z855" s="13">
        <f t="shared" si="93"/>
        <v>0</v>
      </c>
      <c r="AA855" s="16">
        <f>VLOOKUP(S855,[1]CPI!$A$2:$D$67,4,0)</f>
        <v>1.2426624353377114</v>
      </c>
      <c r="AB855" s="17">
        <f t="shared" si="88"/>
        <v>7482.0705231683605</v>
      </c>
      <c r="AC855" s="17">
        <f t="shared" si="89"/>
        <v>170.43440827262782</v>
      </c>
      <c r="AD855" s="54"/>
      <c r="AE855" s="46" t="s">
        <v>1599</v>
      </c>
      <c r="AF855" s="80" t="s">
        <v>1476</v>
      </c>
      <c r="AG855" s="81"/>
      <c r="AH855" s="81"/>
      <c r="AI855" s="81"/>
      <c r="AJ855" s="82"/>
      <c r="AK855" s="82"/>
      <c r="AL855" s="82"/>
      <c r="AM855" s="82"/>
      <c r="AN855" s="82"/>
      <c r="AO855" s="82"/>
      <c r="AP855" s="82"/>
      <c r="AQ855" s="82"/>
    </row>
    <row r="856" spans="1:43" x14ac:dyDescent="0.2">
      <c r="A856" s="54"/>
      <c r="B856" s="54" t="s">
        <v>672</v>
      </c>
      <c r="C856" s="54" t="s">
        <v>757</v>
      </c>
      <c r="D856" s="54" t="s">
        <v>99</v>
      </c>
      <c r="E856" s="54" t="s">
        <v>698</v>
      </c>
      <c r="F856" s="72">
        <v>2005</v>
      </c>
      <c r="G856" s="54"/>
      <c r="H856" s="72">
        <v>0</v>
      </c>
      <c r="I856" s="72">
        <v>21.63</v>
      </c>
      <c r="J856" s="73">
        <v>0.88</v>
      </c>
      <c r="K856" s="72">
        <v>19.11</v>
      </c>
      <c r="L856" s="54"/>
      <c r="M856" s="54"/>
      <c r="N856" s="72">
        <v>18</v>
      </c>
      <c r="O856" s="72">
        <v>138</v>
      </c>
      <c r="P856" s="54"/>
      <c r="Q856" s="65">
        <v>10450</v>
      </c>
      <c r="R856" s="54" t="s">
        <v>676</v>
      </c>
      <c r="S856" s="54">
        <v>2005</v>
      </c>
      <c r="T856" s="15">
        <v>0.35199999999999998</v>
      </c>
      <c r="U856" s="69">
        <f t="shared" si="86"/>
        <v>3678.3999999999996</v>
      </c>
      <c r="V856" s="70">
        <f t="shared" si="87"/>
        <v>170.06010171058713</v>
      </c>
      <c r="W856" s="15">
        <f t="shared" si="90"/>
        <v>0</v>
      </c>
      <c r="X856" s="15">
        <f t="shared" si="91"/>
        <v>0</v>
      </c>
      <c r="Y856" s="15">
        <f t="shared" si="92"/>
        <v>0</v>
      </c>
      <c r="Z856" s="13">
        <f t="shared" si="93"/>
        <v>0</v>
      </c>
      <c r="AA856" s="16">
        <f>VLOOKUP(S856,[1]CPI!$A$2:$D$67,4,0)</f>
        <v>1.3874551971326166</v>
      </c>
      <c r="AB856" s="17">
        <f t="shared" si="88"/>
        <v>5103.6151971326162</v>
      </c>
      <c r="AC856" s="17">
        <f t="shared" si="89"/>
        <v>235.95077194325549</v>
      </c>
      <c r="AD856" s="54"/>
      <c r="AE856" s="46" t="s">
        <v>1600</v>
      </c>
      <c r="AF856" s="80" t="s">
        <v>1601</v>
      </c>
      <c r="AG856" s="81"/>
      <c r="AH856" s="81"/>
      <c r="AI856" s="81"/>
      <c r="AJ856" s="82"/>
      <c r="AK856" s="82"/>
      <c r="AL856" s="82"/>
      <c r="AM856" s="82"/>
      <c r="AN856" s="82"/>
      <c r="AO856" s="82"/>
      <c r="AP856" s="82"/>
      <c r="AQ856" s="82"/>
    </row>
    <row r="857" spans="1:43" x14ac:dyDescent="0.2">
      <c r="A857" s="54"/>
      <c r="B857" s="54" t="s">
        <v>672</v>
      </c>
      <c r="C857" s="54" t="s">
        <v>757</v>
      </c>
      <c r="D857" s="54"/>
      <c r="E857" s="54" t="s">
        <v>1602</v>
      </c>
      <c r="F857" s="72">
        <v>2021</v>
      </c>
      <c r="G857" s="54"/>
      <c r="H857" s="72">
        <v>0</v>
      </c>
      <c r="I857" s="72">
        <v>26.312999999999999</v>
      </c>
      <c r="J857" s="73">
        <v>0.62</v>
      </c>
      <c r="K857" s="72">
        <v>16.260000000000002</v>
      </c>
      <c r="L857" s="54"/>
      <c r="M857" s="54"/>
      <c r="N857" s="72">
        <v>13</v>
      </c>
      <c r="O857" s="72">
        <v>117</v>
      </c>
      <c r="P857" s="54"/>
      <c r="Q857" s="65">
        <v>20799</v>
      </c>
      <c r="R857" s="54" t="s">
        <v>676</v>
      </c>
      <c r="S857" s="54">
        <v>2021</v>
      </c>
      <c r="T857" s="61">
        <v>0.23900000000000199</v>
      </c>
      <c r="U857" s="69">
        <f t="shared" si="86"/>
        <v>4970.9610000000412</v>
      </c>
      <c r="V857" s="70">
        <f t="shared" si="87"/>
        <v>188.91654315357584</v>
      </c>
      <c r="W857" s="15">
        <f t="shared" si="90"/>
        <v>0</v>
      </c>
      <c r="X857" s="15">
        <f t="shared" si="91"/>
        <v>0</v>
      </c>
      <c r="Y857" s="15">
        <f t="shared" si="92"/>
        <v>0</v>
      </c>
      <c r="Z857" s="13">
        <f t="shared" si="93"/>
        <v>0</v>
      </c>
      <c r="AA857" s="16">
        <f>VLOOKUP(S857,[1]CPI!$A$2:$D$67,4,0)</f>
        <v>1</v>
      </c>
      <c r="AB857" s="17">
        <f t="shared" si="88"/>
        <v>4970.9610000000412</v>
      </c>
      <c r="AC857" s="17">
        <f t="shared" si="89"/>
        <v>188.91654315357584</v>
      </c>
      <c r="AD857" s="54"/>
      <c r="AE857" s="46" t="s">
        <v>1603</v>
      </c>
      <c r="AF857" s="80" t="s">
        <v>1604</v>
      </c>
      <c r="AG857" s="81"/>
      <c r="AH857" s="81"/>
      <c r="AI857" s="81"/>
      <c r="AJ857" s="82"/>
      <c r="AK857" s="82"/>
      <c r="AL857" s="82"/>
      <c r="AM857" s="82"/>
      <c r="AN857" s="82"/>
      <c r="AO857" s="82"/>
      <c r="AP857" s="82"/>
      <c r="AQ857" s="82"/>
    </row>
    <row r="858" spans="1:43" x14ac:dyDescent="0.2">
      <c r="A858" s="54"/>
      <c r="B858" s="54" t="s">
        <v>672</v>
      </c>
      <c r="C858" s="54" t="s">
        <v>854</v>
      </c>
      <c r="D858" s="54"/>
      <c r="E858" s="54" t="s">
        <v>679</v>
      </c>
      <c r="F858" s="72">
        <v>2011</v>
      </c>
      <c r="G858" s="72">
        <v>2016</v>
      </c>
      <c r="H858" s="72">
        <v>0</v>
      </c>
      <c r="I858" s="72">
        <v>32.1</v>
      </c>
      <c r="J858" s="73">
        <v>1</v>
      </c>
      <c r="K858" s="72">
        <v>32.1</v>
      </c>
      <c r="L858" s="54"/>
      <c r="M858" s="54"/>
      <c r="N858" s="72">
        <v>25</v>
      </c>
      <c r="O858" s="72">
        <v>117</v>
      </c>
      <c r="P858" s="54"/>
      <c r="Q858" s="65">
        <v>19800</v>
      </c>
      <c r="R858" s="54" t="s">
        <v>676</v>
      </c>
      <c r="S858" s="54">
        <v>2014</v>
      </c>
      <c r="T858" s="15">
        <v>0.26600000000000001</v>
      </c>
      <c r="U858" s="69">
        <f t="shared" si="86"/>
        <v>5266.8</v>
      </c>
      <c r="V858" s="70">
        <f t="shared" si="87"/>
        <v>164.07476635514018</v>
      </c>
      <c r="W858" s="15">
        <f t="shared" si="90"/>
        <v>0</v>
      </c>
      <c r="X858" s="15">
        <f t="shared" si="91"/>
        <v>0</v>
      </c>
      <c r="Y858" s="15">
        <f t="shared" si="92"/>
        <v>0</v>
      </c>
      <c r="Z858" s="13">
        <f t="shared" si="93"/>
        <v>0</v>
      </c>
      <c r="AA858" s="16">
        <f>VLOOKUP(S858,[1]CPI!$A$2:$D$67,4,0)</f>
        <v>1.1446083400919169</v>
      </c>
      <c r="AB858" s="17">
        <f t="shared" si="88"/>
        <v>6028.4232055961083</v>
      </c>
      <c r="AC858" s="17">
        <f t="shared" si="89"/>
        <v>187.80134596872611</v>
      </c>
      <c r="AD858" s="54"/>
      <c r="AE858" s="46" t="s">
        <v>1605</v>
      </c>
      <c r="AF858" s="54"/>
      <c r="AG858" s="54"/>
      <c r="AH858" s="54"/>
      <c r="AI858" s="54"/>
      <c r="AJ858" s="82"/>
      <c r="AK858" s="82"/>
      <c r="AL858" s="82"/>
      <c r="AM858" s="82"/>
      <c r="AN858" s="82"/>
      <c r="AO858" s="82"/>
      <c r="AP858" s="82"/>
      <c r="AQ858" s="82"/>
    </row>
    <row r="859" spans="1:43" x14ac:dyDescent="0.2">
      <c r="A859" s="54"/>
      <c r="B859" s="54" t="s">
        <v>672</v>
      </c>
      <c r="C859" s="54" t="s">
        <v>854</v>
      </c>
      <c r="D859" s="54" t="s">
        <v>99</v>
      </c>
      <c r="E859" s="54" t="s">
        <v>698</v>
      </c>
      <c r="F859" s="72">
        <v>2014</v>
      </c>
      <c r="G859" s="72">
        <v>2017</v>
      </c>
      <c r="H859" s="72">
        <v>0</v>
      </c>
      <c r="I859" s="72">
        <v>21.2</v>
      </c>
      <c r="J859" s="73">
        <v>1</v>
      </c>
      <c r="K859" s="72">
        <v>21.2</v>
      </c>
      <c r="L859" s="54"/>
      <c r="M859" s="54"/>
      <c r="N859" s="72">
        <v>18</v>
      </c>
      <c r="O859" s="72">
        <v>117</v>
      </c>
      <c r="P859" s="54"/>
      <c r="Q859" s="65">
        <v>15540</v>
      </c>
      <c r="R859" s="54" t="s">
        <v>676</v>
      </c>
      <c r="S859" s="54">
        <v>2016</v>
      </c>
      <c r="T859" s="15">
        <v>0.251</v>
      </c>
      <c r="U859" s="69">
        <f t="shared" si="86"/>
        <v>3900.54</v>
      </c>
      <c r="V859" s="70">
        <f t="shared" si="87"/>
        <v>183.98773584905661</v>
      </c>
      <c r="W859" s="15">
        <f t="shared" si="90"/>
        <v>0</v>
      </c>
      <c r="X859" s="15">
        <f t="shared" si="91"/>
        <v>0</v>
      </c>
      <c r="Y859" s="15">
        <f t="shared" si="92"/>
        <v>0</v>
      </c>
      <c r="Z859" s="13">
        <f t="shared" si="93"/>
        <v>0</v>
      </c>
      <c r="AA859" s="16">
        <f>VLOOKUP(S859,[1]CPI!$A$2:$D$67,4,0)</f>
        <v>1.1290087372451638</v>
      </c>
      <c r="AB859" s="17">
        <f t="shared" si="88"/>
        <v>4403.7437399742512</v>
      </c>
      <c r="AC859" s="17">
        <f t="shared" si="89"/>
        <v>207.72376131954016</v>
      </c>
      <c r="AD859" s="54"/>
      <c r="AE859" s="84" t="s">
        <v>1606</v>
      </c>
      <c r="AF859" s="54"/>
      <c r="AG859" s="54"/>
      <c r="AH859" s="54"/>
      <c r="AI859" s="54"/>
      <c r="AJ859" s="82"/>
      <c r="AK859" s="82"/>
      <c r="AL859" s="82"/>
      <c r="AM859" s="82"/>
      <c r="AN859" s="82"/>
      <c r="AO859" s="82"/>
      <c r="AP859" s="82"/>
      <c r="AQ859" s="82"/>
    </row>
    <row r="860" spans="1:43" x14ac:dyDescent="0.2">
      <c r="A860" s="54"/>
      <c r="B860" s="54" t="s">
        <v>672</v>
      </c>
      <c r="C860" s="54" t="s">
        <v>695</v>
      </c>
      <c r="D860" s="54"/>
      <c r="E860" s="54" t="s">
        <v>1607</v>
      </c>
      <c r="F860" s="72">
        <v>2022</v>
      </c>
      <c r="G860" s="72"/>
      <c r="H860" s="72">
        <v>0</v>
      </c>
      <c r="I860" s="72">
        <v>17.3</v>
      </c>
      <c r="J860" s="73">
        <v>1</v>
      </c>
      <c r="K860" s="72">
        <v>17.3</v>
      </c>
      <c r="L860" s="54"/>
      <c r="M860" s="54"/>
      <c r="N860" s="72">
        <v>6</v>
      </c>
      <c r="O860" s="72">
        <v>184</v>
      </c>
      <c r="P860" s="54"/>
      <c r="Q860" s="65">
        <v>17630</v>
      </c>
      <c r="R860" s="54" t="s">
        <v>676</v>
      </c>
      <c r="S860" s="54">
        <v>2021</v>
      </c>
      <c r="T860" s="61">
        <v>0.23900000000000199</v>
      </c>
      <c r="U860" s="69">
        <f t="shared" si="86"/>
        <v>4213.5700000000352</v>
      </c>
      <c r="V860" s="70">
        <f t="shared" si="87"/>
        <v>243.55895953757428</v>
      </c>
      <c r="W860" s="15">
        <f t="shared" si="90"/>
        <v>0</v>
      </c>
      <c r="X860" s="15">
        <f t="shared" si="91"/>
        <v>0</v>
      </c>
      <c r="Y860" s="15">
        <f t="shared" si="92"/>
        <v>0</v>
      </c>
      <c r="Z860" s="13">
        <f t="shared" si="93"/>
        <v>0</v>
      </c>
      <c r="AA860" s="16">
        <f>VLOOKUP(S860,[1]CPI!$A$2:$D$67,4,0)</f>
        <v>1</v>
      </c>
      <c r="AB860" s="17">
        <f t="shared" si="88"/>
        <v>4213.5700000000352</v>
      </c>
      <c r="AC860" s="17">
        <f t="shared" si="89"/>
        <v>243.55895953757428</v>
      </c>
      <c r="AD860" s="54"/>
      <c r="AE860" s="46" t="s">
        <v>1608</v>
      </c>
      <c r="AF860" s="54"/>
      <c r="AG860" s="54"/>
      <c r="AH860" s="54"/>
      <c r="AI860" s="54"/>
      <c r="AJ860" s="82"/>
      <c r="AK860" s="82"/>
      <c r="AL860" s="82"/>
      <c r="AM860" s="82"/>
      <c r="AN860" s="82"/>
      <c r="AO860" s="82"/>
      <c r="AP860" s="82"/>
      <c r="AQ860" s="82"/>
    </row>
    <row r="861" spans="1:43" x14ac:dyDescent="0.2">
      <c r="A861" s="54"/>
      <c r="B861" s="54" t="s">
        <v>672</v>
      </c>
      <c r="C861" s="54" t="s">
        <v>695</v>
      </c>
      <c r="D861" s="54"/>
      <c r="E861" s="54" t="s">
        <v>803</v>
      </c>
      <c r="F861" s="72">
        <v>2016</v>
      </c>
      <c r="G861" s="72">
        <v>2021</v>
      </c>
      <c r="H861" s="72">
        <v>0</v>
      </c>
      <c r="I861" s="72">
        <v>36.85</v>
      </c>
      <c r="J861" s="73">
        <v>1</v>
      </c>
      <c r="K861" s="72">
        <v>36.85</v>
      </c>
      <c r="L861" s="54"/>
      <c r="M861" s="54"/>
      <c r="N861" s="72">
        <v>26</v>
      </c>
      <c r="O861" s="72">
        <v>138</v>
      </c>
      <c r="P861" s="54"/>
      <c r="Q861" s="65">
        <v>45937</v>
      </c>
      <c r="R861" s="54" t="s">
        <v>676</v>
      </c>
      <c r="S861" s="54">
        <v>2019</v>
      </c>
      <c r="T861" s="61">
        <v>0.23799999999999999</v>
      </c>
      <c r="U861" s="69">
        <f t="shared" si="86"/>
        <v>10933.005999999999</v>
      </c>
      <c r="V861" s="70">
        <f t="shared" si="87"/>
        <v>296.68944369063769</v>
      </c>
      <c r="W861" s="15">
        <f t="shared" si="90"/>
        <v>0</v>
      </c>
      <c r="X861" s="15">
        <f t="shared" si="91"/>
        <v>0</v>
      </c>
      <c r="Y861" s="15">
        <f t="shared" si="92"/>
        <v>0</v>
      </c>
      <c r="Z861" s="13">
        <f t="shared" si="93"/>
        <v>0</v>
      </c>
      <c r="AA861" s="16">
        <f>VLOOKUP(S861,[1]CPI!$A$2:$D$67,4,0)</f>
        <v>1.0598966584134211</v>
      </c>
      <c r="AB861" s="17">
        <f t="shared" si="88"/>
        <v>11587.856525813882</v>
      </c>
      <c r="AC861" s="17">
        <f t="shared" si="89"/>
        <v>314.46014995424372</v>
      </c>
      <c r="AD861" s="54"/>
      <c r="AE861" s="46" t="s">
        <v>1609</v>
      </c>
      <c r="AF861" s="54"/>
      <c r="AG861" s="54"/>
      <c r="AH861" s="54"/>
      <c r="AI861" s="54"/>
      <c r="AJ861" s="82"/>
      <c r="AK861" s="82"/>
      <c r="AL861" s="82"/>
      <c r="AM861" s="82"/>
      <c r="AN861" s="82"/>
      <c r="AO861" s="82"/>
      <c r="AP861" s="82"/>
      <c r="AQ861" s="82"/>
    </row>
    <row r="862" spans="1:43" x14ac:dyDescent="0.2">
      <c r="A862" s="54"/>
      <c r="B862" s="54" t="s">
        <v>672</v>
      </c>
      <c r="C862" s="54" t="s">
        <v>900</v>
      </c>
      <c r="D862" s="54"/>
      <c r="E862" s="54" t="s">
        <v>1610</v>
      </c>
      <c r="F862" s="72">
        <v>2005</v>
      </c>
      <c r="G862" s="54"/>
      <c r="H862" s="72">
        <v>0</v>
      </c>
      <c r="I862" s="72">
        <v>55.07</v>
      </c>
      <c r="J862" s="73">
        <v>1</v>
      </c>
      <c r="K862" s="72">
        <v>55.07</v>
      </c>
      <c r="L862" s="54"/>
      <c r="M862" s="54"/>
      <c r="N862" s="72">
        <v>43</v>
      </c>
      <c r="O862" s="72">
        <v>117</v>
      </c>
      <c r="P862" s="54"/>
      <c r="Q862" s="65">
        <v>24685</v>
      </c>
      <c r="R862" s="54" t="s">
        <v>676</v>
      </c>
      <c r="S862" s="54">
        <v>2005</v>
      </c>
      <c r="T862" s="15">
        <v>0.35199999999999998</v>
      </c>
      <c r="U862" s="69">
        <f t="shared" si="86"/>
        <v>8689.119999999999</v>
      </c>
      <c r="V862" s="70">
        <f t="shared" si="87"/>
        <v>157.78318503722534</v>
      </c>
      <c r="W862" s="15">
        <f t="shared" si="90"/>
        <v>0</v>
      </c>
      <c r="X862" s="15">
        <f t="shared" si="91"/>
        <v>0</v>
      </c>
      <c r="Y862" s="15">
        <f t="shared" si="92"/>
        <v>0</v>
      </c>
      <c r="Z862" s="13">
        <f t="shared" si="93"/>
        <v>0</v>
      </c>
      <c r="AA862" s="16">
        <f>VLOOKUP(S862,[1]CPI!$A$2:$D$67,4,0)</f>
        <v>1.3874551971326166</v>
      </c>
      <c r="AB862" s="17">
        <f t="shared" si="88"/>
        <v>12055.764702508959</v>
      </c>
      <c r="AC862" s="17">
        <f t="shared" si="89"/>
        <v>218.91710010003558</v>
      </c>
      <c r="AD862" s="54"/>
      <c r="AE862" s="46" t="s">
        <v>1611</v>
      </c>
      <c r="AF862" s="54"/>
      <c r="AG862" s="54"/>
      <c r="AH862" s="54"/>
      <c r="AI862" s="54"/>
      <c r="AJ862" s="82"/>
      <c r="AK862" s="82"/>
      <c r="AL862" s="82"/>
      <c r="AM862" s="82"/>
      <c r="AN862" s="82"/>
      <c r="AO862" s="82"/>
      <c r="AP862" s="82"/>
      <c r="AQ862" s="82"/>
    </row>
    <row r="863" spans="1:43" x14ac:dyDescent="0.2">
      <c r="A863" s="54"/>
      <c r="B863" s="54" t="s">
        <v>672</v>
      </c>
      <c r="C863" s="54" t="s">
        <v>900</v>
      </c>
      <c r="D863" s="54"/>
      <c r="E863" s="54" t="s">
        <v>716</v>
      </c>
      <c r="F863" s="72">
        <v>2012</v>
      </c>
      <c r="G863" s="72">
        <v>2020</v>
      </c>
      <c r="H863" s="72">
        <v>0</v>
      </c>
      <c r="I863" s="72">
        <v>29.2</v>
      </c>
      <c r="J863" s="73">
        <v>1</v>
      </c>
      <c r="K863" s="72">
        <v>29.2</v>
      </c>
      <c r="L863" s="54"/>
      <c r="M863" s="54"/>
      <c r="N863" s="72">
        <v>23</v>
      </c>
      <c r="O863" s="72">
        <v>117</v>
      </c>
      <c r="P863" s="54"/>
      <c r="Q863" s="65">
        <v>17971</v>
      </c>
      <c r="R863" s="54" t="s">
        <v>676</v>
      </c>
      <c r="S863" s="54">
        <v>2016</v>
      </c>
      <c r="T863" s="15">
        <v>0.251</v>
      </c>
      <c r="U863" s="69">
        <f t="shared" si="86"/>
        <v>4510.7210000000005</v>
      </c>
      <c r="V863" s="70">
        <f t="shared" si="87"/>
        <v>154.47674657534247</v>
      </c>
      <c r="W863" s="15">
        <f t="shared" si="90"/>
        <v>0</v>
      </c>
      <c r="X863" s="15">
        <f t="shared" si="91"/>
        <v>0</v>
      </c>
      <c r="Y863" s="15">
        <f t="shared" si="92"/>
        <v>0</v>
      </c>
      <c r="Z863" s="13">
        <f t="shared" si="93"/>
        <v>0</v>
      </c>
      <c r="AA863" s="16">
        <f>VLOOKUP(S863,[1]CPI!$A$2:$D$67,4,0)</f>
        <v>1.1290087372451638</v>
      </c>
      <c r="AB863" s="17">
        <f t="shared" si="88"/>
        <v>5092.6434202752434</v>
      </c>
      <c r="AC863" s="17">
        <f t="shared" si="89"/>
        <v>174.4055965847686</v>
      </c>
      <c r="AD863" s="54"/>
      <c r="AE863" s="46" t="s">
        <v>1611</v>
      </c>
      <c r="AF863" s="54"/>
      <c r="AG863" s="54"/>
      <c r="AH863" s="54"/>
      <c r="AI863" s="54"/>
      <c r="AJ863" s="82"/>
      <c r="AK863" s="82"/>
      <c r="AL863" s="82"/>
      <c r="AM863" s="82"/>
      <c r="AN863" s="82"/>
      <c r="AO863" s="82"/>
      <c r="AP863" s="82"/>
      <c r="AQ863" s="82"/>
    </row>
    <row r="864" spans="1:43" x14ac:dyDescent="0.2">
      <c r="A864" s="54"/>
      <c r="B864" s="54" t="s">
        <v>672</v>
      </c>
      <c r="C864" s="54" t="s">
        <v>900</v>
      </c>
      <c r="D864" s="54"/>
      <c r="E864" s="54" t="s">
        <v>723</v>
      </c>
      <c r="F864" s="72">
        <v>2012</v>
      </c>
      <c r="G864" s="72">
        <v>2020</v>
      </c>
      <c r="H864" s="72">
        <v>0</v>
      </c>
      <c r="I864" s="72">
        <v>49.9</v>
      </c>
      <c r="J864" s="73">
        <v>1</v>
      </c>
      <c r="K864" s="72">
        <v>49.9</v>
      </c>
      <c r="L864" s="54"/>
      <c r="M864" s="54"/>
      <c r="N864" s="72">
        <v>37</v>
      </c>
      <c r="O864" s="72">
        <v>117</v>
      </c>
      <c r="P864" s="54"/>
      <c r="Q864" s="65">
        <v>29710</v>
      </c>
      <c r="R864" s="54" t="s">
        <v>676</v>
      </c>
      <c r="S864" s="54">
        <v>2016</v>
      </c>
      <c r="T864" s="15">
        <v>0.251</v>
      </c>
      <c r="U864" s="69">
        <f t="shared" si="86"/>
        <v>7457.21</v>
      </c>
      <c r="V864" s="70">
        <f t="shared" si="87"/>
        <v>149.44308617234469</v>
      </c>
      <c r="W864" s="15">
        <f t="shared" si="90"/>
        <v>0</v>
      </c>
      <c r="X864" s="15">
        <f t="shared" si="91"/>
        <v>0</v>
      </c>
      <c r="Y864" s="15">
        <f t="shared" si="92"/>
        <v>0</v>
      </c>
      <c r="Z864" s="13">
        <f t="shared" si="93"/>
        <v>0</v>
      </c>
      <c r="AA864" s="16">
        <f>VLOOKUP(S864,[1]CPI!$A$2:$D$67,4,0)</f>
        <v>1.1290087372451638</v>
      </c>
      <c r="AB864" s="17">
        <f t="shared" si="88"/>
        <v>8419.255245472008</v>
      </c>
      <c r="AC864" s="17">
        <f t="shared" si="89"/>
        <v>168.72255000945907</v>
      </c>
      <c r="AD864" s="54"/>
      <c r="AE864" s="46" t="s">
        <v>1611</v>
      </c>
      <c r="AF864" s="54"/>
      <c r="AG864" s="54"/>
      <c r="AH864" s="54"/>
      <c r="AI864" s="54"/>
      <c r="AJ864" s="82"/>
      <c r="AK864" s="82"/>
      <c r="AL864" s="82"/>
      <c r="AM864" s="82"/>
      <c r="AN864" s="82"/>
      <c r="AO864" s="82"/>
      <c r="AP864" s="82"/>
      <c r="AQ864" s="82"/>
    </row>
    <row r="865" spans="1:43" x14ac:dyDescent="0.2">
      <c r="A865" s="54"/>
      <c r="B865" s="54" t="s">
        <v>672</v>
      </c>
      <c r="C865" s="54" t="s">
        <v>737</v>
      </c>
      <c r="D865" s="54" t="s">
        <v>1612</v>
      </c>
      <c r="E865" s="54" t="s">
        <v>1613</v>
      </c>
      <c r="F865" s="72">
        <v>2021</v>
      </c>
      <c r="G865" s="54"/>
      <c r="H865" s="72">
        <v>1</v>
      </c>
      <c r="I865" s="72">
        <v>39.4</v>
      </c>
      <c r="J865" s="73">
        <v>1</v>
      </c>
      <c r="K865" s="72">
        <v>39.4</v>
      </c>
      <c r="L865" s="54"/>
      <c r="M865" s="54"/>
      <c r="N865" s="72">
        <v>6</v>
      </c>
      <c r="O865" s="72">
        <v>184</v>
      </c>
      <c r="P865" s="54"/>
      <c r="Q865" s="65">
        <v>23620</v>
      </c>
      <c r="R865" s="54" t="s">
        <v>676</v>
      </c>
      <c r="S865" s="54">
        <v>2021</v>
      </c>
      <c r="T865" s="61">
        <v>0.23900000000000199</v>
      </c>
      <c r="U865" s="69">
        <f t="shared" si="86"/>
        <v>5645.1800000000467</v>
      </c>
      <c r="V865" s="70">
        <f t="shared" si="87"/>
        <v>143.27868020304689</v>
      </c>
      <c r="W865" s="15">
        <f t="shared" si="90"/>
        <v>0</v>
      </c>
      <c r="X865" s="15">
        <f t="shared" si="91"/>
        <v>0</v>
      </c>
      <c r="Y865" s="15">
        <f t="shared" si="92"/>
        <v>0</v>
      </c>
      <c r="Z865" s="13">
        <f t="shared" si="93"/>
        <v>0</v>
      </c>
      <c r="AA865" s="16">
        <f>VLOOKUP(S865,[1]CPI!$A$2:$D$67,4,0)</f>
        <v>1</v>
      </c>
      <c r="AB865" s="17">
        <f t="shared" si="88"/>
        <v>5645.1800000000467</v>
      </c>
      <c r="AC865" s="17">
        <f t="shared" si="89"/>
        <v>143.27868020304689</v>
      </c>
      <c r="AD865" s="54"/>
      <c r="AE865" s="46" t="s">
        <v>1614</v>
      </c>
      <c r="AF865" s="54"/>
      <c r="AG865" s="54"/>
      <c r="AH865" s="54"/>
      <c r="AI865" s="54"/>
      <c r="AJ865" s="82"/>
      <c r="AK865" s="82"/>
      <c r="AL865" s="82"/>
      <c r="AM865" s="82"/>
      <c r="AN865" s="82"/>
      <c r="AO865" s="82"/>
      <c r="AP865" s="82"/>
      <c r="AQ865" s="82"/>
    </row>
    <row r="866" spans="1:43" x14ac:dyDescent="0.2">
      <c r="A866" s="54"/>
      <c r="B866" s="54" t="s">
        <v>672</v>
      </c>
      <c r="C866" s="54" t="s">
        <v>737</v>
      </c>
      <c r="D866" s="54"/>
      <c r="E866" s="54" t="s">
        <v>1615</v>
      </c>
      <c r="F866" s="72">
        <v>2021</v>
      </c>
      <c r="G866" s="54"/>
      <c r="H866" s="72">
        <v>1</v>
      </c>
      <c r="I866" s="72">
        <v>15.15</v>
      </c>
      <c r="J866" s="73">
        <v>1</v>
      </c>
      <c r="K866" s="72">
        <v>15.15</v>
      </c>
      <c r="L866" s="54"/>
      <c r="M866" s="54"/>
      <c r="N866" s="72">
        <v>3</v>
      </c>
      <c r="O866" s="72">
        <v>184</v>
      </c>
      <c r="P866" s="54"/>
      <c r="Q866" s="65">
        <v>11900</v>
      </c>
      <c r="R866" s="54" t="s">
        <v>676</v>
      </c>
      <c r="S866" s="54">
        <v>2021</v>
      </c>
      <c r="T866" s="61">
        <v>0.23900000000000199</v>
      </c>
      <c r="U866" s="69">
        <f t="shared" si="86"/>
        <v>2844.1000000000236</v>
      </c>
      <c r="V866" s="70">
        <f t="shared" si="87"/>
        <v>187.72937293729527</v>
      </c>
      <c r="W866" s="15">
        <f t="shared" si="90"/>
        <v>0</v>
      </c>
      <c r="X866" s="15">
        <f t="shared" si="91"/>
        <v>0</v>
      </c>
      <c r="Y866" s="15">
        <f t="shared" si="92"/>
        <v>0</v>
      </c>
      <c r="Z866" s="13">
        <f t="shared" si="93"/>
        <v>0</v>
      </c>
      <c r="AA866" s="16">
        <f>VLOOKUP(S866,[1]CPI!$A$2:$D$67,4,0)</f>
        <v>1</v>
      </c>
      <c r="AB866" s="17">
        <f t="shared" si="88"/>
        <v>2844.1000000000236</v>
      </c>
      <c r="AC866" s="17">
        <f t="shared" si="89"/>
        <v>187.72937293729527</v>
      </c>
      <c r="AD866" s="54"/>
      <c r="AE866" s="46" t="s">
        <v>1616</v>
      </c>
      <c r="AF866" s="54"/>
      <c r="AG866" s="54"/>
      <c r="AH866" s="54"/>
      <c r="AI866" s="54"/>
      <c r="AJ866" s="82"/>
      <c r="AK866" s="82"/>
      <c r="AL866" s="82"/>
      <c r="AM866" s="82"/>
      <c r="AN866" s="82"/>
      <c r="AO866" s="82"/>
      <c r="AP866" s="82"/>
      <c r="AQ866" s="82"/>
    </row>
    <row r="867" spans="1:43" x14ac:dyDescent="0.2">
      <c r="A867" s="54"/>
      <c r="B867" s="54" t="s">
        <v>672</v>
      </c>
      <c r="C867" s="54" t="s">
        <v>737</v>
      </c>
      <c r="D867" s="54" t="s">
        <v>1612</v>
      </c>
      <c r="E867" s="54" t="s">
        <v>1617</v>
      </c>
      <c r="F867" s="72">
        <v>2021</v>
      </c>
      <c r="G867" s="54"/>
      <c r="H867" s="72">
        <v>1</v>
      </c>
      <c r="I867" s="72">
        <v>58.738</v>
      </c>
      <c r="J867" s="73">
        <v>1</v>
      </c>
      <c r="K867" s="72">
        <v>58.738</v>
      </c>
      <c r="L867" s="54"/>
      <c r="M867" s="54"/>
      <c r="N867" s="72">
        <v>11</v>
      </c>
      <c r="O867" s="72">
        <v>184</v>
      </c>
      <c r="P867" s="54"/>
      <c r="Q867" s="65">
        <v>51750</v>
      </c>
      <c r="R867" s="54" t="s">
        <v>676</v>
      </c>
      <c r="S867" s="54">
        <v>2021</v>
      </c>
      <c r="T867" s="61">
        <v>0.23900000000000199</v>
      </c>
      <c r="U867" s="69">
        <f t="shared" si="86"/>
        <v>12368.250000000104</v>
      </c>
      <c r="V867" s="70">
        <f t="shared" si="87"/>
        <v>210.56641356532575</v>
      </c>
      <c r="W867" s="15">
        <f t="shared" si="90"/>
        <v>0</v>
      </c>
      <c r="X867" s="15">
        <f t="shared" si="91"/>
        <v>0</v>
      </c>
      <c r="Y867" s="15">
        <f t="shared" si="92"/>
        <v>0</v>
      </c>
      <c r="Z867" s="13">
        <f t="shared" si="93"/>
        <v>0</v>
      </c>
      <c r="AA867" s="16">
        <f>VLOOKUP(S867,[1]CPI!$A$2:$D$67,4,0)</f>
        <v>1</v>
      </c>
      <c r="AB867" s="17">
        <f t="shared" si="88"/>
        <v>12368.250000000104</v>
      </c>
      <c r="AC867" s="17">
        <f t="shared" si="89"/>
        <v>210.56641356532575</v>
      </c>
      <c r="AD867" s="54"/>
      <c r="AE867" s="46" t="s">
        <v>1618</v>
      </c>
      <c r="AF867" s="54"/>
      <c r="AG867" s="54"/>
      <c r="AH867" s="54"/>
      <c r="AI867" s="54"/>
      <c r="AJ867" s="82"/>
      <c r="AK867" s="82"/>
      <c r="AL867" s="82"/>
      <c r="AM867" s="82"/>
      <c r="AN867" s="82"/>
      <c r="AO867" s="82"/>
      <c r="AP867" s="82"/>
      <c r="AQ867" s="82"/>
    </row>
    <row r="868" spans="1:43" x14ac:dyDescent="0.2">
      <c r="A868" s="54"/>
      <c r="B868" s="54" t="s">
        <v>672</v>
      </c>
      <c r="C868" s="54" t="s">
        <v>737</v>
      </c>
      <c r="D868" s="54"/>
      <c r="E868" s="54" t="s">
        <v>287</v>
      </c>
      <c r="F868" s="72">
        <v>2015</v>
      </c>
      <c r="G868" s="72">
        <v>2020</v>
      </c>
      <c r="H868" s="72">
        <v>0</v>
      </c>
      <c r="I868" s="72">
        <v>29.54</v>
      </c>
      <c r="J868" s="73">
        <v>1</v>
      </c>
      <c r="K868" s="72">
        <v>29.54</v>
      </c>
      <c r="L868" s="54"/>
      <c r="M868" s="54"/>
      <c r="N868" s="72">
        <v>24</v>
      </c>
      <c r="O868" s="72">
        <v>184</v>
      </c>
      <c r="P868" s="54"/>
      <c r="Q868" s="65">
        <v>28799</v>
      </c>
      <c r="R868" s="54" t="s">
        <v>676</v>
      </c>
      <c r="S868" s="54">
        <v>2018</v>
      </c>
      <c r="T868" s="15">
        <v>0.23699999999999999</v>
      </c>
      <c r="U868" s="69">
        <f t="shared" si="86"/>
        <v>6825.3629999999994</v>
      </c>
      <c r="V868" s="70">
        <f t="shared" si="87"/>
        <v>231.05494245091401</v>
      </c>
      <c r="W868" s="15">
        <f t="shared" si="90"/>
        <v>0</v>
      </c>
      <c r="X868" s="15">
        <f t="shared" si="91"/>
        <v>0</v>
      </c>
      <c r="Y868" s="15">
        <f t="shared" si="92"/>
        <v>0</v>
      </c>
      <c r="Z868" s="13">
        <f t="shared" si="93"/>
        <v>0</v>
      </c>
      <c r="AA868" s="16">
        <f>VLOOKUP(S868,[1]CPI!$A$2:$D$67,4,0)</f>
        <v>1.0791017375063221</v>
      </c>
      <c r="AB868" s="17">
        <f t="shared" si="88"/>
        <v>7365.2610724113629</v>
      </c>
      <c r="AC868" s="17">
        <f t="shared" si="89"/>
        <v>249.33178985820456</v>
      </c>
      <c r="AD868" s="54"/>
      <c r="AE868" s="46" t="s">
        <v>1619</v>
      </c>
      <c r="AF868" s="54"/>
      <c r="AG868" s="54"/>
      <c r="AH868" s="54"/>
      <c r="AI868" s="54"/>
      <c r="AJ868" s="82"/>
      <c r="AK868" s="82"/>
      <c r="AL868" s="82"/>
      <c r="AM868" s="82"/>
      <c r="AN868" s="82"/>
      <c r="AO868" s="82"/>
      <c r="AP868" s="82"/>
      <c r="AQ868" s="82"/>
    </row>
    <row r="869" spans="1:43" x14ac:dyDescent="0.2">
      <c r="A869" s="54"/>
      <c r="B869" s="54" t="s">
        <v>672</v>
      </c>
      <c r="C869" s="54" t="s">
        <v>737</v>
      </c>
      <c r="D869" s="54" t="s">
        <v>103</v>
      </c>
      <c r="E869" s="54" t="s">
        <v>1620</v>
      </c>
      <c r="F869" s="72">
        <v>2011</v>
      </c>
      <c r="G869" s="72">
        <v>2020</v>
      </c>
      <c r="H869" s="72">
        <v>0</v>
      </c>
      <c r="I869" s="72">
        <v>9.4</v>
      </c>
      <c r="J869" s="73">
        <v>0</v>
      </c>
      <c r="K869" s="72">
        <v>0</v>
      </c>
      <c r="L869" s="54"/>
      <c r="M869" s="54"/>
      <c r="N869" s="72">
        <v>7</v>
      </c>
      <c r="O869" s="72">
        <v>117</v>
      </c>
      <c r="P869" s="54"/>
      <c r="Q869" s="65">
        <v>6800</v>
      </c>
      <c r="R869" s="54" t="s">
        <v>676</v>
      </c>
      <c r="S869" s="54">
        <v>2016</v>
      </c>
      <c r="T869" s="15">
        <v>0.251</v>
      </c>
      <c r="U869" s="69">
        <f t="shared" si="86"/>
        <v>1706.8</v>
      </c>
      <c r="V869" s="70">
        <f t="shared" si="87"/>
        <v>181.57446808510636</v>
      </c>
      <c r="W869" s="15">
        <f t="shared" si="90"/>
        <v>0</v>
      </c>
      <c r="X869" s="15">
        <f t="shared" si="91"/>
        <v>0</v>
      </c>
      <c r="Y869" s="15">
        <f t="shared" si="92"/>
        <v>0</v>
      </c>
      <c r="Z869" s="13">
        <f t="shared" si="93"/>
        <v>0</v>
      </c>
      <c r="AA869" s="16">
        <f>VLOOKUP(S869,[1]CPI!$A$2:$D$67,4,0)</f>
        <v>1.1290087372451638</v>
      </c>
      <c r="AB869" s="17">
        <f t="shared" si="88"/>
        <v>1926.9921127300456</v>
      </c>
      <c r="AC869" s="17">
        <f t="shared" si="89"/>
        <v>204.99916092872823</v>
      </c>
      <c r="AD869" s="54"/>
      <c r="AE869" s="84" t="s">
        <v>1621</v>
      </c>
      <c r="AF869" s="85"/>
      <c r="AG869" s="54"/>
      <c r="AH869" s="54"/>
      <c r="AI869" s="54"/>
      <c r="AJ869" s="82"/>
      <c r="AK869" s="82"/>
      <c r="AL869" s="82"/>
      <c r="AM869" s="82"/>
      <c r="AN869" s="82"/>
      <c r="AO869" s="82"/>
      <c r="AP869" s="82"/>
      <c r="AQ869" s="82"/>
    </row>
    <row r="870" spans="1:43" x14ac:dyDescent="0.2">
      <c r="A870" s="54"/>
      <c r="B870" s="54" t="s">
        <v>672</v>
      </c>
      <c r="C870" s="54" t="s">
        <v>737</v>
      </c>
      <c r="D870" s="54" t="s">
        <v>103</v>
      </c>
      <c r="E870" s="54" t="s">
        <v>1622</v>
      </c>
      <c r="F870" s="72">
        <v>2020</v>
      </c>
      <c r="G870" s="72">
        <v>2022</v>
      </c>
      <c r="H870" s="72">
        <v>0</v>
      </c>
      <c r="I870" s="72">
        <v>9.35</v>
      </c>
      <c r="J870" s="73">
        <v>0.79</v>
      </c>
      <c r="K870" s="72">
        <v>7.42</v>
      </c>
      <c r="L870" s="54"/>
      <c r="M870" s="54"/>
      <c r="N870" s="72">
        <v>7</v>
      </c>
      <c r="O870" s="72">
        <v>117</v>
      </c>
      <c r="P870" s="54"/>
      <c r="Q870" s="65">
        <v>10785</v>
      </c>
      <c r="R870" s="54" t="s">
        <v>676</v>
      </c>
      <c r="S870" s="54">
        <v>2020</v>
      </c>
      <c r="T870" s="61">
        <v>0.23899999999999999</v>
      </c>
      <c r="U870" s="69">
        <f t="shared" si="86"/>
        <v>2577.6149999999998</v>
      </c>
      <c r="V870" s="70">
        <f t="shared" si="87"/>
        <v>275.68074866310161</v>
      </c>
      <c r="W870" s="15">
        <f t="shared" si="90"/>
        <v>0</v>
      </c>
      <c r="X870" s="15">
        <f t="shared" si="91"/>
        <v>0</v>
      </c>
      <c r="Y870" s="15">
        <f t="shared" si="92"/>
        <v>0</v>
      </c>
      <c r="Z870" s="13">
        <f t="shared" si="93"/>
        <v>0</v>
      </c>
      <c r="AA870" s="16">
        <f>VLOOKUP(S870,[1]CPI!$A$2:$D$67,4,0)</f>
        <v>1.0469802288156225</v>
      </c>
      <c r="AB870" s="17">
        <f t="shared" si="88"/>
        <v>2698.7119424985804</v>
      </c>
      <c r="AC870" s="17">
        <f t="shared" si="89"/>
        <v>288.63229331535621</v>
      </c>
      <c r="AD870" s="54"/>
      <c r="AE870" s="46" t="s">
        <v>1623</v>
      </c>
      <c r="AF870" s="54"/>
      <c r="AG870" s="54"/>
      <c r="AH870" s="54"/>
      <c r="AI870" s="54"/>
      <c r="AJ870" s="82"/>
      <c r="AK870" s="82"/>
      <c r="AL870" s="82"/>
      <c r="AM870" s="82"/>
      <c r="AN870" s="82"/>
      <c r="AO870" s="82"/>
      <c r="AP870" s="82"/>
      <c r="AQ870" s="82"/>
    </row>
    <row r="871" spans="1:43" x14ac:dyDescent="0.2">
      <c r="A871" s="54"/>
      <c r="B871" s="54" t="s">
        <v>672</v>
      </c>
      <c r="C871" s="54" t="s">
        <v>737</v>
      </c>
      <c r="D871" s="54" t="s">
        <v>119</v>
      </c>
      <c r="E871" s="54" t="s">
        <v>1624</v>
      </c>
      <c r="F871" s="72">
        <v>2019</v>
      </c>
      <c r="G871" s="54"/>
      <c r="H871" s="72">
        <v>0</v>
      </c>
      <c r="I871" s="72">
        <v>2.88</v>
      </c>
      <c r="J871" s="73">
        <v>1</v>
      </c>
      <c r="K871" s="72">
        <v>2.88</v>
      </c>
      <c r="L871" s="54"/>
      <c r="M871" s="54"/>
      <c r="N871" s="72">
        <v>3</v>
      </c>
      <c r="O871" s="72">
        <v>138</v>
      </c>
      <c r="P871" s="54"/>
      <c r="Q871" s="65">
        <v>4050</v>
      </c>
      <c r="R871" s="54" t="s">
        <v>676</v>
      </c>
      <c r="S871" s="54">
        <v>2019</v>
      </c>
      <c r="T871" s="61">
        <v>0.23799999999999999</v>
      </c>
      <c r="U871" s="69">
        <f t="shared" si="86"/>
        <v>963.9</v>
      </c>
      <c r="V871" s="70">
        <f t="shared" si="87"/>
        <v>334.6875</v>
      </c>
      <c r="W871" s="15">
        <f t="shared" si="90"/>
        <v>0</v>
      </c>
      <c r="X871" s="15">
        <f t="shared" si="91"/>
        <v>0</v>
      </c>
      <c r="Y871" s="15">
        <f t="shared" si="92"/>
        <v>0</v>
      </c>
      <c r="Z871" s="13">
        <f t="shared" si="93"/>
        <v>0</v>
      </c>
      <c r="AA871" s="16">
        <f>VLOOKUP(S871,[1]CPI!$A$2:$D$67,4,0)</f>
        <v>1.0598966584134211</v>
      </c>
      <c r="AB871" s="17">
        <f t="shared" si="88"/>
        <v>1021.6343890446965</v>
      </c>
      <c r="AC871" s="17">
        <f t="shared" si="89"/>
        <v>354.73416286274187</v>
      </c>
      <c r="AD871" s="54"/>
      <c r="AE871" s="46" t="s">
        <v>1625</v>
      </c>
      <c r="AF871" s="54"/>
      <c r="AG871" s="54"/>
      <c r="AH871" s="54"/>
      <c r="AI871" s="54"/>
      <c r="AJ871" s="82"/>
      <c r="AK871" s="82"/>
      <c r="AL871" s="82"/>
      <c r="AM871" s="82"/>
      <c r="AN871" s="82"/>
      <c r="AO871" s="82"/>
      <c r="AP871" s="82"/>
      <c r="AQ871" s="82"/>
    </row>
    <row r="872" spans="1:43" x14ac:dyDescent="0.2">
      <c r="A872" s="54"/>
      <c r="B872" s="54" t="s">
        <v>672</v>
      </c>
      <c r="C872" s="54" t="s">
        <v>737</v>
      </c>
      <c r="D872" s="54"/>
      <c r="E872" s="54" t="s">
        <v>1626</v>
      </c>
      <c r="F872" s="72">
        <v>1998</v>
      </c>
      <c r="G872" s="72">
        <v>2004</v>
      </c>
      <c r="H872" s="72">
        <v>0</v>
      </c>
      <c r="I872" s="72">
        <v>21.446000000000002</v>
      </c>
      <c r="J872" s="73">
        <v>1</v>
      </c>
      <c r="K872" s="72">
        <v>21.446000000000002</v>
      </c>
      <c r="L872" s="54"/>
      <c r="M872" s="54"/>
      <c r="N872" s="72">
        <v>19</v>
      </c>
      <c r="O872" s="72">
        <v>138</v>
      </c>
      <c r="P872" s="54"/>
      <c r="Q872" s="65">
        <v>11500</v>
      </c>
      <c r="R872" s="54" t="s">
        <v>676</v>
      </c>
      <c r="S872" s="54">
        <v>2001</v>
      </c>
      <c r="T872" s="15">
        <v>0.36799999999999999</v>
      </c>
      <c r="U872" s="69">
        <f t="shared" si="86"/>
        <v>4232</v>
      </c>
      <c r="V872" s="70">
        <f t="shared" si="87"/>
        <v>197.33283596008579</v>
      </c>
      <c r="W872" s="15">
        <f t="shared" si="90"/>
        <v>0</v>
      </c>
      <c r="X872" s="15">
        <f t="shared" si="91"/>
        <v>0</v>
      </c>
      <c r="Y872" s="15">
        <f t="shared" si="92"/>
        <v>0</v>
      </c>
      <c r="Z872" s="13">
        <f t="shared" si="93"/>
        <v>0</v>
      </c>
      <c r="AA872" s="16">
        <f>VLOOKUP(S872,[1]CPI!$A$2:$D$67,4,0)</f>
        <v>1.5300395256916999</v>
      </c>
      <c r="AB872" s="17">
        <f t="shared" si="88"/>
        <v>6475.1272727272735</v>
      </c>
      <c r="AC872" s="17">
        <f t="shared" si="89"/>
        <v>301.92703873576767</v>
      </c>
      <c r="AD872" s="54"/>
      <c r="AE872" s="84" t="s">
        <v>1627</v>
      </c>
      <c r="AF872" s="54"/>
      <c r="AG872" s="54"/>
      <c r="AH872" s="54"/>
      <c r="AI872" s="54"/>
      <c r="AJ872" s="82"/>
      <c r="AK872" s="82"/>
      <c r="AL872" s="82"/>
      <c r="AM872" s="82"/>
      <c r="AN872" s="82"/>
      <c r="AO872" s="82"/>
      <c r="AP872" s="82"/>
      <c r="AQ872" s="82"/>
    </row>
    <row r="873" spans="1:43" x14ac:dyDescent="0.2">
      <c r="A873" s="54"/>
      <c r="B873" s="54" t="s">
        <v>672</v>
      </c>
      <c r="C873" s="54" t="s">
        <v>896</v>
      </c>
      <c r="D873" s="54"/>
      <c r="E873" s="54" t="s">
        <v>119</v>
      </c>
      <c r="F873" s="72">
        <v>2020</v>
      </c>
      <c r="G873" s="54"/>
      <c r="H873" s="72">
        <v>0</v>
      </c>
      <c r="I873" s="72">
        <v>44.1</v>
      </c>
      <c r="J873" s="73">
        <v>0.99</v>
      </c>
      <c r="K873" s="72">
        <v>43.6</v>
      </c>
      <c r="L873" s="54"/>
      <c r="M873" s="54"/>
      <c r="N873" s="72">
        <v>34</v>
      </c>
      <c r="O873" s="72">
        <v>117</v>
      </c>
      <c r="P873" s="54"/>
      <c r="Q873" s="65">
        <v>28308</v>
      </c>
      <c r="R873" s="54" t="s">
        <v>676</v>
      </c>
      <c r="S873" s="54">
        <v>2020</v>
      </c>
      <c r="T873" s="61">
        <v>0.23899999999999999</v>
      </c>
      <c r="U873" s="69">
        <f t="shared" si="86"/>
        <v>6765.6120000000001</v>
      </c>
      <c r="V873" s="70">
        <f t="shared" si="87"/>
        <v>153.4152380952381</v>
      </c>
      <c r="W873" s="15">
        <f t="shared" si="90"/>
        <v>0</v>
      </c>
      <c r="X873" s="15">
        <f t="shared" si="91"/>
        <v>0</v>
      </c>
      <c r="Y873" s="15">
        <f t="shared" si="92"/>
        <v>0</v>
      </c>
      <c r="Z873" s="13">
        <f t="shared" si="93"/>
        <v>0</v>
      </c>
      <c r="AA873" s="16">
        <f>VLOOKUP(S873,[1]CPI!$A$2:$D$67,4,0)</f>
        <v>1.0469802288156225</v>
      </c>
      <c r="AB873" s="17">
        <f t="shared" si="88"/>
        <v>7083.4619998377211</v>
      </c>
      <c r="AC873" s="17">
        <f t="shared" si="89"/>
        <v>160.62272108475557</v>
      </c>
      <c r="AD873" s="54"/>
      <c r="AE873" s="46" t="s">
        <v>1628</v>
      </c>
      <c r="AF873" s="54"/>
      <c r="AG873" s="54"/>
      <c r="AH873" s="54"/>
      <c r="AI873" s="54"/>
      <c r="AJ873" s="82"/>
      <c r="AK873" s="82"/>
      <c r="AL873" s="82"/>
      <c r="AM873" s="82"/>
      <c r="AN873" s="82"/>
      <c r="AO873" s="82"/>
      <c r="AP873" s="82"/>
      <c r="AQ873" s="82"/>
    </row>
    <row r="874" spans="1:43" x14ac:dyDescent="0.2">
      <c r="A874" s="54"/>
      <c r="B874" s="54" t="s">
        <v>672</v>
      </c>
      <c r="C874" s="54" t="s">
        <v>896</v>
      </c>
      <c r="D874" s="54"/>
      <c r="E874" s="54" t="s">
        <v>99</v>
      </c>
      <c r="F874" s="72">
        <v>2009</v>
      </c>
      <c r="G874" s="72">
        <v>2014</v>
      </c>
      <c r="H874" s="72">
        <v>0</v>
      </c>
      <c r="I874" s="72">
        <v>26.556999999999999</v>
      </c>
      <c r="J874" s="73">
        <v>0.7</v>
      </c>
      <c r="K874" s="72">
        <v>18.709</v>
      </c>
      <c r="L874" s="54"/>
      <c r="M874" s="54"/>
      <c r="N874" s="72">
        <v>22</v>
      </c>
      <c r="O874" s="72">
        <v>117</v>
      </c>
      <c r="P874" s="54"/>
      <c r="Q874" s="65">
        <v>15600</v>
      </c>
      <c r="R874" s="54" t="s">
        <v>676</v>
      </c>
      <c r="S874" s="54">
        <v>2012</v>
      </c>
      <c r="T874" s="15">
        <v>0.28100000000000003</v>
      </c>
      <c r="U874" s="69">
        <f t="shared" si="86"/>
        <v>4383.6000000000004</v>
      </c>
      <c r="V874" s="70">
        <f t="shared" si="87"/>
        <v>165.06382498023123</v>
      </c>
      <c r="W874" s="15">
        <f t="shared" si="90"/>
        <v>0</v>
      </c>
      <c r="X874" s="15">
        <f t="shared" si="91"/>
        <v>0</v>
      </c>
      <c r="Y874" s="15">
        <f t="shared" si="92"/>
        <v>0</v>
      </c>
      <c r="Z874" s="13">
        <f t="shared" si="93"/>
        <v>0</v>
      </c>
      <c r="AA874" s="16">
        <f>VLOOKUP(S874,[1]CPI!$A$2:$D$67,4,0)</f>
        <v>1.1802137686524912</v>
      </c>
      <c r="AB874" s="17">
        <f t="shared" si="88"/>
        <v>5173.5850762650607</v>
      </c>
      <c r="AC874" s="17">
        <f t="shared" si="89"/>
        <v>194.81059894811392</v>
      </c>
      <c r="AD874" s="54"/>
      <c r="AE874" s="46" t="s">
        <v>1629</v>
      </c>
      <c r="AF874" s="54"/>
      <c r="AG874" s="54"/>
      <c r="AH874" s="54"/>
      <c r="AI874" s="54"/>
      <c r="AJ874" s="82"/>
      <c r="AK874" s="82"/>
      <c r="AL874" s="82"/>
      <c r="AM874" s="82"/>
      <c r="AN874" s="82"/>
      <c r="AO874" s="82"/>
      <c r="AP874" s="82"/>
      <c r="AQ874" s="82"/>
    </row>
    <row r="875" spans="1:43" x14ac:dyDescent="0.2">
      <c r="A875" s="54"/>
      <c r="B875" s="54" t="s">
        <v>672</v>
      </c>
      <c r="C875" s="54" t="s">
        <v>806</v>
      </c>
      <c r="D875" s="54"/>
      <c r="E875" s="54" t="s">
        <v>853</v>
      </c>
      <c r="F875" s="72">
        <v>2020</v>
      </c>
      <c r="G875" s="54"/>
      <c r="H875" s="72">
        <v>0</v>
      </c>
      <c r="I875" s="72">
        <v>21.2</v>
      </c>
      <c r="J875" s="73">
        <v>1</v>
      </c>
      <c r="K875" s="72">
        <v>21.2</v>
      </c>
      <c r="L875" s="54"/>
      <c r="M875" s="54"/>
      <c r="N875" s="72">
        <v>17</v>
      </c>
      <c r="O875" s="54"/>
      <c r="P875" s="54"/>
      <c r="Q875" s="65">
        <v>23800.11</v>
      </c>
      <c r="R875" s="54" t="s">
        <v>676</v>
      </c>
      <c r="S875" s="54">
        <v>2020</v>
      </c>
      <c r="T875" s="61">
        <v>0.23899999999999999</v>
      </c>
      <c r="U875" s="69">
        <f t="shared" si="86"/>
        <v>5688.2262899999996</v>
      </c>
      <c r="V875" s="70">
        <f t="shared" si="87"/>
        <v>268.31256084905658</v>
      </c>
      <c r="W875" s="15">
        <f t="shared" si="90"/>
        <v>0</v>
      </c>
      <c r="X875" s="15">
        <f t="shared" si="91"/>
        <v>0</v>
      </c>
      <c r="Y875" s="15">
        <f t="shared" si="92"/>
        <v>0</v>
      </c>
      <c r="Z875" s="13">
        <f t="shared" si="93"/>
        <v>0</v>
      </c>
      <c r="AA875" s="16">
        <f>VLOOKUP(S875,[1]CPI!$A$2:$D$67,4,0)</f>
        <v>1.0469802288156225</v>
      </c>
      <c r="AB875" s="17">
        <f t="shared" si="88"/>
        <v>5955.4604626592391</v>
      </c>
      <c r="AC875" s="17">
        <f t="shared" si="89"/>
        <v>280.9179463518509</v>
      </c>
      <c r="AD875" s="54"/>
      <c r="AE875" s="46" t="s">
        <v>1630</v>
      </c>
      <c r="AF875" s="54"/>
      <c r="AG875" s="54"/>
      <c r="AH875" s="54"/>
      <c r="AI875" s="54"/>
      <c r="AJ875" s="82"/>
      <c r="AK875" s="82"/>
      <c r="AL875" s="82"/>
      <c r="AM875" s="82"/>
      <c r="AN875" s="82"/>
      <c r="AO875" s="82"/>
      <c r="AP875" s="82"/>
      <c r="AQ875" s="82"/>
    </row>
    <row r="876" spans="1:43" ht="15.75" customHeight="1" x14ac:dyDescent="0.2">
      <c r="A876" s="54"/>
      <c r="B876" s="54" t="s">
        <v>672</v>
      </c>
      <c r="C876" s="54" t="s">
        <v>759</v>
      </c>
      <c r="D876" s="54" t="s">
        <v>124</v>
      </c>
      <c r="E876" s="54" t="s">
        <v>1631</v>
      </c>
      <c r="F876" s="72">
        <v>2019</v>
      </c>
      <c r="G876" s="72">
        <v>2024</v>
      </c>
      <c r="H876" s="72">
        <v>0</v>
      </c>
      <c r="I876" s="72">
        <v>4</v>
      </c>
      <c r="J876" s="73">
        <v>1</v>
      </c>
      <c r="K876" s="72">
        <v>4</v>
      </c>
      <c r="L876" s="54"/>
      <c r="M876" s="54"/>
      <c r="N876" s="72">
        <v>2</v>
      </c>
      <c r="O876" s="72">
        <v>184</v>
      </c>
      <c r="P876" s="54"/>
      <c r="Q876" s="65">
        <v>7989</v>
      </c>
      <c r="R876" s="54" t="s">
        <v>676</v>
      </c>
      <c r="S876" s="54">
        <v>2021</v>
      </c>
      <c r="T876" s="61">
        <v>0.23900000000000199</v>
      </c>
      <c r="U876" s="69">
        <f t="shared" si="86"/>
        <v>1909.3710000000158</v>
      </c>
      <c r="V876" s="70">
        <f t="shared" si="87"/>
        <v>477.34275000000395</v>
      </c>
      <c r="W876" s="15">
        <f t="shared" si="90"/>
        <v>0</v>
      </c>
      <c r="X876" s="15">
        <f t="shared" si="91"/>
        <v>0</v>
      </c>
      <c r="Y876" s="15">
        <f t="shared" si="92"/>
        <v>0</v>
      </c>
      <c r="Z876" s="13">
        <f t="shared" si="93"/>
        <v>0</v>
      </c>
      <c r="AA876" s="16">
        <f>VLOOKUP(S876,[1]CPI!$A$2:$D$67,4,0)</f>
        <v>1</v>
      </c>
      <c r="AB876" s="17">
        <f t="shared" si="88"/>
        <v>1909.3710000000158</v>
      </c>
      <c r="AC876" s="17">
        <f t="shared" si="89"/>
        <v>477.34275000000395</v>
      </c>
      <c r="AD876" s="54"/>
      <c r="AE876" s="84" t="s">
        <v>783</v>
      </c>
      <c r="AF876" s="85"/>
      <c r="AG876" s="54"/>
      <c r="AH876" s="54"/>
      <c r="AI876" s="54"/>
      <c r="AJ876" s="82"/>
      <c r="AK876" s="82"/>
      <c r="AL876" s="82"/>
      <c r="AM876" s="82"/>
      <c r="AN876" s="82"/>
      <c r="AO876" s="82"/>
      <c r="AP876" s="82"/>
      <c r="AQ876" s="82"/>
    </row>
    <row r="877" spans="1:43" ht="15.75" customHeight="1" x14ac:dyDescent="0.2">
      <c r="A877" s="54"/>
      <c r="B877" s="54" t="s">
        <v>672</v>
      </c>
      <c r="C877" s="54" t="s">
        <v>759</v>
      </c>
      <c r="D877" s="54" t="s">
        <v>124</v>
      </c>
      <c r="E877" s="54" t="s">
        <v>1632</v>
      </c>
      <c r="F877" s="72">
        <v>2019</v>
      </c>
      <c r="G877" s="72">
        <v>2025</v>
      </c>
      <c r="H877" s="72">
        <v>0</v>
      </c>
      <c r="I877" s="72">
        <v>2.2000000000000002</v>
      </c>
      <c r="J877" s="73">
        <v>1</v>
      </c>
      <c r="K877" s="72">
        <v>2.2000000000000002</v>
      </c>
      <c r="L877" s="54"/>
      <c r="M877" s="54"/>
      <c r="N877" s="72">
        <v>2</v>
      </c>
      <c r="O877" s="72">
        <v>184</v>
      </c>
      <c r="P877" s="54"/>
      <c r="Q877" s="65">
        <v>3901</v>
      </c>
      <c r="R877" s="54" t="s">
        <v>676</v>
      </c>
      <c r="S877" s="54">
        <v>2021</v>
      </c>
      <c r="T877" s="61">
        <v>0.23900000000000199</v>
      </c>
      <c r="U877" s="69">
        <f t="shared" si="86"/>
        <v>932.33900000000779</v>
      </c>
      <c r="V877" s="70">
        <f t="shared" si="87"/>
        <v>423.79045454545803</v>
      </c>
      <c r="W877" s="15">
        <f t="shared" si="90"/>
        <v>0</v>
      </c>
      <c r="X877" s="15">
        <f t="shared" si="91"/>
        <v>0</v>
      </c>
      <c r="Y877" s="15">
        <f t="shared" si="92"/>
        <v>0</v>
      </c>
      <c r="Z877" s="13">
        <f t="shared" si="93"/>
        <v>0</v>
      </c>
      <c r="AA877" s="16">
        <f>VLOOKUP(S877,[1]CPI!$A$2:$D$67,4,0)</f>
        <v>1</v>
      </c>
      <c r="AB877" s="17">
        <f t="shared" si="88"/>
        <v>932.33900000000779</v>
      </c>
      <c r="AC877" s="17">
        <f t="shared" si="89"/>
        <v>423.79045454545803</v>
      </c>
      <c r="AD877" s="54"/>
      <c r="AE877" s="84" t="s">
        <v>783</v>
      </c>
      <c r="AF877" s="85"/>
      <c r="AG877" s="54"/>
      <c r="AH877" s="54"/>
      <c r="AI877" s="54"/>
      <c r="AJ877" s="82"/>
      <c r="AK877" s="82"/>
      <c r="AL877" s="82"/>
      <c r="AM877" s="82"/>
      <c r="AN877" s="82"/>
      <c r="AO877" s="82"/>
      <c r="AP877" s="82"/>
      <c r="AQ877" s="82"/>
    </row>
    <row r="878" spans="1:43" ht="15.75" customHeight="1" x14ac:dyDescent="0.2">
      <c r="A878" s="54"/>
      <c r="B878" s="54" t="s">
        <v>672</v>
      </c>
      <c r="C878" s="54" t="s">
        <v>759</v>
      </c>
      <c r="D878" s="54"/>
      <c r="E878" s="54" t="s">
        <v>907</v>
      </c>
      <c r="F878" s="72">
        <v>2012</v>
      </c>
      <c r="G878" s="72">
        <v>2015</v>
      </c>
      <c r="H878" s="72">
        <v>0</v>
      </c>
      <c r="I878" s="72">
        <v>27.9</v>
      </c>
      <c r="J878" s="73">
        <v>1</v>
      </c>
      <c r="K878" s="72">
        <v>27.9</v>
      </c>
      <c r="L878" s="54"/>
      <c r="M878" s="54"/>
      <c r="N878" s="72">
        <v>23</v>
      </c>
      <c r="O878" s="72">
        <v>117</v>
      </c>
      <c r="P878" s="54"/>
      <c r="Q878" s="65">
        <v>21423</v>
      </c>
      <c r="R878" s="54" t="s">
        <v>676</v>
      </c>
      <c r="S878" s="54">
        <v>2014</v>
      </c>
      <c r="T878" s="54">
        <v>0.26600000000000001</v>
      </c>
      <c r="U878" s="69">
        <f t="shared" si="86"/>
        <v>5698.518</v>
      </c>
      <c r="V878" s="70">
        <f t="shared" si="87"/>
        <v>204.24795698924731</v>
      </c>
      <c r="W878" s="15">
        <f t="shared" si="90"/>
        <v>0</v>
      </c>
      <c r="X878" s="15">
        <f t="shared" si="91"/>
        <v>0</v>
      </c>
      <c r="Y878" s="15">
        <f t="shared" si="92"/>
        <v>0</v>
      </c>
      <c r="Z878" s="13">
        <f t="shared" si="93"/>
        <v>0</v>
      </c>
      <c r="AA878" s="16">
        <f>VLOOKUP(S878,[1]CPI!$A$2:$D$67,4,0)</f>
        <v>1.1446083400919169</v>
      </c>
      <c r="AB878" s="17">
        <f t="shared" si="88"/>
        <v>6522.5712289639105</v>
      </c>
      <c r="AC878" s="17">
        <f t="shared" si="89"/>
        <v>233.78391501662762</v>
      </c>
      <c r="AD878" s="54"/>
      <c r="AE878" s="46" t="s">
        <v>1633</v>
      </c>
      <c r="AF878" s="54"/>
      <c r="AG878" s="54"/>
      <c r="AH878" s="54"/>
      <c r="AI878" s="54"/>
      <c r="AJ878" s="82"/>
      <c r="AK878" s="82"/>
      <c r="AL878" s="82"/>
      <c r="AM878" s="82"/>
      <c r="AN878" s="82"/>
      <c r="AO878" s="82"/>
      <c r="AP878" s="82"/>
      <c r="AQ878" s="82"/>
    </row>
    <row r="879" spans="1:43" ht="15.75" customHeight="1" x14ac:dyDescent="0.2">
      <c r="A879" s="54"/>
      <c r="B879" s="54" t="s">
        <v>672</v>
      </c>
      <c r="C879" s="54" t="s">
        <v>1634</v>
      </c>
      <c r="D879" s="54"/>
      <c r="E879" s="54" t="s">
        <v>92</v>
      </c>
      <c r="F879" s="54"/>
      <c r="G879" s="72">
        <v>2021</v>
      </c>
      <c r="H879" s="72">
        <v>0</v>
      </c>
      <c r="I879" s="72">
        <v>30.516999999999999</v>
      </c>
      <c r="J879" s="73">
        <v>0</v>
      </c>
      <c r="K879" s="72">
        <v>0.1</v>
      </c>
      <c r="L879" s="54"/>
      <c r="M879" s="54"/>
      <c r="N879" s="72">
        <v>25</v>
      </c>
      <c r="O879" s="72">
        <v>90</v>
      </c>
      <c r="P879" s="54"/>
      <c r="Q879" s="65">
        <v>9100</v>
      </c>
      <c r="R879" s="54" t="s">
        <v>676</v>
      </c>
      <c r="S879" s="54">
        <v>2021</v>
      </c>
      <c r="T879" s="61">
        <v>0.23900000000000199</v>
      </c>
      <c r="U879" s="69">
        <f t="shared" si="86"/>
        <v>2174.9000000000183</v>
      </c>
      <c r="V879" s="70">
        <f t="shared" si="87"/>
        <v>71.268473309958978</v>
      </c>
      <c r="W879" s="15">
        <f t="shared" si="90"/>
        <v>0</v>
      </c>
      <c r="X879" s="15">
        <f t="shared" si="91"/>
        <v>0</v>
      </c>
      <c r="Y879" s="15">
        <f t="shared" si="92"/>
        <v>0</v>
      </c>
      <c r="Z879" s="13">
        <f t="shared" si="93"/>
        <v>0</v>
      </c>
      <c r="AA879" s="16">
        <f>VLOOKUP(S879,[1]CPI!$A$2:$D$67,4,0)</f>
        <v>1</v>
      </c>
      <c r="AB879" s="17">
        <f t="shared" si="88"/>
        <v>2174.9000000000183</v>
      </c>
      <c r="AC879" s="17">
        <f t="shared" si="89"/>
        <v>71.268473309958978</v>
      </c>
      <c r="AD879" s="54"/>
      <c r="AE879" s="46" t="s">
        <v>1635</v>
      </c>
      <c r="AF879" s="54"/>
      <c r="AG879" s="54"/>
      <c r="AH879" s="54"/>
      <c r="AI879" s="54"/>
      <c r="AJ879" s="82"/>
      <c r="AK879" s="82"/>
      <c r="AL879" s="82"/>
      <c r="AM879" s="82"/>
      <c r="AN879" s="82"/>
      <c r="AO879" s="82"/>
      <c r="AP879" s="82"/>
      <c r="AQ879" s="82"/>
    </row>
    <row r="880" spans="1:43" ht="15.75" customHeight="1" x14ac:dyDescent="0.2">
      <c r="A880" s="54"/>
      <c r="B880" s="54" t="s">
        <v>672</v>
      </c>
      <c r="C880" s="54" t="s">
        <v>1634</v>
      </c>
      <c r="D880" s="54"/>
      <c r="E880" s="54" t="s">
        <v>99</v>
      </c>
      <c r="F880" s="54"/>
      <c r="G880" s="72">
        <v>2021</v>
      </c>
      <c r="H880" s="72">
        <v>0</v>
      </c>
      <c r="I880" s="72">
        <v>14.94</v>
      </c>
      <c r="J880" s="73">
        <v>0.09</v>
      </c>
      <c r="K880" s="72">
        <v>1.3</v>
      </c>
      <c r="L880" s="54"/>
      <c r="M880" s="54"/>
      <c r="N880" s="72">
        <v>11</v>
      </c>
      <c r="O880" s="72">
        <v>90</v>
      </c>
      <c r="P880" s="54"/>
      <c r="Q880" s="65">
        <v>5533</v>
      </c>
      <c r="R880" s="54" t="s">
        <v>676</v>
      </c>
      <c r="S880" s="54">
        <v>2021</v>
      </c>
      <c r="T880" s="61">
        <v>0.23900000000000199</v>
      </c>
      <c r="U880" s="69">
        <f t="shared" si="86"/>
        <v>1322.3870000000111</v>
      </c>
      <c r="V880" s="70">
        <f t="shared" si="87"/>
        <v>88.513186077644647</v>
      </c>
      <c r="W880" s="15">
        <f t="shared" si="90"/>
        <v>0</v>
      </c>
      <c r="X880" s="15">
        <f t="shared" si="91"/>
        <v>0</v>
      </c>
      <c r="Y880" s="15">
        <f t="shared" si="92"/>
        <v>0</v>
      </c>
      <c r="Z880" s="13">
        <f t="shared" si="93"/>
        <v>0</v>
      </c>
      <c r="AA880" s="16">
        <f>VLOOKUP(S880,[1]CPI!$A$2:$D$67,4,0)</f>
        <v>1</v>
      </c>
      <c r="AB880" s="17">
        <f t="shared" si="88"/>
        <v>1322.3870000000111</v>
      </c>
      <c r="AC880" s="17">
        <f t="shared" si="89"/>
        <v>88.513186077644647</v>
      </c>
      <c r="AD880" s="54"/>
      <c r="AE880" s="46" t="s">
        <v>1636</v>
      </c>
      <c r="AF880" s="54"/>
      <c r="AG880" s="54"/>
      <c r="AH880" s="54"/>
      <c r="AI880" s="54"/>
      <c r="AJ880" s="82"/>
      <c r="AK880" s="82"/>
      <c r="AL880" s="82"/>
      <c r="AM880" s="82"/>
      <c r="AN880" s="82"/>
      <c r="AO880" s="82"/>
      <c r="AP880" s="82"/>
      <c r="AQ880" s="82"/>
    </row>
    <row r="881" spans="1:43" ht="15.75" customHeight="1" x14ac:dyDescent="0.2">
      <c r="A881" s="54"/>
      <c r="B881" s="54" t="s">
        <v>672</v>
      </c>
      <c r="C881" s="54" t="s">
        <v>1320</v>
      </c>
      <c r="D881" s="54"/>
      <c r="E881" s="54" t="s">
        <v>708</v>
      </c>
      <c r="F881" s="72">
        <v>2022</v>
      </c>
      <c r="G881" s="54"/>
      <c r="H881" s="72">
        <v>0</v>
      </c>
      <c r="I881" s="72">
        <v>25.4</v>
      </c>
      <c r="J881" s="73">
        <v>1</v>
      </c>
      <c r="K881" s="72">
        <v>25.4</v>
      </c>
      <c r="L881" s="54"/>
      <c r="M881" s="54"/>
      <c r="N881" s="72">
        <v>22</v>
      </c>
      <c r="O881" s="72">
        <v>117</v>
      </c>
      <c r="P881" s="54"/>
      <c r="Q881" s="65">
        <v>24369</v>
      </c>
      <c r="R881" s="54" t="s">
        <v>676</v>
      </c>
      <c r="S881" s="54">
        <v>2021</v>
      </c>
      <c r="T881" s="61">
        <v>0.23900000000000199</v>
      </c>
      <c r="U881" s="69">
        <f t="shared" si="86"/>
        <v>5824.191000000048</v>
      </c>
      <c r="V881" s="70">
        <f t="shared" si="87"/>
        <v>229.29885826771843</v>
      </c>
      <c r="W881" s="15">
        <f t="shared" si="90"/>
        <v>0</v>
      </c>
      <c r="X881" s="15">
        <f t="shared" si="91"/>
        <v>0</v>
      </c>
      <c r="Y881" s="15">
        <f t="shared" si="92"/>
        <v>0</v>
      </c>
      <c r="Z881" s="13">
        <f t="shared" si="93"/>
        <v>0</v>
      </c>
      <c r="AA881" s="16">
        <f>VLOOKUP(S881,[1]CPI!$A$2:$D$67,4,0)</f>
        <v>1</v>
      </c>
      <c r="AB881" s="17">
        <f t="shared" si="88"/>
        <v>5824.191000000048</v>
      </c>
      <c r="AC881" s="17">
        <f t="shared" si="89"/>
        <v>229.29885826771843</v>
      </c>
      <c r="AD881" s="54"/>
      <c r="AE881" s="80" t="s">
        <v>1637</v>
      </c>
      <c r="AF881" s="81"/>
      <c r="AG881" s="54"/>
      <c r="AH881" s="54"/>
      <c r="AI881" s="54"/>
      <c r="AJ881" s="82"/>
      <c r="AK881" s="82"/>
      <c r="AL881" s="82"/>
      <c r="AM881" s="82"/>
      <c r="AN881" s="82"/>
      <c r="AO881" s="82"/>
      <c r="AP881" s="82"/>
      <c r="AQ881" s="82"/>
    </row>
    <row r="882" spans="1:43" ht="15.75" customHeight="1" x14ac:dyDescent="0.2">
      <c r="A882" s="54"/>
      <c r="B882" s="54" t="s">
        <v>672</v>
      </c>
      <c r="C882" s="54" t="s">
        <v>889</v>
      </c>
      <c r="D882" s="54"/>
      <c r="E882" s="54" t="s">
        <v>1403</v>
      </c>
      <c r="F882" s="72">
        <v>2019</v>
      </c>
      <c r="G882" s="54"/>
      <c r="H882" s="72">
        <v>0</v>
      </c>
      <c r="I882" s="72">
        <v>29.28</v>
      </c>
      <c r="J882" s="73">
        <v>0.28000000000000003</v>
      </c>
      <c r="K882" s="72">
        <v>8.14</v>
      </c>
      <c r="L882" s="54"/>
      <c r="M882" s="54"/>
      <c r="N882" s="72">
        <v>10</v>
      </c>
      <c r="O882" s="72">
        <v>117</v>
      </c>
      <c r="P882" s="54" t="s">
        <v>73</v>
      </c>
      <c r="Q882" s="65">
        <v>12694</v>
      </c>
      <c r="R882" s="54" t="s">
        <v>676</v>
      </c>
      <c r="S882" s="54">
        <v>2019</v>
      </c>
      <c r="T882" s="61">
        <v>0.23799999999999999</v>
      </c>
      <c r="U882" s="69">
        <f t="shared" si="86"/>
        <v>3021.172</v>
      </c>
      <c r="V882" s="70">
        <f t="shared" si="87"/>
        <v>103.18210382513661</v>
      </c>
      <c r="W882" s="15">
        <f t="shared" si="90"/>
        <v>0</v>
      </c>
      <c r="X882" s="15">
        <f t="shared" si="91"/>
        <v>0</v>
      </c>
      <c r="Y882" s="15">
        <f t="shared" si="92"/>
        <v>0</v>
      </c>
      <c r="Z882" s="13">
        <f t="shared" si="93"/>
        <v>0</v>
      </c>
      <c r="AA882" s="16">
        <f>VLOOKUP(S882,[1]CPI!$A$2:$D$67,4,0)</f>
        <v>1.0598966584134211</v>
      </c>
      <c r="AB882" s="17">
        <f t="shared" si="88"/>
        <v>3202.130107292192</v>
      </c>
      <c r="AC882" s="17">
        <f t="shared" si="89"/>
        <v>109.36236705232896</v>
      </c>
      <c r="AD882" s="54" t="s">
        <v>73</v>
      </c>
      <c r="AE882" s="46" t="s">
        <v>1638</v>
      </c>
      <c r="AF882" s="54"/>
      <c r="AG882" s="54"/>
      <c r="AH882" s="54"/>
      <c r="AI882" s="54"/>
      <c r="AJ882" s="82"/>
      <c r="AK882" s="82"/>
      <c r="AL882" s="82"/>
      <c r="AM882" s="82"/>
      <c r="AN882" s="82"/>
      <c r="AO882" s="82"/>
      <c r="AP882" s="82"/>
      <c r="AQ882" s="82"/>
    </row>
    <row r="883" spans="1:43" ht="15.75" customHeight="1" x14ac:dyDescent="0.2">
      <c r="A883" s="54"/>
      <c r="B883" s="54" t="s">
        <v>672</v>
      </c>
      <c r="C883" s="54" t="s">
        <v>889</v>
      </c>
      <c r="D883" s="54" t="s">
        <v>119</v>
      </c>
      <c r="E883" s="54" t="s">
        <v>977</v>
      </c>
      <c r="F883" s="72">
        <v>2016</v>
      </c>
      <c r="G883" s="72">
        <v>2021</v>
      </c>
      <c r="H883" s="72">
        <v>0</v>
      </c>
      <c r="I883" s="72">
        <v>19.87</v>
      </c>
      <c r="J883" s="73">
        <v>0.16</v>
      </c>
      <c r="K883" s="72">
        <v>3.2</v>
      </c>
      <c r="L883" s="54"/>
      <c r="M883" s="54"/>
      <c r="N883" s="72">
        <v>13</v>
      </c>
      <c r="O883" s="72">
        <v>117</v>
      </c>
      <c r="P883" s="54" t="s">
        <v>35</v>
      </c>
      <c r="Q883" s="65">
        <v>9511</v>
      </c>
      <c r="R883" s="54" t="s">
        <v>676</v>
      </c>
      <c r="S883" s="54">
        <v>2019</v>
      </c>
      <c r="T883" s="61">
        <v>0.23799999999999999</v>
      </c>
      <c r="U883" s="69">
        <f t="shared" si="86"/>
        <v>2263.6179999999999</v>
      </c>
      <c r="V883" s="70">
        <f t="shared" si="87"/>
        <v>113.92138902868645</v>
      </c>
      <c r="W883" s="15">
        <f t="shared" si="90"/>
        <v>0</v>
      </c>
      <c r="X883" s="15">
        <f t="shared" si="91"/>
        <v>0</v>
      </c>
      <c r="Y883" s="15">
        <f t="shared" si="92"/>
        <v>0</v>
      </c>
      <c r="Z883" s="13">
        <f t="shared" si="93"/>
        <v>0</v>
      </c>
      <c r="AA883" s="16">
        <f>VLOOKUP(S883,[1]CPI!$A$2:$D$67,4,0)</f>
        <v>1.0598966584134211</v>
      </c>
      <c r="AB883" s="17">
        <f t="shared" si="88"/>
        <v>2399.2011541244715</v>
      </c>
      <c r="AC883" s="17">
        <f t="shared" si="89"/>
        <v>120.74489955332014</v>
      </c>
      <c r="AD883" s="54" t="s">
        <v>73</v>
      </c>
      <c r="AE883" s="46" t="s">
        <v>1639</v>
      </c>
      <c r="AF883" s="80" t="s">
        <v>1640</v>
      </c>
      <c r="AG883" s="81"/>
      <c r="AH883" s="81"/>
      <c r="AI883" s="81"/>
      <c r="AJ883" s="82"/>
      <c r="AK883" s="82"/>
      <c r="AL883" s="82"/>
      <c r="AM883" s="82"/>
      <c r="AN883" s="82"/>
      <c r="AO883" s="82"/>
      <c r="AP883" s="82"/>
      <c r="AQ883" s="82"/>
    </row>
    <row r="884" spans="1:43" x14ac:dyDescent="0.2">
      <c r="A884" s="54"/>
      <c r="B884" s="54" t="s">
        <v>672</v>
      </c>
      <c r="C884" s="54" t="s">
        <v>889</v>
      </c>
      <c r="D884" s="54"/>
      <c r="E884" s="54" t="s">
        <v>103</v>
      </c>
      <c r="F884" s="72">
        <v>2012</v>
      </c>
      <c r="G884" s="72">
        <v>2016</v>
      </c>
      <c r="H884" s="72">
        <v>0</v>
      </c>
      <c r="I884" s="72">
        <v>38.4</v>
      </c>
      <c r="J884" s="73">
        <v>0.71</v>
      </c>
      <c r="K884" s="72">
        <v>27.13</v>
      </c>
      <c r="L884" s="54"/>
      <c r="M884" s="54"/>
      <c r="N884" s="72">
        <v>24</v>
      </c>
      <c r="O884" s="72">
        <v>117</v>
      </c>
      <c r="P884" s="54" t="s">
        <v>43</v>
      </c>
      <c r="Q884" s="65">
        <v>18030</v>
      </c>
      <c r="R884" s="54" t="s">
        <v>676</v>
      </c>
      <c r="S884" s="54">
        <v>2014</v>
      </c>
      <c r="T884" s="54">
        <v>0.26600000000000001</v>
      </c>
      <c r="U884" s="69">
        <f t="shared" si="86"/>
        <v>4795.9800000000005</v>
      </c>
      <c r="V884" s="70">
        <f t="shared" si="87"/>
        <v>124.89531250000002</v>
      </c>
      <c r="W884" s="15">
        <f t="shared" si="90"/>
        <v>0</v>
      </c>
      <c r="X884" s="15">
        <f t="shared" si="91"/>
        <v>0</v>
      </c>
      <c r="Y884" s="15">
        <f t="shared" si="92"/>
        <v>0</v>
      </c>
      <c r="Z884" s="13">
        <f t="shared" si="93"/>
        <v>0</v>
      </c>
      <c r="AA884" s="16">
        <f>VLOOKUP(S884,[1]CPI!$A$2:$D$67,4,0)</f>
        <v>1.1446083400919169</v>
      </c>
      <c r="AB884" s="17">
        <f t="shared" si="88"/>
        <v>5489.518706914032</v>
      </c>
      <c r="AC884" s="17">
        <f t="shared" si="89"/>
        <v>142.95621632588626</v>
      </c>
      <c r="AD884" s="54" t="s">
        <v>43</v>
      </c>
      <c r="AE884" s="46" t="s">
        <v>1641</v>
      </c>
      <c r="AF884" s="80" t="s">
        <v>1642</v>
      </c>
      <c r="AG884" s="81"/>
      <c r="AH884" s="81"/>
      <c r="AI884" s="81"/>
      <c r="AJ884" s="82"/>
      <c r="AK884" s="82"/>
      <c r="AL884" s="82"/>
      <c r="AM884" s="82"/>
      <c r="AN884" s="82"/>
      <c r="AO884" s="82"/>
      <c r="AP884" s="82"/>
      <c r="AQ884" s="82"/>
    </row>
    <row r="885" spans="1:43" x14ac:dyDescent="0.2">
      <c r="A885" s="54"/>
      <c r="B885" s="54" t="s">
        <v>672</v>
      </c>
      <c r="C885" s="54" t="s">
        <v>889</v>
      </c>
      <c r="D885" s="54"/>
      <c r="E885" s="54" t="s">
        <v>335</v>
      </c>
      <c r="F885" s="72">
        <v>2016</v>
      </c>
      <c r="G885" s="72">
        <v>2020</v>
      </c>
      <c r="H885" s="72">
        <v>0</v>
      </c>
      <c r="I885" s="72">
        <v>25.295999999999999</v>
      </c>
      <c r="J885" s="73">
        <v>1</v>
      </c>
      <c r="K885" s="72">
        <v>25.295999999999999</v>
      </c>
      <c r="L885" s="54"/>
      <c r="M885" s="54"/>
      <c r="N885" s="72">
        <v>15</v>
      </c>
      <c r="O885" s="72">
        <v>117</v>
      </c>
      <c r="P885" s="54" t="s">
        <v>73</v>
      </c>
      <c r="Q885" s="65">
        <v>13888</v>
      </c>
      <c r="R885" s="54" t="s">
        <v>676</v>
      </c>
      <c r="S885" s="54">
        <v>2018</v>
      </c>
      <c r="T885" s="15">
        <v>0.23699999999999999</v>
      </c>
      <c r="U885" s="69">
        <f t="shared" si="86"/>
        <v>3291.4559999999997</v>
      </c>
      <c r="V885" s="70">
        <f t="shared" si="87"/>
        <v>130.11764705882351</v>
      </c>
      <c r="W885" s="15">
        <f t="shared" si="90"/>
        <v>0</v>
      </c>
      <c r="X885" s="15">
        <f t="shared" si="91"/>
        <v>0</v>
      </c>
      <c r="Y885" s="15">
        <f t="shared" si="92"/>
        <v>0</v>
      </c>
      <c r="Z885" s="13">
        <f t="shared" si="93"/>
        <v>0</v>
      </c>
      <c r="AA885" s="16">
        <f>VLOOKUP(S885,[1]CPI!$A$2:$D$67,4,0)</f>
        <v>1.0791017375063221</v>
      </c>
      <c r="AB885" s="17">
        <f t="shared" si="88"/>
        <v>3551.8158885256084</v>
      </c>
      <c r="AC885" s="17">
        <f t="shared" si="89"/>
        <v>140.41017902141084</v>
      </c>
      <c r="AD885" s="54" t="s">
        <v>73</v>
      </c>
      <c r="AE885" s="46" t="s">
        <v>1643</v>
      </c>
      <c r="AF885" s="54"/>
      <c r="AG885" s="54"/>
      <c r="AH885" s="54"/>
      <c r="AI885" s="54"/>
      <c r="AJ885" s="82"/>
      <c r="AK885" s="82"/>
      <c r="AL885" s="82"/>
      <c r="AM885" s="82"/>
      <c r="AN885" s="82"/>
      <c r="AO885" s="82"/>
      <c r="AP885" s="82"/>
      <c r="AQ885" s="82"/>
    </row>
    <row r="886" spans="1:43" x14ac:dyDescent="0.2">
      <c r="A886" s="54"/>
      <c r="B886" s="54" t="s">
        <v>672</v>
      </c>
      <c r="C886" s="54" t="s">
        <v>889</v>
      </c>
      <c r="D886" s="54"/>
      <c r="E886" s="54" t="s">
        <v>1644</v>
      </c>
      <c r="F886" s="72">
        <v>2016</v>
      </c>
      <c r="G886" s="72">
        <v>2022</v>
      </c>
      <c r="H886" s="72">
        <v>0</v>
      </c>
      <c r="I886" s="72">
        <v>39.799999999999997</v>
      </c>
      <c r="J886" s="73">
        <v>1</v>
      </c>
      <c r="K886" s="72">
        <v>39.799999999999997</v>
      </c>
      <c r="L886" s="54"/>
      <c r="M886" s="54"/>
      <c r="N886" s="72">
        <v>32</v>
      </c>
      <c r="O886" s="72">
        <v>117</v>
      </c>
      <c r="P886" s="54"/>
      <c r="Q886" s="65">
        <v>28900</v>
      </c>
      <c r="R886" s="54" t="s">
        <v>676</v>
      </c>
      <c r="S886" s="54">
        <v>2019</v>
      </c>
      <c r="T886" s="61">
        <v>0.23799999999999999</v>
      </c>
      <c r="U886" s="69">
        <f t="shared" si="86"/>
        <v>6878.2</v>
      </c>
      <c r="V886" s="70">
        <f t="shared" si="87"/>
        <v>172.81909547738695</v>
      </c>
      <c r="W886" s="15">
        <f t="shared" si="90"/>
        <v>0</v>
      </c>
      <c r="X886" s="15">
        <f t="shared" si="91"/>
        <v>0</v>
      </c>
      <c r="Y886" s="15">
        <f t="shared" si="92"/>
        <v>0</v>
      </c>
      <c r="Z886" s="13">
        <f t="shared" si="93"/>
        <v>0</v>
      </c>
      <c r="AA886" s="16">
        <f>VLOOKUP(S886,[1]CPI!$A$2:$D$67,4,0)</f>
        <v>1.0598966584134211</v>
      </c>
      <c r="AB886" s="17">
        <f t="shared" si="88"/>
        <v>7290.181195899193</v>
      </c>
      <c r="AC886" s="17">
        <f t="shared" si="89"/>
        <v>183.17038180651241</v>
      </c>
      <c r="AD886" s="54"/>
      <c r="AE886" s="46" t="s">
        <v>1645</v>
      </c>
      <c r="AF886" s="54"/>
      <c r="AG886" s="54"/>
      <c r="AH886" s="54"/>
      <c r="AI886" s="54"/>
      <c r="AJ886" s="82"/>
      <c r="AK886" s="82"/>
      <c r="AL886" s="82"/>
      <c r="AM886" s="82"/>
      <c r="AN886" s="82"/>
      <c r="AO886" s="82"/>
      <c r="AP886" s="82"/>
      <c r="AQ886" s="82"/>
    </row>
    <row r="887" spans="1:43" x14ac:dyDescent="0.2">
      <c r="A887" s="54"/>
      <c r="B887" s="54" t="s">
        <v>672</v>
      </c>
      <c r="C887" s="54" t="s">
        <v>889</v>
      </c>
      <c r="D887" s="54"/>
      <c r="E887" s="54" t="s">
        <v>142</v>
      </c>
      <c r="F887" s="72">
        <v>2013</v>
      </c>
      <c r="G887" s="72">
        <v>2018</v>
      </c>
      <c r="H887" s="72">
        <v>0</v>
      </c>
      <c r="I887" s="72">
        <v>33.299999999999997</v>
      </c>
      <c r="J887" s="73">
        <v>1</v>
      </c>
      <c r="K887" s="72">
        <v>33.299999999999997</v>
      </c>
      <c r="L887" s="54"/>
      <c r="M887" s="54"/>
      <c r="N887" s="72">
        <v>28</v>
      </c>
      <c r="O887" s="72">
        <v>117</v>
      </c>
      <c r="P887" s="54"/>
      <c r="Q887" s="65">
        <v>20327</v>
      </c>
      <c r="R887" s="54" t="s">
        <v>676</v>
      </c>
      <c r="S887" s="54">
        <v>2016</v>
      </c>
      <c r="T887" s="15">
        <v>0.251</v>
      </c>
      <c r="U887" s="69">
        <f t="shared" si="86"/>
        <v>5102.0770000000002</v>
      </c>
      <c r="V887" s="70">
        <f t="shared" si="87"/>
        <v>153.21552552552555</v>
      </c>
      <c r="W887" s="15">
        <f t="shared" si="90"/>
        <v>0</v>
      </c>
      <c r="X887" s="15">
        <f t="shared" si="91"/>
        <v>0</v>
      </c>
      <c r="Y887" s="15">
        <f t="shared" si="92"/>
        <v>0</v>
      </c>
      <c r="Z887" s="13">
        <f t="shared" si="93"/>
        <v>0</v>
      </c>
      <c r="AA887" s="16">
        <f>VLOOKUP(S887,[1]CPI!$A$2:$D$67,4,0)</f>
        <v>1.1290087372451638</v>
      </c>
      <c r="AB887" s="17">
        <f t="shared" si="88"/>
        <v>5760.2895110975942</v>
      </c>
      <c r="AC887" s="17">
        <f t="shared" si="89"/>
        <v>172.98166699992777</v>
      </c>
      <c r="AD887" s="54"/>
      <c r="AE887" s="84" t="s">
        <v>1646</v>
      </c>
      <c r="AF887" s="85"/>
      <c r="AG887" s="54"/>
      <c r="AH887" s="54"/>
      <c r="AI887" s="54"/>
      <c r="AJ887" s="82"/>
      <c r="AK887" s="82"/>
      <c r="AL887" s="82"/>
      <c r="AM887" s="82"/>
      <c r="AN887" s="82"/>
      <c r="AO887" s="82"/>
      <c r="AP887" s="82"/>
      <c r="AQ887" s="82"/>
    </row>
    <row r="888" spans="1:43" x14ac:dyDescent="0.2">
      <c r="A888" s="54"/>
      <c r="B888" s="54" t="s">
        <v>672</v>
      </c>
      <c r="C888" s="54" t="s">
        <v>889</v>
      </c>
      <c r="D888" s="54" t="s">
        <v>119</v>
      </c>
      <c r="E888" s="54" t="s">
        <v>708</v>
      </c>
      <c r="F888" s="72">
        <v>2014</v>
      </c>
      <c r="G888" s="72">
        <v>2020</v>
      </c>
      <c r="H888" s="72">
        <v>0</v>
      </c>
      <c r="I888" s="72">
        <v>25.7</v>
      </c>
      <c r="J888" s="73">
        <v>0.95</v>
      </c>
      <c r="K888" s="72">
        <v>24.3</v>
      </c>
      <c r="L888" s="54"/>
      <c r="M888" s="54"/>
      <c r="N888" s="72">
        <v>20</v>
      </c>
      <c r="O888" s="72">
        <v>117</v>
      </c>
      <c r="P888" s="54"/>
      <c r="Q888" s="65">
        <v>17801</v>
      </c>
      <c r="R888" s="54" t="s">
        <v>676</v>
      </c>
      <c r="S888" s="54">
        <v>2017</v>
      </c>
      <c r="T888" s="15">
        <v>0.23899999999999999</v>
      </c>
      <c r="U888" s="69">
        <f t="shared" si="86"/>
        <v>4254.4389999999994</v>
      </c>
      <c r="V888" s="70">
        <f t="shared" si="87"/>
        <v>165.542373540856</v>
      </c>
      <c r="W888" s="15">
        <f t="shared" si="90"/>
        <v>0</v>
      </c>
      <c r="X888" s="15">
        <f t="shared" si="91"/>
        <v>0</v>
      </c>
      <c r="Y888" s="15">
        <f t="shared" si="92"/>
        <v>0</v>
      </c>
      <c r="Z888" s="13">
        <f t="shared" si="93"/>
        <v>0</v>
      </c>
      <c r="AA888" s="16">
        <f>VLOOKUP(S888,[1]CPI!$A$2:$D$67,4,0)</f>
        <v>1.1054585509138382</v>
      </c>
      <c r="AB888" s="17">
        <f t="shared" si="88"/>
        <v>4703.1059718913184</v>
      </c>
      <c r="AC888" s="17">
        <f t="shared" si="89"/>
        <v>183.00023236931199</v>
      </c>
      <c r="AD888" s="54"/>
      <c r="AE888" s="46" t="s">
        <v>1647</v>
      </c>
      <c r="AF888" s="54"/>
      <c r="AG888" s="54"/>
      <c r="AH888" s="54"/>
      <c r="AI888" s="54"/>
      <c r="AJ888" s="82"/>
      <c r="AK888" s="82"/>
      <c r="AL888" s="82"/>
      <c r="AM888" s="82"/>
      <c r="AN888" s="82"/>
      <c r="AO888" s="82"/>
      <c r="AP888" s="82"/>
      <c r="AQ888" s="82"/>
    </row>
    <row r="889" spans="1:43" x14ac:dyDescent="0.2">
      <c r="A889" s="54"/>
      <c r="B889" s="54" t="s">
        <v>672</v>
      </c>
      <c r="C889" s="54" t="s">
        <v>889</v>
      </c>
      <c r="D889" s="54" t="s">
        <v>92</v>
      </c>
      <c r="E889" s="54" t="s">
        <v>679</v>
      </c>
      <c r="F889" s="54"/>
      <c r="G889" s="72">
        <v>2013</v>
      </c>
      <c r="H889" s="72">
        <v>0</v>
      </c>
      <c r="I889" s="72">
        <v>25.36</v>
      </c>
      <c r="J889" s="73">
        <v>1</v>
      </c>
      <c r="K889" s="72">
        <v>25.36</v>
      </c>
      <c r="L889" s="54"/>
      <c r="M889" s="54"/>
      <c r="N889" s="72">
        <v>19</v>
      </c>
      <c r="O889" s="72">
        <v>117</v>
      </c>
      <c r="P889" s="54"/>
      <c r="Q889" s="65">
        <v>13490</v>
      </c>
      <c r="R889" s="54" t="s">
        <v>676</v>
      </c>
      <c r="S889" s="54">
        <v>2013</v>
      </c>
      <c r="T889" s="15">
        <v>0.27300000000000002</v>
      </c>
      <c r="U889" s="69">
        <f t="shared" si="86"/>
        <v>3682.7700000000004</v>
      </c>
      <c r="V889" s="70">
        <f t="shared" si="87"/>
        <v>145.21963722397479</v>
      </c>
      <c r="W889" s="15">
        <f t="shared" si="90"/>
        <v>0</v>
      </c>
      <c r="X889" s="15">
        <f t="shared" si="91"/>
        <v>0</v>
      </c>
      <c r="Y889" s="15">
        <f t="shared" si="92"/>
        <v>0</v>
      </c>
      <c r="Z889" s="13">
        <f t="shared" si="93"/>
        <v>0</v>
      </c>
      <c r="AA889" s="16">
        <f>VLOOKUP(S889,[1]CPI!$A$2:$D$67,4,0)</f>
        <v>1.16317603677932</v>
      </c>
      <c r="AB889" s="17">
        <f t="shared" si="88"/>
        <v>4283.709812969777</v>
      </c>
      <c r="AC889" s="17">
        <f t="shared" si="89"/>
        <v>168.91600208871361</v>
      </c>
      <c r="AD889" s="54"/>
      <c r="AE889" s="46" t="s">
        <v>1648</v>
      </c>
      <c r="AF889" s="80" t="s">
        <v>1649</v>
      </c>
      <c r="AG889" s="81"/>
      <c r="AH889" s="81"/>
      <c r="AI889" s="81"/>
      <c r="AJ889" s="82"/>
      <c r="AK889" s="82"/>
      <c r="AL889" s="82"/>
      <c r="AM889" s="82"/>
      <c r="AN889" s="82"/>
      <c r="AO889" s="82"/>
      <c r="AP889" s="82"/>
      <c r="AQ889" s="82"/>
    </row>
    <row r="890" spans="1:43" x14ac:dyDescent="0.2">
      <c r="A890" s="54"/>
      <c r="B890" s="54" t="s">
        <v>672</v>
      </c>
      <c r="C890" s="54" t="s">
        <v>889</v>
      </c>
      <c r="D890" s="54" t="s">
        <v>92</v>
      </c>
      <c r="E890" s="54" t="s">
        <v>761</v>
      </c>
      <c r="F890" s="72">
        <v>2016</v>
      </c>
      <c r="G890" s="54"/>
      <c r="H890" s="72">
        <v>0</v>
      </c>
      <c r="I890" s="72">
        <v>6.1</v>
      </c>
      <c r="J890" s="73">
        <v>1</v>
      </c>
      <c r="K890" s="72">
        <v>6.1</v>
      </c>
      <c r="L890" s="54"/>
      <c r="M890" s="54"/>
      <c r="N890" s="72">
        <v>4</v>
      </c>
      <c r="O890" s="72">
        <v>117</v>
      </c>
      <c r="P890" s="54"/>
      <c r="Q890" s="65">
        <v>3700</v>
      </c>
      <c r="R890" s="54" t="s">
        <v>676</v>
      </c>
      <c r="S890" s="54">
        <v>2016</v>
      </c>
      <c r="T890" s="15">
        <v>0.251</v>
      </c>
      <c r="U890" s="69">
        <f t="shared" si="86"/>
        <v>928.7</v>
      </c>
      <c r="V890" s="70">
        <f t="shared" si="87"/>
        <v>152.24590163934428</v>
      </c>
      <c r="W890" s="15">
        <f t="shared" si="90"/>
        <v>0</v>
      </c>
      <c r="X890" s="15">
        <f t="shared" si="91"/>
        <v>0</v>
      </c>
      <c r="Y890" s="15">
        <f t="shared" si="92"/>
        <v>0</v>
      </c>
      <c r="Z890" s="13">
        <f t="shared" si="93"/>
        <v>0</v>
      </c>
      <c r="AA890" s="16">
        <f>VLOOKUP(S890,[1]CPI!$A$2:$D$67,4,0)</f>
        <v>1.1290087372451638</v>
      </c>
      <c r="AB890" s="17">
        <f t="shared" si="88"/>
        <v>1048.5104142795838</v>
      </c>
      <c r="AC890" s="17">
        <f t="shared" si="89"/>
        <v>171.8869531605875</v>
      </c>
      <c r="AD890" s="54"/>
      <c r="AE890" s="46" t="s">
        <v>1650</v>
      </c>
      <c r="AF890" s="54"/>
      <c r="AG890" s="54"/>
      <c r="AH890" s="54"/>
      <c r="AI890" s="54"/>
      <c r="AJ890" s="82"/>
      <c r="AK890" s="82"/>
      <c r="AL890" s="82"/>
      <c r="AM890" s="82"/>
      <c r="AN890" s="82"/>
      <c r="AO890" s="82"/>
      <c r="AP890" s="82"/>
      <c r="AQ890" s="82"/>
    </row>
    <row r="891" spans="1:43" x14ac:dyDescent="0.2">
      <c r="A891" s="54"/>
      <c r="B891" s="54" t="s">
        <v>672</v>
      </c>
      <c r="C891" s="54" t="s">
        <v>889</v>
      </c>
      <c r="D891" s="54" t="s">
        <v>99</v>
      </c>
      <c r="E891" s="54" t="s">
        <v>698</v>
      </c>
      <c r="F891" s="72">
        <v>2006</v>
      </c>
      <c r="G891" s="72">
        <v>2011</v>
      </c>
      <c r="H891" s="72">
        <v>0</v>
      </c>
      <c r="I891" s="72">
        <v>26.76</v>
      </c>
      <c r="J891" s="73">
        <v>1</v>
      </c>
      <c r="K891" s="72">
        <v>26.76</v>
      </c>
      <c r="L891" s="54"/>
      <c r="M891" s="54"/>
      <c r="N891" s="72">
        <v>21</v>
      </c>
      <c r="O891" s="72">
        <v>117</v>
      </c>
      <c r="P891" s="54"/>
      <c r="Q891" s="65">
        <v>12963</v>
      </c>
      <c r="R891" s="54" t="s">
        <v>676</v>
      </c>
      <c r="S891" s="54">
        <v>2009</v>
      </c>
      <c r="T891" s="15">
        <v>0.317</v>
      </c>
      <c r="U891" s="69">
        <f t="shared" si="86"/>
        <v>4109.2709999999997</v>
      </c>
      <c r="V891" s="70">
        <f t="shared" si="87"/>
        <v>153.56020179372194</v>
      </c>
      <c r="W891" s="15">
        <f t="shared" si="90"/>
        <v>0</v>
      </c>
      <c r="X891" s="15">
        <f t="shared" si="91"/>
        <v>0</v>
      </c>
      <c r="Y891" s="15">
        <f t="shared" si="92"/>
        <v>0</v>
      </c>
      <c r="Z891" s="13">
        <f t="shared" si="93"/>
        <v>0</v>
      </c>
      <c r="AA891" s="16">
        <f>VLOOKUP(S891,[1]CPI!$A$2:$D$67,4,0)</f>
        <v>1.2630455352689747</v>
      </c>
      <c r="AB891" s="17">
        <f t="shared" si="88"/>
        <v>5190.1963897602745</v>
      </c>
      <c r="AC891" s="17">
        <f t="shared" si="89"/>
        <v>193.95352727056328</v>
      </c>
      <c r="AD891" s="54"/>
      <c r="AE891" s="46" t="s">
        <v>1649</v>
      </c>
      <c r="AF891" s="54"/>
      <c r="AG891" s="54"/>
      <c r="AH891" s="54"/>
      <c r="AI891" s="54"/>
      <c r="AJ891" s="82"/>
      <c r="AK891" s="82"/>
      <c r="AL891" s="82"/>
      <c r="AM891" s="82"/>
      <c r="AN891" s="82"/>
      <c r="AO891" s="82"/>
      <c r="AP891" s="82"/>
      <c r="AQ891" s="82"/>
    </row>
    <row r="892" spans="1:43" x14ac:dyDescent="0.2">
      <c r="A892" s="54"/>
      <c r="B892" s="54" t="s">
        <v>672</v>
      </c>
      <c r="C892" s="54" t="s">
        <v>845</v>
      </c>
      <c r="D892" s="9" t="s">
        <v>1651</v>
      </c>
      <c r="E892" s="54" t="s">
        <v>1652</v>
      </c>
      <c r="F892" s="72">
        <v>2020</v>
      </c>
      <c r="G892" s="54"/>
      <c r="H892" s="72">
        <v>0</v>
      </c>
      <c r="I892" s="72">
        <v>45.8</v>
      </c>
      <c r="J892" s="54"/>
      <c r="K892" s="54"/>
      <c r="L892" s="54"/>
      <c r="M892" s="54"/>
      <c r="N892" s="72">
        <v>9</v>
      </c>
      <c r="O892" s="54"/>
      <c r="P892" s="54" t="s">
        <v>73</v>
      </c>
      <c r="Q892" s="65">
        <v>21890</v>
      </c>
      <c r="R892" s="54" t="s">
        <v>676</v>
      </c>
      <c r="S892" s="54">
        <v>2020</v>
      </c>
      <c r="T892" s="61">
        <v>0.23899999999999999</v>
      </c>
      <c r="U892" s="69">
        <f t="shared" si="86"/>
        <v>5231.71</v>
      </c>
      <c r="V892" s="70">
        <f t="shared" si="87"/>
        <v>114.22947598253276</v>
      </c>
      <c r="W892" s="15">
        <f t="shared" si="90"/>
        <v>0</v>
      </c>
      <c r="X892" s="15">
        <f t="shared" si="91"/>
        <v>0</v>
      </c>
      <c r="Y892" s="15">
        <f t="shared" si="92"/>
        <v>0</v>
      </c>
      <c r="Z892" s="13">
        <f t="shared" si="93"/>
        <v>0</v>
      </c>
      <c r="AA892" s="16">
        <f>VLOOKUP(S892,[1]CPI!$A$2:$D$67,4,0)</f>
        <v>1.0469802288156225</v>
      </c>
      <c r="AB892" s="17">
        <f t="shared" si="88"/>
        <v>5477.4969328969801</v>
      </c>
      <c r="AC892" s="17">
        <f t="shared" si="89"/>
        <v>119.59600290168081</v>
      </c>
      <c r="AD892" s="54" t="s">
        <v>73</v>
      </c>
      <c r="AE892" s="46" t="s">
        <v>1653</v>
      </c>
      <c r="AF892" s="54"/>
      <c r="AG892" s="54"/>
      <c r="AH892" s="54"/>
      <c r="AI892" s="54"/>
      <c r="AJ892" s="82"/>
      <c r="AK892" s="82"/>
      <c r="AL892" s="82"/>
      <c r="AM892" s="82"/>
      <c r="AN892" s="82"/>
      <c r="AO892" s="82"/>
      <c r="AP892" s="82"/>
      <c r="AQ892" s="82"/>
    </row>
    <row r="893" spans="1:43" x14ac:dyDescent="0.2">
      <c r="A893" s="54"/>
      <c r="B893" s="54" t="s">
        <v>672</v>
      </c>
      <c r="C893" s="54" t="s">
        <v>845</v>
      </c>
      <c r="D893" s="54" t="s">
        <v>142</v>
      </c>
      <c r="E893" s="54" t="s">
        <v>1654</v>
      </c>
      <c r="F893" s="72">
        <v>2022</v>
      </c>
      <c r="G893" s="54"/>
      <c r="H893" s="72">
        <v>0</v>
      </c>
      <c r="I893" s="72">
        <v>44.78</v>
      </c>
      <c r="J893" s="73">
        <v>0.5</v>
      </c>
      <c r="K893" s="72">
        <v>22.48</v>
      </c>
      <c r="L893" s="54"/>
      <c r="M893" s="54"/>
      <c r="N893" s="72">
        <v>10</v>
      </c>
      <c r="O893" s="72">
        <v>117</v>
      </c>
      <c r="P893" s="54"/>
      <c r="Q893" s="65">
        <v>22978</v>
      </c>
      <c r="R893" s="54" t="s">
        <v>676</v>
      </c>
      <c r="S893" s="54">
        <v>2021</v>
      </c>
      <c r="T893" s="61">
        <v>0.23900000000000199</v>
      </c>
      <c r="U893" s="69">
        <f t="shared" si="86"/>
        <v>5491.7420000000457</v>
      </c>
      <c r="V893" s="70">
        <f t="shared" si="87"/>
        <v>122.63827601607963</v>
      </c>
      <c r="W893" s="15">
        <f t="shared" si="90"/>
        <v>0</v>
      </c>
      <c r="X893" s="15">
        <f t="shared" si="91"/>
        <v>0</v>
      </c>
      <c r="Y893" s="15">
        <f t="shared" si="92"/>
        <v>0</v>
      </c>
      <c r="Z893" s="13">
        <f t="shared" si="93"/>
        <v>0</v>
      </c>
      <c r="AA893" s="16">
        <f>VLOOKUP(S893,[1]CPI!$A$2:$D$67,4,0)</f>
        <v>1</v>
      </c>
      <c r="AB893" s="17">
        <f t="shared" si="88"/>
        <v>5491.7420000000457</v>
      </c>
      <c r="AC893" s="17">
        <f t="shared" si="89"/>
        <v>122.63827601607963</v>
      </c>
      <c r="AD893" s="54"/>
      <c r="AE893" s="46" t="s">
        <v>1655</v>
      </c>
      <c r="AF893" s="54"/>
      <c r="AG893" s="54"/>
      <c r="AH893" s="54"/>
      <c r="AI893" s="54"/>
      <c r="AJ893" s="82"/>
      <c r="AK893" s="82"/>
      <c r="AL893" s="82"/>
      <c r="AM893" s="82"/>
      <c r="AN893" s="82"/>
      <c r="AO893" s="82"/>
      <c r="AP893" s="82"/>
      <c r="AQ893" s="82"/>
    </row>
    <row r="894" spans="1:43" x14ac:dyDescent="0.2">
      <c r="A894" s="54"/>
      <c r="B894" s="54" t="s">
        <v>672</v>
      </c>
      <c r="C894" s="54" t="s">
        <v>845</v>
      </c>
      <c r="D894" s="9" t="s">
        <v>1651</v>
      </c>
      <c r="E894" s="54" t="s">
        <v>1656</v>
      </c>
      <c r="F894" s="72">
        <v>2021</v>
      </c>
      <c r="G894" s="54"/>
      <c r="H894" s="72">
        <v>1</v>
      </c>
      <c r="I894" s="72">
        <v>51.2</v>
      </c>
      <c r="J894" s="54"/>
      <c r="K894" s="54"/>
      <c r="L894" s="54"/>
      <c r="M894" s="54"/>
      <c r="N894" s="72">
        <v>4</v>
      </c>
      <c r="O894" s="54"/>
      <c r="P894" s="54"/>
      <c r="Q894" s="65">
        <v>30320</v>
      </c>
      <c r="R894" s="54" t="s">
        <v>676</v>
      </c>
      <c r="S894" s="54">
        <v>2021</v>
      </c>
      <c r="T894" s="61">
        <v>0.23900000000000199</v>
      </c>
      <c r="U894" s="69">
        <f t="shared" si="86"/>
        <v>7246.4800000000605</v>
      </c>
      <c r="V894" s="70">
        <f t="shared" si="87"/>
        <v>141.53281250000117</v>
      </c>
      <c r="W894" s="15">
        <f t="shared" si="90"/>
        <v>0</v>
      </c>
      <c r="X894" s="15">
        <f t="shared" si="91"/>
        <v>0</v>
      </c>
      <c r="Y894" s="15">
        <f t="shared" si="92"/>
        <v>0</v>
      </c>
      <c r="Z894" s="13">
        <f t="shared" si="93"/>
        <v>0</v>
      </c>
      <c r="AA894" s="16">
        <f>VLOOKUP(S894,[1]CPI!$A$2:$D$67,4,0)</f>
        <v>1</v>
      </c>
      <c r="AB894" s="17">
        <f t="shared" si="88"/>
        <v>7246.4800000000605</v>
      </c>
      <c r="AC894" s="17">
        <f t="shared" si="89"/>
        <v>141.53281250000117</v>
      </c>
      <c r="AD894" s="54"/>
      <c r="AE894" s="46" t="s">
        <v>1653</v>
      </c>
      <c r="AF894" s="54"/>
      <c r="AG894" s="54"/>
      <c r="AH894" s="54"/>
      <c r="AI894" s="54"/>
      <c r="AJ894" s="82"/>
      <c r="AK894" s="82"/>
      <c r="AL894" s="82"/>
      <c r="AM894" s="82"/>
      <c r="AN894" s="82"/>
      <c r="AO894" s="82"/>
      <c r="AP894" s="82"/>
      <c r="AQ894" s="82"/>
    </row>
    <row r="895" spans="1:43" x14ac:dyDescent="0.2">
      <c r="A895" s="54"/>
      <c r="B895" s="54" t="s">
        <v>672</v>
      </c>
      <c r="C895" s="54" t="s">
        <v>845</v>
      </c>
      <c r="D895" s="54" t="s">
        <v>103</v>
      </c>
      <c r="E895" s="54" t="s">
        <v>907</v>
      </c>
      <c r="F895" s="72">
        <v>2011</v>
      </c>
      <c r="G895" s="72">
        <v>2020</v>
      </c>
      <c r="H895" s="72">
        <v>0</v>
      </c>
      <c r="I895" s="72">
        <v>18.600000000000001</v>
      </c>
      <c r="J895" s="54"/>
      <c r="K895" s="54"/>
      <c r="L895" s="54"/>
      <c r="M895" s="54"/>
      <c r="N895" s="72">
        <v>16</v>
      </c>
      <c r="O895" s="72">
        <v>117</v>
      </c>
      <c r="P895" s="54"/>
      <c r="Q895" s="65">
        <v>12360</v>
      </c>
      <c r="R895" s="54" t="s">
        <v>676</v>
      </c>
      <c r="S895" s="54">
        <v>2016</v>
      </c>
      <c r="T895" s="15">
        <v>0.251</v>
      </c>
      <c r="U895" s="69">
        <f t="shared" si="86"/>
        <v>3102.36</v>
      </c>
      <c r="V895" s="70">
        <f t="shared" si="87"/>
        <v>166.79354838709676</v>
      </c>
      <c r="W895" s="15">
        <f t="shared" si="90"/>
        <v>0</v>
      </c>
      <c r="X895" s="15">
        <f t="shared" si="91"/>
        <v>0</v>
      </c>
      <c r="Y895" s="15">
        <f t="shared" si="92"/>
        <v>0</v>
      </c>
      <c r="Z895" s="13">
        <f t="shared" si="93"/>
        <v>0</v>
      </c>
      <c r="AA895" s="16">
        <f>VLOOKUP(S895,[1]CPI!$A$2:$D$67,4,0)</f>
        <v>1.1290087372451638</v>
      </c>
      <c r="AB895" s="17">
        <f t="shared" si="88"/>
        <v>3502.5915460799065</v>
      </c>
      <c r="AC895" s="17">
        <f t="shared" si="89"/>
        <v>188.31137344515625</v>
      </c>
      <c r="AD895" s="54"/>
      <c r="AE895" s="84" t="s">
        <v>1657</v>
      </c>
      <c r="AF895" s="54"/>
      <c r="AG895" s="54"/>
      <c r="AH895" s="54"/>
      <c r="AI895" s="54"/>
      <c r="AJ895" s="82"/>
      <c r="AK895" s="82"/>
      <c r="AL895" s="82"/>
      <c r="AM895" s="82"/>
      <c r="AN895" s="82"/>
      <c r="AO895" s="82"/>
      <c r="AP895" s="82"/>
      <c r="AQ895" s="82"/>
    </row>
    <row r="896" spans="1:43" x14ac:dyDescent="0.2">
      <c r="A896" s="54"/>
      <c r="B896" s="54" t="s">
        <v>672</v>
      </c>
      <c r="C896" s="54" t="s">
        <v>845</v>
      </c>
      <c r="D896" s="54" t="s">
        <v>99</v>
      </c>
      <c r="E896" s="54" t="s">
        <v>698</v>
      </c>
      <c r="F896" s="72">
        <v>2015</v>
      </c>
      <c r="G896" s="72">
        <v>2019</v>
      </c>
      <c r="H896" s="72">
        <v>0</v>
      </c>
      <c r="I896" s="72">
        <v>25.2</v>
      </c>
      <c r="J896" s="73">
        <v>1</v>
      </c>
      <c r="K896" s="72">
        <v>25.2</v>
      </c>
      <c r="L896" s="54"/>
      <c r="M896" s="54"/>
      <c r="N896" s="72">
        <v>19</v>
      </c>
      <c r="O896" s="72">
        <v>117</v>
      </c>
      <c r="P896" s="54"/>
      <c r="Q896" s="65">
        <v>17620</v>
      </c>
      <c r="R896" s="54" t="s">
        <v>676</v>
      </c>
      <c r="S896" s="54">
        <v>2017</v>
      </c>
      <c r="T896" s="15">
        <v>0.23899999999999999</v>
      </c>
      <c r="U896" s="69">
        <f t="shared" si="86"/>
        <v>4211.1799999999994</v>
      </c>
      <c r="V896" s="70">
        <f t="shared" si="87"/>
        <v>167.11031746031745</v>
      </c>
      <c r="W896" s="15">
        <f t="shared" si="90"/>
        <v>0</v>
      </c>
      <c r="X896" s="15">
        <f t="shared" si="91"/>
        <v>0</v>
      </c>
      <c r="Y896" s="15">
        <f t="shared" si="92"/>
        <v>0</v>
      </c>
      <c r="Z896" s="13">
        <f t="shared" si="93"/>
        <v>0</v>
      </c>
      <c r="AA896" s="16">
        <f>VLOOKUP(S896,[1]CPI!$A$2:$D$67,4,0)</f>
        <v>1.1054585509138382</v>
      </c>
      <c r="AB896" s="17">
        <f t="shared" si="88"/>
        <v>4655.2849404373364</v>
      </c>
      <c r="AC896" s="17">
        <f t="shared" si="89"/>
        <v>184.733529382434</v>
      </c>
      <c r="AD896" s="54"/>
      <c r="AE896" s="84" t="s">
        <v>1657</v>
      </c>
      <c r="AF896" s="54"/>
      <c r="AG896" s="54"/>
      <c r="AH896" s="54"/>
      <c r="AI896" s="54"/>
      <c r="AJ896" s="82"/>
      <c r="AK896" s="82"/>
      <c r="AL896" s="82"/>
      <c r="AM896" s="82"/>
      <c r="AN896" s="82"/>
      <c r="AO896" s="82"/>
      <c r="AP896" s="82"/>
      <c r="AQ896" s="82"/>
    </row>
    <row r="897" spans="1:43" x14ac:dyDescent="0.2">
      <c r="A897" s="54"/>
      <c r="B897" s="54" t="s">
        <v>672</v>
      </c>
      <c r="C897" s="54" t="s">
        <v>845</v>
      </c>
      <c r="D897" s="54"/>
      <c r="E897" s="54" t="s">
        <v>679</v>
      </c>
      <c r="F897" s="72">
        <v>2011</v>
      </c>
      <c r="G897" s="72">
        <v>2020</v>
      </c>
      <c r="H897" s="72">
        <v>0</v>
      </c>
      <c r="I897" s="72">
        <v>31.5</v>
      </c>
      <c r="J897" s="73">
        <v>0.84</v>
      </c>
      <c r="K897" s="72">
        <v>26.36</v>
      </c>
      <c r="L897" s="54"/>
      <c r="M897" s="54"/>
      <c r="N897" s="72">
        <v>23</v>
      </c>
      <c r="O897" s="72">
        <v>117</v>
      </c>
      <c r="P897" s="54"/>
      <c r="Q897" s="65">
        <v>20390</v>
      </c>
      <c r="R897" s="54" t="s">
        <v>676</v>
      </c>
      <c r="S897" s="54">
        <v>2016</v>
      </c>
      <c r="T897" s="15">
        <v>0.251</v>
      </c>
      <c r="U897" s="69">
        <f t="shared" si="86"/>
        <v>5117.8900000000003</v>
      </c>
      <c r="V897" s="70">
        <f t="shared" si="87"/>
        <v>162.47269841269843</v>
      </c>
      <c r="W897" s="15">
        <f t="shared" si="90"/>
        <v>0</v>
      </c>
      <c r="X897" s="15">
        <f t="shared" si="91"/>
        <v>0</v>
      </c>
      <c r="Y897" s="15">
        <f t="shared" si="92"/>
        <v>0</v>
      </c>
      <c r="Z897" s="13">
        <f t="shared" si="93"/>
        <v>0</v>
      </c>
      <c r="AA897" s="16">
        <f>VLOOKUP(S897,[1]CPI!$A$2:$D$67,4,0)</f>
        <v>1.1290087372451638</v>
      </c>
      <c r="AB897" s="17">
        <f t="shared" si="88"/>
        <v>5778.1425262596522</v>
      </c>
      <c r="AC897" s="17">
        <f t="shared" si="89"/>
        <v>183.43309607173498</v>
      </c>
      <c r="AD897" s="54"/>
      <c r="AE897" s="46" t="s">
        <v>1657</v>
      </c>
      <c r="AF897" s="80" t="s">
        <v>1658</v>
      </c>
      <c r="AG897" s="81"/>
      <c r="AH897" s="81"/>
      <c r="AI897" s="81"/>
      <c r="AJ897" s="82"/>
      <c r="AK897" s="82"/>
      <c r="AL897" s="82"/>
      <c r="AM897" s="82"/>
      <c r="AN897" s="82"/>
      <c r="AO897" s="82"/>
      <c r="AP897" s="82"/>
      <c r="AQ897" s="82"/>
    </row>
    <row r="898" spans="1:43" x14ac:dyDescent="0.2">
      <c r="A898" s="54"/>
      <c r="B898" s="54" t="s">
        <v>672</v>
      </c>
      <c r="C898" s="54" t="s">
        <v>845</v>
      </c>
      <c r="D898" s="54"/>
      <c r="E898" s="54" t="s">
        <v>335</v>
      </c>
      <c r="F898" s="72">
        <v>2021</v>
      </c>
      <c r="G898" s="54"/>
      <c r="H898" s="72">
        <v>0</v>
      </c>
      <c r="I898" s="72">
        <v>44.2</v>
      </c>
      <c r="J898" s="73">
        <v>1</v>
      </c>
      <c r="K898" s="72">
        <v>44.2</v>
      </c>
      <c r="L898" s="54"/>
      <c r="M898" s="54"/>
      <c r="N898" s="72">
        <v>24</v>
      </c>
      <c r="O898" s="72">
        <v>117</v>
      </c>
      <c r="P898" s="54"/>
      <c r="Q898" s="65">
        <v>40537.22</v>
      </c>
      <c r="R898" s="54" t="s">
        <v>676</v>
      </c>
      <c r="S898" s="54">
        <v>2021</v>
      </c>
      <c r="T898" s="61">
        <v>0.23900000000000199</v>
      </c>
      <c r="U898" s="69">
        <f t="shared" si="86"/>
        <v>9688.3955800000804</v>
      </c>
      <c r="V898" s="70">
        <f t="shared" si="87"/>
        <v>219.19447013574842</v>
      </c>
      <c r="W898" s="15">
        <f t="shared" si="90"/>
        <v>0</v>
      </c>
      <c r="X898" s="15">
        <f t="shared" si="91"/>
        <v>0</v>
      </c>
      <c r="Y898" s="15">
        <f t="shared" si="92"/>
        <v>0</v>
      </c>
      <c r="Z898" s="13">
        <f t="shared" si="93"/>
        <v>0</v>
      </c>
      <c r="AA898" s="16">
        <f>VLOOKUP(S898,[1]CPI!$A$2:$D$67,4,0)</f>
        <v>1</v>
      </c>
      <c r="AB898" s="17">
        <f t="shared" si="88"/>
        <v>9688.3955800000804</v>
      </c>
      <c r="AC898" s="17">
        <f t="shared" si="89"/>
        <v>219.19447013574842</v>
      </c>
      <c r="AD898" s="54"/>
      <c r="AE898" s="46" t="s">
        <v>1659</v>
      </c>
      <c r="AF898" s="54"/>
      <c r="AG898" s="54"/>
      <c r="AH898" s="54"/>
      <c r="AI898" s="54"/>
      <c r="AJ898" s="82"/>
      <c r="AK898" s="82"/>
      <c r="AL898" s="82"/>
      <c r="AM898" s="82"/>
      <c r="AN898" s="82"/>
      <c r="AO898" s="82"/>
      <c r="AP898" s="82"/>
      <c r="AQ898" s="82"/>
    </row>
    <row r="899" spans="1:43" x14ac:dyDescent="0.2">
      <c r="A899" s="54"/>
      <c r="B899" s="54" t="s">
        <v>672</v>
      </c>
      <c r="C899" s="54" t="s">
        <v>845</v>
      </c>
      <c r="D899" s="9" t="s">
        <v>1651</v>
      </c>
      <c r="E899" s="54" t="s">
        <v>1660</v>
      </c>
      <c r="F899" s="72">
        <v>2021</v>
      </c>
      <c r="G899" s="54"/>
      <c r="H899" s="72">
        <v>1</v>
      </c>
      <c r="I899" s="72">
        <v>70.2</v>
      </c>
      <c r="J899" s="54"/>
      <c r="K899" s="54"/>
      <c r="L899" s="54"/>
      <c r="M899" s="54"/>
      <c r="N899" s="72">
        <v>11</v>
      </c>
      <c r="O899" s="54"/>
      <c r="P899" s="54"/>
      <c r="Q899" s="65">
        <v>28600</v>
      </c>
      <c r="R899" s="54" t="s">
        <v>676</v>
      </c>
      <c r="S899" s="54">
        <v>2021</v>
      </c>
      <c r="T899" s="61">
        <v>0.23900000000000199</v>
      </c>
      <c r="U899" s="69">
        <f t="shared" si="86"/>
        <v>6835.4000000000569</v>
      </c>
      <c r="V899" s="70">
        <f t="shared" si="87"/>
        <v>97.370370370371177</v>
      </c>
      <c r="W899" s="15">
        <f t="shared" si="90"/>
        <v>0</v>
      </c>
      <c r="X899" s="15">
        <f t="shared" si="91"/>
        <v>0</v>
      </c>
      <c r="Y899" s="15">
        <f t="shared" si="92"/>
        <v>0</v>
      </c>
      <c r="Z899" s="13">
        <f t="shared" si="93"/>
        <v>0</v>
      </c>
      <c r="AA899" s="16">
        <f>VLOOKUP(S899,[1]CPI!$A$2:$D$67,4,0)</f>
        <v>1</v>
      </c>
      <c r="AB899" s="17">
        <f t="shared" si="88"/>
        <v>6835.4000000000569</v>
      </c>
      <c r="AC899" s="17">
        <f t="shared" si="89"/>
        <v>97.370370370371177</v>
      </c>
      <c r="AD899" s="54"/>
      <c r="AE899" s="46" t="s">
        <v>1653</v>
      </c>
      <c r="AF899" s="54"/>
      <c r="AG899" s="54"/>
      <c r="AH899" s="54"/>
      <c r="AI899" s="54"/>
      <c r="AJ899" s="82"/>
      <c r="AK899" s="82"/>
      <c r="AL899" s="82"/>
      <c r="AM899" s="82"/>
      <c r="AN899" s="82"/>
      <c r="AO899" s="82"/>
      <c r="AP899" s="82"/>
      <c r="AQ899" s="82"/>
    </row>
    <row r="900" spans="1:43" x14ac:dyDescent="0.2">
      <c r="A900" s="54"/>
      <c r="B900" s="54" t="s">
        <v>672</v>
      </c>
      <c r="C900" s="54" t="s">
        <v>863</v>
      </c>
      <c r="D900" s="54"/>
      <c r="E900" s="54" t="s">
        <v>142</v>
      </c>
      <c r="F900" s="72">
        <v>2014</v>
      </c>
      <c r="G900" s="72">
        <v>2020</v>
      </c>
      <c r="H900" s="72">
        <v>0</v>
      </c>
      <c r="I900" s="72">
        <v>30.1</v>
      </c>
      <c r="J900" s="73">
        <v>1</v>
      </c>
      <c r="K900" s="72">
        <v>30.1</v>
      </c>
      <c r="L900" s="54"/>
      <c r="M900" s="54"/>
      <c r="N900" s="72">
        <v>24</v>
      </c>
      <c r="O900" s="72">
        <v>117</v>
      </c>
      <c r="P900" s="54" t="s">
        <v>35</v>
      </c>
      <c r="Q900" s="65">
        <v>19034</v>
      </c>
      <c r="R900" s="54" t="s">
        <v>676</v>
      </c>
      <c r="S900" s="54">
        <v>2017</v>
      </c>
      <c r="T900" s="15">
        <v>0.23899999999999999</v>
      </c>
      <c r="U900" s="69">
        <f t="shared" si="86"/>
        <v>4549.1260000000002</v>
      </c>
      <c r="V900" s="70">
        <f t="shared" si="87"/>
        <v>151.13375415282391</v>
      </c>
      <c r="W900" s="15">
        <f t="shared" si="90"/>
        <v>0</v>
      </c>
      <c r="X900" s="15">
        <f t="shared" si="91"/>
        <v>0</v>
      </c>
      <c r="Y900" s="15">
        <f t="shared" si="92"/>
        <v>0</v>
      </c>
      <c r="Z900" s="13">
        <f t="shared" si="93"/>
        <v>0</v>
      </c>
      <c r="AA900" s="16">
        <f>VLOOKUP(S900,[1]CPI!$A$2:$D$67,4,0)</f>
        <v>1.1054585509138382</v>
      </c>
      <c r="AB900" s="17">
        <f t="shared" si="88"/>
        <v>5028.8702358844648</v>
      </c>
      <c r="AC900" s="17">
        <f t="shared" si="89"/>
        <v>167.07210085994899</v>
      </c>
      <c r="AD900" s="54" t="s">
        <v>35</v>
      </c>
      <c r="AE900" s="84" t="s">
        <v>1661</v>
      </c>
      <c r="AF900" s="54"/>
      <c r="AG900" s="54"/>
      <c r="AH900" s="54"/>
      <c r="AI900" s="54"/>
      <c r="AJ900" s="82"/>
      <c r="AK900" s="82"/>
      <c r="AL900" s="82"/>
      <c r="AM900" s="82"/>
      <c r="AN900" s="82"/>
      <c r="AO900" s="82"/>
      <c r="AP900" s="82"/>
      <c r="AQ900" s="82"/>
    </row>
    <row r="901" spans="1:43" x14ac:dyDescent="0.2">
      <c r="A901" s="54"/>
      <c r="B901" s="54" t="s">
        <v>38</v>
      </c>
      <c r="C901" s="54" t="s">
        <v>39</v>
      </c>
      <c r="D901" s="54" t="s">
        <v>1662</v>
      </c>
      <c r="E901" s="54" t="s">
        <v>1663</v>
      </c>
      <c r="F901" s="72">
        <v>2022</v>
      </c>
      <c r="G901" s="54"/>
      <c r="H901" s="72">
        <v>0</v>
      </c>
      <c r="I901" s="72">
        <v>16</v>
      </c>
      <c r="J901" s="73">
        <v>0</v>
      </c>
      <c r="K901" s="72">
        <v>0</v>
      </c>
      <c r="L901" s="54"/>
      <c r="M901" s="54"/>
      <c r="N901" s="72">
        <v>8</v>
      </c>
      <c r="O901" s="72"/>
      <c r="P901" s="54"/>
      <c r="Q901" s="104">
        <v>3940</v>
      </c>
      <c r="R901" s="54" t="s">
        <v>42</v>
      </c>
      <c r="S901" s="54">
        <v>2021</v>
      </c>
      <c r="T901" s="54">
        <v>0.79800000000000004</v>
      </c>
      <c r="U901" s="69">
        <f t="shared" si="86"/>
        <v>3144.1200000000003</v>
      </c>
      <c r="V901" s="70">
        <f t="shared" si="87"/>
        <v>196.50750000000002</v>
      </c>
      <c r="W901" s="15">
        <f t="shared" si="90"/>
        <v>0</v>
      </c>
      <c r="X901" s="15">
        <f t="shared" si="91"/>
        <v>0</v>
      </c>
      <c r="Y901" s="15">
        <f t="shared" si="92"/>
        <v>0</v>
      </c>
      <c r="Z901" s="13">
        <f t="shared" si="93"/>
        <v>1</v>
      </c>
      <c r="AA901" s="16">
        <f>VLOOKUP(S901,[1]CPI!$A$2:$D$67,4,0)</f>
        <v>1</v>
      </c>
      <c r="AB901" s="17">
        <f t="shared" si="88"/>
        <v>3144.1200000000003</v>
      </c>
      <c r="AC901" s="17">
        <f t="shared" si="89"/>
        <v>196.50750000000002</v>
      </c>
      <c r="AD901" s="54" t="s">
        <v>43</v>
      </c>
      <c r="AE901" s="46" t="s">
        <v>1664</v>
      </c>
      <c r="AF901" s="84" t="s">
        <v>1665</v>
      </c>
      <c r="AG901" s="85"/>
      <c r="AH901" s="85"/>
      <c r="AI901" s="85"/>
      <c r="AJ901" s="95"/>
      <c r="AK901" s="95"/>
      <c r="AL901" s="82"/>
      <c r="AM901" s="82"/>
      <c r="AN901" s="82"/>
      <c r="AO901" s="82"/>
      <c r="AP901" s="82"/>
      <c r="AQ901" s="82"/>
    </row>
    <row r="902" spans="1:43" x14ac:dyDescent="0.2">
      <c r="A902" s="54"/>
      <c r="B902" s="54" t="s">
        <v>1666</v>
      </c>
      <c r="C902" s="54" t="s">
        <v>1667</v>
      </c>
      <c r="D902" s="54"/>
      <c r="E902" s="54" t="s">
        <v>92</v>
      </c>
      <c r="F902" s="72">
        <v>2005</v>
      </c>
      <c r="G902" s="54">
        <v>2008</v>
      </c>
      <c r="H902" s="72">
        <v>0</v>
      </c>
      <c r="I902" s="72">
        <v>14.5</v>
      </c>
      <c r="J902" s="73">
        <v>0.66</v>
      </c>
      <c r="K902" s="72">
        <v>9.5</v>
      </c>
      <c r="L902" s="54"/>
      <c r="M902" s="54"/>
      <c r="N902" s="72">
        <v>16</v>
      </c>
      <c r="O902" s="72">
        <v>120</v>
      </c>
      <c r="P902" s="54" t="s">
        <v>94</v>
      </c>
      <c r="Q902" s="104">
        <v>25164.727999999999</v>
      </c>
      <c r="R902" s="54" t="s">
        <v>1668</v>
      </c>
      <c r="S902" s="54">
        <v>2006</v>
      </c>
      <c r="T902" s="54">
        <v>6.1499999999999999E-2</v>
      </c>
      <c r="U902" s="69">
        <f t="shared" si="86"/>
        <v>1547.630772</v>
      </c>
      <c r="V902" s="70">
        <f t="shared" si="87"/>
        <v>106.73315668965517</v>
      </c>
      <c r="W902" s="15">
        <f t="shared" si="90"/>
        <v>0</v>
      </c>
      <c r="X902" s="15">
        <f t="shared" si="91"/>
        <v>0</v>
      </c>
      <c r="Y902" s="15">
        <f t="shared" si="92"/>
        <v>0</v>
      </c>
      <c r="Z902" s="13">
        <f t="shared" si="93"/>
        <v>0</v>
      </c>
      <c r="AA902" s="16">
        <f>VLOOKUP(S902,[1]CPI!$A$2:$D$67,4,0)</f>
        <v>1.3440972222222225</v>
      </c>
      <c r="AB902" s="17">
        <f t="shared" si="88"/>
        <v>2080.1662216708337</v>
      </c>
      <c r="AC902" s="17">
        <f t="shared" si="89"/>
        <v>143.45973942557475</v>
      </c>
      <c r="AD902" s="54" t="s">
        <v>73</v>
      </c>
      <c r="AE902" s="46" t="s">
        <v>1669</v>
      </c>
      <c r="AF902" s="76"/>
      <c r="AG902" s="54"/>
      <c r="AH902" s="54"/>
      <c r="AI902" s="54"/>
      <c r="AJ902" s="82"/>
      <c r="AK902" s="82"/>
      <c r="AL902" s="82"/>
      <c r="AM902" s="82"/>
      <c r="AN902" s="82"/>
      <c r="AO902" s="82"/>
      <c r="AP902" s="82"/>
      <c r="AQ902" s="82"/>
    </row>
    <row r="903" spans="1:43" x14ac:dyDescent="0.2">
      <c r="A903" s="54"/>
      <c r="B903" s="54" t="s">
        <v>1666</v>
      </c>
      <c r="C903" s="54" t="s">
        <v>1667</v>
      </c>
      <c r="D903" s="54"/>
      <c r="E903" s="54" t="s">
        <v>1670</v>
      </c>
      <c r="F903" s="72">
        <v>2009</v>
      </c>
      <c r="G903" s="54">
        <v>2018</v>
      </c>
      <c r="H903" s="72">
        <v>0</v>
      </c>
      <c r="I903" s="72">
        <v>16.5</v>
      </c>
      <c r="J903" s="73">
        <v>1</v>
      </c>
      <c r="K903" s="72">
        <v>16.5</v>
      </c>
      <c r="L903" s="54"/>
      <c r="M903" s="54"/>
      <c r="N903" s="72">
        <v>18</v>
      </c>
      <c r="O903" s="72">
        <v>120</v>
      </c>
      <c r="P903" s="54" t="s">
        <v>94</v>
      </c>
      <c r="Q903" s="104">
        <v>1096.2349999999999</v>
      </c>
      <c r="R903" s="54" t="s">
        <v>66</v>
      </c>
      <c r="S903" s="54">
        <v>2012</v>
      </c>
      <c r="T903" s="54">
        <v>2.2000000000000002</v>
      </c>
      <c r="U903" s="69">
        <f t="shared" si="86"/>
        <v>2411.7170000000001</v>
      </c>
      <c r="V903" s="70">
        <f t="shared" si="87"/>
        <v>146.16466666666668</v>
      </c>
      <c r="W903" s="15">
        <f t="shared" si="90"/>
        <v>0</v>
      </c>
      <c r="X903" s="15">
        <f t="shared" si="91"/>
        <v>0</v>
      </c>
      <c r="Y903" s="15">
        <f t="shared" si="92"/>
        <v>0</v>
      </c>
      <c r="Z903" s="13">
        <f t="shared" si="93"/>
        <v>0</v>
      </c>
      <c r="AA903" s="16">
        <f>VLOOKUP(S903,[1]CPI!$A$2:$D$67,4,0)</f>
        <v>1.1802137686524912</v>
      </c>
      <c r="AB903" s="17">
        <f t="shared" si="88"/>
        <v>2846.34160949328</v>
      </c>
      <c r="AC903" s="17">
        <f t="shared" si="89"/>
        <v>172.50555209050182</v>
      </c>
      <c r="AD903" s="54" t="s">
        <v>43</v>
      </c>
      <c r="AE903" s="46" t="s">
        <v>1671</v>
      </c>
      <c r="AF903" s="76"/>
      <c r="AG903" s="54"/>
      <c r="AH903" s="54"/>
      <c r="AI903" s="54"/>
      <c r="AJ903" s="82"/>
      <c r="AK903" s="82"/>
      <c r="AL903" s="82"/>
      <c r="AM903" s="82"/>
      <c r="AN903" s="82"/>
      <c r="AO903" s="82"/>
      <c r="AP903" s="82"/>
      <c r="AQ903" s="82"/>
    </row>
    <row r="904" spans="1:43" x14ac:dyDescent="0.2">
      <c r="A904" s="54"/>
      <c r="B904" s="54" t="s">
        <v>216</v>
      </c>
      <c r="C904" s="54" t="s">
        <v>617</v>
      </c>
      <c r="D904" s="54" t="s">
        <v>618</v>
      </c>
      <c r="E904" s="54" t="s">
        <v>1672</v>
      </c>
      <c r="F904" s="72">
        <v>2020</v>
      </c>
      <c r="G904" s="54">
        <v>2026</v>
      </c>
      <c r="H904" s="72">
        <v>0</v>
      </c>
      <c r="I904" s="72">
        <v>2.1</v>
      </c>
      <c r="J904" s="73">
        <v>1</v>
      </c>
      <c r="K904" s="72">
        <v>2.1</v>
      </c>
      <c r="L904" s="54"/>
      <c r="M904" s="54"/>
      <c r="N904" s="72">
        <v>2</v>
      </c>
      <c r="O904" s="72">
        <v>90</v>
      </c>
      <c r="P904" s="54" t="s">
        <v>94</v>
      </c>
      <c r="Q904" s="104">
        <v>148</v>
      </c>
      <c r="R904" s="54" t="s">
        <v>36</v>
      </c>
      <c r="S904" s="54">
        <v>2021</v>
      </c>
      <c r="T904" s="54">
        <v>1.3</v>
      </c>
      <c r="U904" s="69">
        <f t="shared" si="86"/>
        <v>192.4</v>
      </c>
      <c r="V904" s="70">
        <f t="shared" si="87"/>
        <v>91.61904761904762</v>
      </c>
      <c r="W904" s="15">
        <f t="shared" si="90"/>
        <v>0</v>
      </c>
      <c r="X904" s="15">
        <f t="shared" si="91"/>
        <v>0</v>
      </c>
      <c r="Y904" s="15">
        <f t="shared" si="92"/>
        <v>0</v>
      </c>
      <c r="Z904" s="13">
        <f t="shared" si="93"/>
        <v>0</v>
      </c>
      <c r="AA904" s="16">
        <f>VLOOKUP(S904,[1]CPI!$A$2:$D$67,4,0)</f>
        <v>1</v>
      </c>
      <c r="AB904" s="17">
        <f t="shared" si="88"/>
        <v>192.4</v>
      </c>
      <c r="AC904" s="17">
        <f t="shared" si="89"/>
        <v>91.61904761904762</v>
      </c>
      <c r="AD904" s="54" t="s">
        <v>35</v>
      </c>
      <c r="AE904" s="46" t="s">
        <v>1673</v>
      </c>
      <c r="AF904" s="76"/>
      <c r="AG904" s="54"/>
      <c r="AH904" s="54"/>
      <c r="AI904" s="54"/>
      <c r="AJ904" s="82"/>
      <c r="AK904" s="82"/>
      <c r="AL904" s="82"/>
      <c r="AM904" s="82"/>
      <c r="AN904" s="82"/>
      <c r="AO904" s="82"/>
      <c r="AP904" s="82"/>
      <c r="AQ904" s="82"/>
    </row>
    <row r="905" spans="1:43" x14ac:dyDescent="0.2">
      <c r="A905" s="54"/>
      <c r="B905" s="54" t="s">
        <v>258</v>
      </c>
      <c r="C905" s="54" t="s">
        <v>259</v>
      </c>
      <c r="D905" s="54" t="s">
        <v>308</v>
      </c>
      <c r="E905" s="54" t="s">
        <v>1674</v>
      </c>
      <c r="F905" s="72">
        <v>2002</v>
      </c>
      <c r="G905" s="54">
        <v>2012</v>
      </c>
      <c r="H905" s="72">
        <v>0</v>
      </c>
      <c r="I905" s="72">
        <v>35.5</v>
      </c>
      <c r="J905" s="73">
        <v>1</v>
      </c>
      <c r="K905" s="72">
        <v>35.5</v>
      </c>
      <c r="L905" s="54"/>
      <c r="M905" s="54"/>
      <c r="N905" s="72">
        <v>30</v>
      </c>
      <c r="O905" s="72">
        <v>70</v>
      </c>
      <c r="P905" s="54" t="s">
        <v>50</v>
      </c>
      <c r="Q905" s="104">
        <v>8000</v>
      </c>
      <c r="R905" s="54" t="s">
        <v>261</v>
      </c>
      <c r="S905" s="54">
        <v>2007</v>
      </c>
      <c r="T905" s="54">
        <v>1.1599999999999999</v>
      </c>
      <c r="U905" s="69">
        <f t="shared" si="86"/>
        <v>9280</v>
      </c>
      <c r="V905" s="70">
        <f t="shared" si="87"/>
        <v>261.40845070422534</v>
      </c>
      <c r="W905" s="15">
        <f t="shared" si="90"/>
        <v>0</v>
      </c>
      <c r="X905" s="15">
        <f t="shared" si="91"/>
        <v>0</v>
      </c>
      <c r="Y905" s="15">
        <f t="shared" si="92"/>
        <v>0</v>
      </c>
      <c r="Z905" s="13">
        <f t="shared" si="93"/>
        <v>1</v>
      </c>
      <c r="AA905" s="16">
        <f>VLOOKUP(S905,[1]CPI!$A$2:$D$67,4,0)</f>
        <v>1.3068746322500988</v>
      </c>
      <c r="AB905" s="17">
        <f t="shared" si="88"/>
        <v>12127.796587280916</v>
      </c>
      <c r="AC905" s="17">
        <f t="shared" si="89"/>
        <v>341.6280728811526</v>
      </c>
      <c r="AD905" s="54" t="s">
        <v>43</v>
      </c>
      <c r="AE905" s="46" t="s">
        <v>1675</v>
      </c>
      <c r="AF905" s="76"/>
      <c r="AG905" s="54"/>
      <c r="AH905" s="54"/>
      <c r="AI905" s="54"/>
      <c r="AJ905" s="82"/>
      <c r="AK905" s="82"/>
      <c r="AL905" s="82"/>
      <c r="AM905" s="82"/>
      <c r="AN905" s="82"/>
      <c r="AO905" s="82"/>
      <c r="AP905" s="82"/>
      <c r="AQ905" s="82"/>
    </row>
    <row r="906" spans="1:43" x14ac:dyDescent="0.2">
      <c r="A906" s="54"/>
      <c r="B906" s="54" t="s">
        <v>216</v>
      </c>
      <c r="C906" s="54" t="s">
        <v>228</v>
      </c>
      <c r="D906" s="54" t="s">
        <v>1676</v>
      </c>
      <c r="E906" s="54" t="s">
        <v>1677</v>
      </c>
      <c r="F906" s="72">
        <v>1968</v>
      </c>
      <c r="G906" s="54">
        <v>1974</v>
      </c>
      <c r="H906" s="72">
        <v>0</v>
      </c>
      <c r="I906" s="72">
        <v>1.5</v>
      </c>
      <c r="J906" s="73">
        <v>1</v>
      </c>
      <c r="K906" s="72">
        <v>1.5</v>
      </c>
      <c r="L906" s="54"/>
      <c r="M906" s="54"/>
      <c r="N906" s="72">
        <v>2</v>
      </c>
      <c r="O906" s="72">
        <v>100</v>
      </c>
      <c r="P906" s="54" t="s">
        <v>43</v>
      </c>
      <c r="Q906" s="104">
        <v>120</v>
      </c>
      <c r="R906" s="54" t="s">
        <v>1678</v>
      </c>
      <c r="S906" s="54">
        <v>1971</v>
      </c>
      <c r="T906" s="54">
        <v>0.3836</v>
      </c>
      <c r="U906" s="69">
        <f t="shared" si="86"/>
        <v>46.031999999999996</v>
      </c>
      <c r="V906" s="70">
        <f t="shared" si="87"/>
        <v>30.687999999999999</v>
      </c>
      <c r="W906" s="15">
        <f t="shared" si="90"/>
        <v>0</v>
      </c>
      <c r="X906" s="15">
        <f t="shared" si="91"/>
        <v>0</v>
      </c>
      <c r="Y906" s="15">
        <f t="shared" si="92"/>
        <v>0</v>
      </c>
      <c r="Z906" s="13">
        <f t="shared" si="93"/>
        <v>0</v>
      </c>
      <c r="AA906" s="16">
        <v>6.69</v>
      </c>
      <c r="AB906" s="17">
        <f t="shared" si="88"/>
        <v>307.95407999999998</v>
      </c>
      <c r="AC906" s="17">
        <f t="shared" si="89"/>
        <v>205.30271999999999</v>
      </c>
      <c r="AD906" s="54" t="s">
        <v>43</v>
      </c>
      <c r="AE906" s="46" t="s">
        <v>1679</v>
      </c>
      <c r="AF906" s="76"/>
      <c r="AG906" s="54"/>
      <c r="AH906" s="54"/>
      <c r="AI906" s="54"/>
      <c r="AJ906" s="82"/>
      <c r="AK906" s="82"/>
      <c r="AL906" s="82"/>
      <c r="AM906" s="82"/>
      <c r="AN906" s="82"/>
      <c r="AO906" s="82"/>
      <c r="AP906" s="82"/>
      <c r="AQ906" s="82"/>
    </row>
    <row r="907" spans="1:43" x14ac:dyDescent="0.2">
      <c r="A907" s="54"/>
      <c r="B907" s="54" t="s">
        <v>216</v>
      </c>
      <c r="C907" s="54" t="s">
        <v>228</v>
      </c>
      <c r="D907" s="54" t="s">
        <v>1680</v>
      </c>
      <c r="E907" s="54" t="s">
        <v>1681</v>
      </c>
      <c r="F907" s="72">
        <v>1978</v>
      </c>
      <c r="G907" s="54">
        <v>1984</v>
      </c>
      <c r="H907" s="72">
        <v>0</v>
      </c>
      <c r="I907" s="72">
        <v>4.9000000000000004</v>
      </c>
      <c r="J907" s="73">
        <v>1</v>
      </c>
      <c r="K907" s="72">
        <v>4.9000000000000004</v>
      </c>
      <c r="L907" s="54"/>
      <c r="M907" s="54"/>
      <c r="N907" s="72">
        <v>5</v>
      </c>
      <c r="O907" s="72">
        <v>100</v>
      </c>
      <c r="P907" s="54" t="s">
        <v>43</v>
      </c>
      <c r="Q907" s="104">
        <v>680</v>
      </c>
      <c r="R907" s="54" t="s">
        <v>1678</v>
      </c>
      <c r="S907" s="54">
        <v>1981</v>
      </c>
      <c r="T907" s="54">
        <v>0.52510000000000001</v>
      </c>
      <c r="U907" s="69">
        <f t="shared" si="86"/>
        <v>357.06799999999998</v>
      </c>
      <c r="V907" s="70">
        <f t="shared" si="87"/>
        <v>72.871020408163261</v>
      </c>
      <c r="W907" s="15">
        <f t="shared" si="90"/>
        <v>0</v>
      </c>
      <c r="X907" s="15">
        <f t="shared" si="91"/>
        <v>0</v>
      </c>
      <c r="Y907" s="15">
        <f t="shared" si="92"/>
        <v>0</v>
      </c>
      <c r="Z907" s="13">
        <f t="shared" si="93"/>
        <v>0</v>
      </c>
      <c r="AA907" s="16">
        <v>2.98</v>
      </c>
      <c r="AB907" s="17">
        <f t="shared" si="88"/>
        <v>1064.0626399999999</v>
      </c>
      <c r="AC907" s="17">
        <f t="shared" si="89"/>
        <v>217.15564081632652</v>
      </c>
      <c r="AD907" s="54" t="s">
        <v>43</v>
      </c>
      <c r="AE907" s="46" t="s">
        <v>1682</v>
      </c>
      <c r="AF907" s="76"/>
      <c r="AG907" s="54"/>
      <c r="AH907" s="54"/>
      <c r="AI907" s="54"/>
      <c r="AJ907" s="82"/>
      <c r="AK907" s="82"/>
      <c r="AL907" s="82"/>
      <c r="AM907" s="82"/>
      <c r="AN907" s="82"/>
      <c r="AO907" s="82"/>
      <c r="AP907" s="82"/>
      <c r="AQ907" s="82"/>
    </row>
    <row r="908" spans="1:43" x14ac:dyDescent="0.2">
      <c r="A908" s="54"/>
      <c r="B908" s="54" t="s">
        <v>216</v>
      </c>
      <c r="C908" s="54" t="s">
        <v>1217</v>
      </c>
      <c r="D908" s="54"/>
      <c r="E908" s="54" t="s">
        <v>1683</v>
      </c>
      <c r="F908" s="72">
        <v>1965</v>
      </c>
      <c r="G908" s="54">
        <v>1971</v>
      </c>
      <c r="H908" s="72">
        <v>1</v>
      </c>
      <c r="I908" s="72">
        <v>11.4</v>
      </c>
      <c r="J908" s="73">
        <v>0.36</v>
      </c>
      <c r="K908" s="72">
        <v>4.0999999999999996</v>
      </c>
      <c r="L908" s="54"/>
      <c r="M908" s="54"/>
      <c r="N908" s="72">
        <v>5</v>
      </c>
      <c r="O908" s="72">
        <v>200</v>
      </c>
      <c r="P908" s="54" t="s">
        <v>94</v>
      </c>
      <c r="Q908" s="104">
        <v>900</v>
      </c>
      <c r="R908" s="54" t="s">
        <v>1678</v>
      </c>
      <c r="S908" s="54">
        <v>1968</v>
      </c>
      <c r="T908" s="54">
        <v>0.35320000000000001</v>
      </c>
      <c r="U908" s="69">
        <f t="shared" si="86"/>
        <v>317.88</v>
      </c>
      <c r="V908" s="70">
        <f t="shared" si="87"/>
        <v>27.884210526315787</v>
      </c>
      <c r="W908" s="15">
        <f t="shared" si="90"/>
        <v>0</v>
      </c>
      <c r="X908" s="15">
        <f t="shared" si="91"/>
        <v>0</v>
      </c>
      <c r="Y908" s="15">
        <f t="shared" si="92"/>
        <v>0</v>
      </c>
      <c r="Z908" s="13">
        <f t="shared" si="93"/>
        <v>0</v>
      </c>
      <c r="AA908" s="16">
        <v>7.79</v>
      </c>
      <c r="AB908" s="17">
        <f t="shared" si="88"/>
        <v>2476.2851999999998</v>
      </c>
      <c r="AC908" s="17">
        <f t="shared" si="89"/>
        <v>217.21799999999999</v>
      </c>
      <c r="AD908" s="54" t="s">
        <v>43</v>
      </c>
      <c r="AE908" s="46" t="s">
        <v>1684</v>
      </c>
      <c r="AF908" s="76"/>
      <c r="AG908" s="54"/>
      <c r="AH908" s="54"/>
      <c r="AI908" s="54"/>
      <c r="AJ908" s="82"/>
      <c r="AK908" s="82"/>
      <c r="AL908" s="82"/>
      <c r="AM908" s="82"/>
      <c r="AN908" s="82"/>
      <c r="AO908" s="82"/>
      <c r="AP908" s="82"/>
      <c r="AQ908" s="82"/>
    </row>
    <row r="909" spans="1:43" x14ac:dyDescent="0.2">
      <c r="A909" s="54"/>
      <c r="B909" s="54" t="s">
        <v>63</v>
      </c>
      <c r="C909" s="54" t="s">
        <v>1685</v>
      </c>
      <c r="D909" s="54" t="s">
        <v>481</v>
      </c>
      <c r="E909" s="54" t="s">
        <v>481</v>
      </c>
      <c r="F909" s="72">
        <v>1987</v>
      </c>
      <c r="G909" s="54">
        <v>1993</v>
      </c>
      <c r="H909" s="72">
        <v>0</v>
      </c>
      <c r="I909" s="72">
        <v>14.4</v>
      </c>
      <c r="J909" s="73">
        <v>0</v>
      </c>
      <c r="K909" s="72">
        <v>0</v>
      </c>
      <c r="L909" s="54">
        <v>4</v>
      </c>
      <c r="M909" s="54">
        <v>10.4</v>
      </c>
      <c r="N909" s="72">
        <v>7</v>
      </c>
      <c r="O909" s="72">
        <v>120</v>
      </c>
      <c r="P909" s="54" t="s">
        <v>94</v>
      </c>
      <c r="Q909" s="104">
        <v>500</v>
      </c>
      <c r="R909" s="54" t="s">
        <v>66</v>
      </c>
      <c r="S909" s="54">
        <v>1990</v>
      </c>
      <c r="T909" s="54">
        <v>1</v>
      </c>
      <c r="U909" s="69">
        <f t="shared" si="86"/>
        <v>500</v>
      </c>
      <c r="V909" s="70">
        <f t="shared" si="87"/>
        <v>34.722222222222221</v>
      </c>
      <c r="W909" s="15">
        <f t="shared" si="90"/>
        <v>0</v>
      </c>
      <c r="X909" s="15">
        <f t="shared" si="91"/>
        <v>0</v>
      </c>
      <c r="Y909" s="15">
        <f t="shared" si="92"/>
        <v>0</v>
      </c>
      <c r="Z909" s="13">
        <f t="shared" si="93"/>
        <v>1</v>
      </c>
      <c r="AA909" s="16">
        <f>VLOOKUP(S909,[1]CPI!$A$2:$D$67,4,0)</f>
        <v>2.0732211170619745</v>
      </c>
      <c r="AB909" s="17">
        <f t="shared" si="88"/>
        <v>1036.6105585309872</v>
      </c>
      <c r="AC909" s="17">
        <f t="shared" si="89"/>
        <v>71.986844342429663</v>
      </c>
      <c r="AD909" s="54" t="s">
        <v>73</v>
      </c>
      <c r="AE909" s="46" t="s">
        <v>1686</v>
      </c>
      <c r="AF909" s="76"/>
      <c r="AG909" s="54"/>
      <c r="AH909" s="54"/>
      <c r="AI909" s="54"/>
      <c r="AJ909" s="82"/>
      <c r="AK909" s="82"/>
      <c r="AL909" s="82"/>
      <c r="AM909" s="82"/>
      <c r="AN909" s="82"/>
      <c r="AO909" s="82"/>
      <c r="AP909" s="82"/>
      <c r="AQ909" s="82"/>
    </row>
    <row r="910" spans="1:43" x14ac:dyDescent="0.2">
      <c r="A910" s="54"/>
      <c r="B910" s="54" t="s">
        <v>63</v>
      </c>
      <c r="C910" s="54" t="s">
        <v>1687</v>
      </c>
      <c r="D910" s="54" t="s">
        <v>1688</v>
      </c>
      <c r="E910" s="54" t="s">
        <v>1689</v>
      </c>
      <c r="F910" s="72">
        <v>1976</v>
      </c>
      <c r="G910" s="54">
        <v>1984</v>
      </c>
      <c r="H910" s="72">
        <v>1</v>
      </c>
      <c r="I910" s="72">
        <v>2.9</v>
      </c>
      <c r="J910" s="73">
        <v>0.69</v>
      </c>
      <c r="K910" s="72">
        <v>2</v>
      </c>
      <c r="L910" s="54"/>
      <c r="M910" s="54"/>
      <c r="N910" s="72">
        <v>1</v>
      </c>
      <c r="O910" s="72">
        <v>350</v>
      </c>
      <c r="P910" s="54" t="s">
        <v>94</v>
      </c>
      <c r="Q910" s="104">
        <v>330</v>
      </c>
      <c r="R910" s="54" t="s">
        <v>66</v>
      </c>
      <c r="S910" s="54">
        <v>1980</v>
      </c>
      <c r="T910" s="54">
        <v>1</v>
      </c>
      <c r="U910" s="69">
        <f t="shared" si="86"/>
        <v>330</v>
      </c>
      <c r="V910" s="70">
        <f t="shared" si="87"/>
        <v>113.79310344827587</v>
      </c>
      <c r="W910" s="15">
        <f t="shared" si="90"/>
        <v>0</v>
      </c>
      <c r="X910" s="15">
        <f t="shared" si="91"/>
        <v>0</v>
      </c>
      <c r="Y910" s="15">
        <f t="shared" si="92"/>
        <v>0</v>
      </c>
      <c r="Z910" s="13">
        <v>1</v>
      </c>
      <c r="AA910" s="16">
        <f>VLOOKUP(S910,[1]CPI!$A$2:$D$67,4,0)</f>
        <v>3.2884708737864079</v>
      </c>
      <c r="AB910" s="17">
        <f t="shared" si="88"/>
        <v>1085.1953883495146</v>
      </c>
      <c r="AC910" s="17">
        <f t="shared" si="89"/>
        <v>374.20530632741884</v>
      </c>
      <c r="AD910" s="54" t="s">
        <v>43</v>
      </c>
      <c r="AE910" s="46" t="s">
        <v>1690</v>
      </c>
      <c r="AF910" s="76"/>
      <c r="AG910" s="54"/>
      <c r="AH910" s="54"/>
      <c r="AI910" s="54"/>
      <c r="AJ910" s="82"/>
      <c r="AK910" s="82"/>
      <c r="AL910" s="82"/>
      <c r="AM910" s="82"/>
      <c r="AN910" s="82"/>
      <c r="AO910" s="82"/>
      <c r="AP910" s="82"/>
      <c r="AQ910" s="82"/>
    </row>
    <row r="911" spans="1:43" x14ac:dyDescent="0.2">
      <c r="A911" s="54"/>
      <c r="B911" s="54" t="s">
        <v>1066</v>
      </c>
      <c r="C911" s="54" t="s">
        <v>1067</v>
      </c>
      <c r="D911" s="54" t="s">
        <v>92</v>
      </c>
      <c r="E911" s="54" t="s">
        <v>679</v>
      </c>
      <c r="F911" s="72">
        <v>1982</v>
      </c>
      <c r="G911" s="72">
        <v>1987</v>
      </c>
      <c r="H911" s="72">
        <v>0</v>
      </c>
      <c r="I911" s="72">
        <v>28</v>
      </c>
      <c r="J911" s="148"/>
      <c r="K911" s="72"/>
      <c r="L911" s="72"/>
      <c r="M911" s="72"/>
      <c r="N911" s="72">
        <v>22</v>
      </c>
      <c r="O911" s="82"/>
      <c r="P911" s="152" t="s">
        <v>35</v>
      </c>
      <c r="Q911" s="104"/>
      <c r="R911" s="54"/>
      <c r="S911" s="54"/>
      <c r="T911" s="82"/>
      <c r="U911" s="153"/>
      <c r="V911" s="154"/>
      <c r="W911" s="72"/>
      <c r="X911" s="82"/>
      <c r="Y911" s="82"/>
      <c r="Z911" s="82"/>
      <c r="AD911" s="54"/>
      <c r="AE911" s="76" t="s">
        <v>1691</v>
      </c>
      <c r="AF911" s="76"/>
      <c r="AG911" s="82"/>
      <c r="AH911" s="82"/>
      <c r="AI911" s="82"/>
      <c r="AJ911" s="82"/>
      <c r="AK911" s="82"/>
      <c r="AL911" s="82"/>
      <c r="AM911" s="82"/>
      <c r="AN911" s="82"/>
      <c r="AO911" s="82"/>
      <c r="AP911" s="82"/>
      <c r="AQ911" s="82"/>
    </row>
    <row r="912" spans="1:43" x14ac:dyDescent="0.2">
      <c r="A912" s="54"/>
      <c r="B912" s="54" t="s">
        <v>1066</v>
      </c>
      <c r="C912" s="54" t="s">
        <v>1067</v>
      </c>
      <c r="D912" s="54" t="s">
        <v>92</v>
      </c>
      <c r="E912" s="54" t="s">
        <v>761</v>
      </c>
      <c r="F912" s="72">
        <v>1982</v>
      </c>
      <c r="G912" s="72">
        <v>1989</v>
      </c>
      <c r="H912" s="72">
        <v>0</v>
      </c>
      <c r="I912" s="72">
        <v>13.5</v>
      </c>
      <c r="J912" s="148"/>
      <c r="K912" s="72"/>
      <c r="L912" s="72"/>
      <c r="M912" s="72"/>
      <c r="N912" s="72">
        <v>12</v>
      </c>
      <c r="O912" s="82"/>
      <c r="P912" s="152" t="s">
        <v>35</v>
      </c>
      <c r="Q912" s="104"/>
      <c r="R912" s="54"/>
      <c r="S912" s="54"/>
      <c r="T912" s="82"/>
      <c r="U912" s="153"/>
      <c r="V912" s="154"/>
      <c r="W912" s="72"/>
      <c r="X912" s="82"/>
      <c r="Y912" s="82"/>
      <c r="Z912" s="82"/>
      <c r="AD912" s="54"/>
      <c r="AE912" s="76" t="s">
        <v>1691</v>
      </c>
      <c r="AF912" s="76"/>
      <c r="AG912" s="82"/>
      <c r="AH912" s="82"/>
      <c r="AI912" s="82"/>
      <c r="AJ912" s="82"/>
      <c r="AK912" s="82"/>
      <c r="AL912" s="82"/>
      <c r="AM912" s="82"/>
      <c r="AN912" s="82"/>
      <c r="AO912" s="82"/>
      <c r="AP912" s="82"/>
      <c r="AQ912" s="82"/>
    </row>
    <row r="913" spans="1:43" x14ac:dyDescent="0.2">
      <c r="A913" s="54"/>
      <c r="B913" s="54" t="s">
        <v>1066</v>
      </c>
      <c r="C913" s="54" t="s">
        <v>1067</v>
      </c>
      <c r="D913" s="54" t="s">
        <v>92</v>
      </c>
      <c r="E913" s="54" t="s">
        <v>944</v>
      </c>
      <c r="F913" s="72">
        <v>1982</v>
      </c>
      <c r="G913" s="72">
        <v>1999</v>
      </c>
      <c r="H913" s="72">
        <v>0</v>
      </c>
      <c r="I913" s="72">
        <v>1.36</v>
      </c>
      <c r="J913" s="148">
        <v>0</v>
      </c>
      <c r="K913" s="72"/>
      <c r="L913" s="72"/>
      <c r="M913" s="72"/>
      <c r="N913" s="72">
        <v>1</v>
      </c>
      <c r="O913" s="82"/>
      <c r="P913" s="152" t="s">
        <v>35</v>
      </c>
      <c r="Q913" s="104"/>
      <c r="R913" s="54"/>
      <c r="S913" s="54"/>
      <c r="T913" s="82"/>
      <c r="U913" s="153"/>
      <c r="V913" s="154"/>
      <c r="W913" s="72"/>
      <c r="X913" s="82"/>
      <c r="Y913" s="82"/>
      <c r="Z913" s="82"/>
      <c r="AD913" s="54"/>
      <c r="AE913" s="76" t="s">
        <v>1691</v>
      </c>
      <c r="AF913" s="76"/>
      <c r="AG913" s="82"/>
      <c r="AH913" s="82"/>
      <c r="AI913" s="82"/>
      <c r="AJ913" s="82"/>
      <c r="AK913" s="82"/>
      <c r="AL913" s="82"/>
      <c r="AM913" s="82"/>
      <c r="AN913" s="82"/>
      <c r="AO913" s="82"/>
      <c r="AP913" s="82"/>
      <c r="AQ913" s="82"/>
    </row>
    <row r="914" spans="1:43" x14ac:dyDescent="0.2">
      <c r="A914" s="54"/>
      <c r="B914" s="155" t="s">
        <v>1066</v>
      </c>
      <c r="C914" s="155" t="s">
        <v>1067</v>
      </c>
      <c r="D914" s="155" t="s">
        <v>92</v>
      </c>
      <c r="E914" s="155" t="s">
        <v>1692</v>
      </c>
      <c r="F914" s="156">
        <v>1982</v>
      </c>
      <c r="G914" s="156">
        <v>1999</v>
      </c>
      <c r="H914" s="156">
        <v>0</v>
      </c>
      <c r="I914" s="156">
        <v>42.86</v>
      </c>
      <c r="J914" s="157">
        <v>0.10970000000000001</v>
      </c>
      <c r="K914" s="156">
        <v>4.7</v>
      </c>
      <c r="L914" s="156">
        <v>0</v>
      </c>
      <c r="M914" s="156">
        <v>38.159999999999997</v>
      </c>
      <c r="N914" s="156">
        <v>35</v>
      </c>
      <c r="O914" s="82"/>
      <c r="P914" s="158" t="s">
        <v>35</v>
      </c>
      <c r="Q914" s="159"/>
      <c r="R914" s="155"/>
      <c r="S914" s="155"/>
      <c r="T914" s="82"/>
      <c r="U914" s="153"/>
      <c r="V914" s="154"/>
      <c r="W914" s="156"/>
      <c r="X914" s="82"/>
      <c r="Y914" s="82"/>
      <c r="Z914" s="82"/>
      <c r="AD914" s="155"/>
      <c r="AE914" s="76" t="s">
        <v>1691</v>
      </c>
      <c r="AF914" s="76"/>
      <c r="AG914" s="82"/>
      <c r="AH914" s="82"/>
      <c r="AI914" s="82"/>
      <c r="AJ914" s="82"/>
      <c r="AK914" s="82"/>
      <c r="AL914" s="82"/>
      <c r="AM914" s="82"/>
      <c r="AN914" s="82"/>
      <c r="AO914" s="82"/>
      <c r="AP914" s="82"/>
      <c r="AQ914" s="82"/>
    </row>
    <row r="915" spans="1:43" x14ac:dyDescent="0.2">
      <c r="A915" s="54"/>
      <c r="B915" s="54" t="s">
        <v>1066</v>
      </c>
      <c r="C915" s="54" t="s">
        <v>1067</v>
      </c>
      <c r="D915" s="54" t="s">
        <v>99</v>
      </c>
      <c r="E915" s="54" t="s">
        <v>698</v>
      </c>
      <c r="F915" s="72">
        <v>1987</v>
      </c>
      <c r="G915" s="72">
        <v>1996</v>
      </c>
      <c r="H915" s="72">
        <v>0</v>
      </c>
      <c r="I915" s="72">
        <v>8</v>
      </c>
      <c r="J915" s="148">
        <v>1</v>
      </c>
      <c r="K915" s="72">
        <v>8</v>
      </c>
      <c r="L915" s="72">
        <v>0</v>
      </c>
      <c r="M915" s="72">
        <v>0</v>
      </c>
      <c r="N915" s="72">
        <v>8</v>
      </c>
      <c r="O915" s="82"/>
      <c r="P915" s="152" t="s">
        <v>35</v>
      </c>
      <c r="Q915" s="104"/>
      <c r="R915" s="54"/>
      <c r="S915" s="54"/>
      <c r="T915" s="82"/>
      <c r="U915" s="153"/>
      <c r="V915" s="154"/>
      <c r="W915" s="72"/>
      <c r="X915" s="82"/>
      <c r="Y915" s="82"/>
      <c r="Z915" s="82"/>
      <c r="AD915" s="54"/>
      <c r="AE915" s="76" t="s">
        <v>1693</v>
      </c>
      <c r="AF915" s="76"/>
      <c r="AG915" s="82"/>
      <c r="AH915" s="82"/>
      <c r="AI915" s="82"/>
      <c r="AJ915" s="82"/>
      <c r="AK915" s="82"/>
      <c r="AL915" s="82"/>
      <c r="AM915" s="82"/>
      <c r="AN915" s="82"/>
      <c r="AO915" s="82"/>
      <c r="AP915" s="82"/>
      <c r="AQ915" s="82"/>
    </row>
    <row r="916" spans="1:43" x14ac:dyDescent="0.2">
      <c r="A916" s="54"/>
      <c r="B916" s="54" t="s">
        <v>1066</v>
      </c>
      <c r="C916" s="54" t="s">
        <v>1067</v>
      </c>
      <c r="D916" s="54" t="s">
        <v>99</v>
      </c>
      <c r="E916" s="54" t="s">
        <v>862</v>
      </c>
      <c r="F916" s="72">
        <v>1987</v>
      </c>
      <c r="G916" s="72">
        <v>1997</v>
      </c>
      <c r="H916" s="72">
        <v>0</v>
      </c>
      <c r="I916" s="72">
        <v>3</v>
      </c>
      <c r="J916" s="148">
        <v>1</v>
      </c>
      <c r="K916" s="72">
        <v>3</v>
      </c>
      <c r="L916" s="72">
        <v>0</v>
      </c>
      <c r="M916" s="72">
        <v>0</v>
      </c>
      <c r="N916" s="72">
        <v>3</v>
      </c>
      <c r="O916" s="82"/>
      <c r="P916" s="152" t="s">
        <v>35</v>
      </c>
      <c r="Q916" s="104"/>
      <c r="R916" s="54"/>
      <c r="S916" s="54"/>
      <c r="T916" s="82"/>
      <c r="U916" s="153"/>
      <c r="V916" s="154"/>
      <c r="W916" s="72"/>
      <c r="X916" s="82"/>
      <c r="Y916" s="82"/>
      <c r="Z916" s="82"/>
      <c r="AD916" s="54"/>
      <c r="AE916" s="76" t="s">
        <v>1693</v>
      </c>
      <c r="AF916" s="76"/>
      <c r="AG916" s="82"/>
      <c r="AH916" s="82"/>
      <c r="AI916" s="82"/>
      <c r="AJ916" s="82"/>
      <c r="AK916" s="82"/>
      <c r="AL916" s="82"/>
      <c r="AM916" s="82"/>
      <c r="AN916" s="82"/>
      <c r="AO916" s="82"/>
      <c r="AP916" s="82"/>
      <c r="AQ916" s="82"/>
    </row>
    <row r="917" spans="1:43" x14ac:dyDescent="0.2">
      <c r="A917" s="54"/>
      <c r="B917" s="54" t="s">
        <v>1066</v>
      </c>
      <c r="C917" s="54" t="s">
        <v>1067</v>
      </c>
      <c r="D917" s="54" t="s">
        <v>99</v>
      </c>
      <c r="E917" s="54" t="s">
        <v>961</v>
      </c>
      <c r="F917" s="72">
        <v>1987</v>
      </c>
      <c r="G917" s="72">
        <v>1999</v>
      </c>
      <c r="H917" s="72">
        <v>0</v>
      </c>
      <c r="I917" s="72">
        <v>5.5</v>
      </c>
      <c r="J917" s="148">
        <v>0.75</v>
      </c>
      <c r="K917" s="72">
        <v>4.0999999999999996</v>
      </c>
      <c r="L917" s="148" t="s">
        <v>1694</v>
      </c>
      <c r="M917" s="148" t="s">
        <v>1694</v>
      </c>
      <c r="N917" s="72">
        <v>4</v>
      </c>
      <c r="O917" s="82"/>
      <c r="P917" s="152" t="s">
        <v>35</v>
      </c>
      <c r="Q917" s="104"/>
      <c r="R917" s="54"/>
      <c r="S917" s="54"/>
      <c r="T917" s="82"/>
      <c r="U917" s="153"/>
      <c r="V917" s="154"/>
      <c r="W917" s="72"/>
      <c r="X917" s="82"/>
      <c r="Y917" s="82"/>
      <c r="Z917" s="82"/>
      <c r="AD917" s="54"/>
      <c r="AE917" s="76" t="s">
        <v>1693</v>
      </c>
      <c r="AF917" s="76"/>
      <c r="AG917" s="82"/>
      <c r="AH917" s="82"/>
      <c r="AI917" s="82"/>
      <c r="AJ917" s="82"/>
      <c r="AK917" s="82"/>
      <c r="AL917" s="82"/>
      <c r="AM917" s="82"/>
      <c r="AN917" s="82"/>
      <c r="AO917" s="82"/>
      <c r="AP917" s="82"/>
      <c r="AQ917" s="82"/>
    </row>
    <row r="918" spans="1:43" x14ac:dyDescent="0.2">
      <c r="A918" s="54"/>
      <c r="B918" s="54" t="s">
        <v>1066</v>
      </c>
      <c r="C918" s="54" t="s">
        <v>1067</v>
      </c>
      <c r="D918" s="54" t="s">
        <v>99</v>
      </c>
      <c r="E918" s="54" t="s">
        <v>1695</v>
      </c>
      <c r="F918" s="72">
        <v>1987</v>
      </c>
      <c r="G918" s="72">
        <v>2000</v>
      </c>
      <c r="H918" s="72">
        <v>0</v>
      </c>
      <c r="I918" s="72">
        <v>2.7</v>
      </c>
      <c r="J918" s="148">
        <v>0</v>
      </c>
      <c r="K918" s="72">
        <v>0</v>
      </c>
      <c r="L918" s="148" t="s">
        <v>1694</v>
      </c>
      <c r="M918" s="148" t="s">
        <v>1694</v>
      </c>
      <c r="N918" s="72">
        <v>3</v>
      </c>
      <c r="O918" s="82"/>
      <c r="P918" s="152" t="s">
        <v>35</v>
      </c>
      <c r="Q918" s="104"/>
      <c r="R918" s="54"/>
      <c r="S918" s="54"/>
      <c r="T918" s="82"/>
      <c r="U918" s="153"/>
      <c r="V918" s="154"/>
      <c r="W918" s="72"/>
      <c r="X918" s="82"/>
      <c r="Y918" s="82"/>
      <c r="Z918" s="82"/>
      <c r="AD918" s="54"/>
      <c r="AE918" s="76" t="s">
        <v>1693</v>
      </c>
      <c r="AF918" s="76"/>
      <c r="AG918" s="82"/>
      <c r="AH918" s="82"/>
      <c r="AI918" s="82"/>
      <c r="AJ918" s="82"/>
      <c r="AK918" s="82"/>
      <c r="AL918" s="82"/>
      <c r="AM918" s="82"/>
      <c r="AN918" s="82"/>
      <c r="AO918" s="82"/>
      <c r="AP918" s="82"/>
      <c r="AQ918" s="82"/>
    </row>
    <row r="919" spans="1:43" x14ac:dyDescent="0.2">
      <c r="A919" s="54"/>
      <c r="B919" s="54" t="s">
        <v>1066</v>
      </c>
      <c r="C919" s="54" t="s">
        <v>1067</v>
      </c>
      <c r="D919" s="54" t="s">
        <v>99</v>
      </c>
      <c r="E919" s="54" t="s">
        <v>1696</v>
      </c>
      <c r="F919" s="72">
        <v>1987</v>
      </c>
      <c r="G919" s="72">
        <v>2005</v>
      </c>
      <c r="H919" s="72">
        <v>0</v>
      </c>
      <c r="I919" s="72">
        <v>2.6</v>
      </c>
      <c r="J919" s="148">
        <v>0</v>
      </c>
      <c r="K919" s="72">
        <v>0</v>
      </c>
      <c r="L919" s="148" t="s">
        <v>1694</v>
      </c>
      <c r="M919" s="148" t="s">
        <v>1694</v>
      </c>
      <c r="N919" s="72">
        <v>2</v>
      </c>
      <c r="O919" s="82"/>
      <c r="P919" s="152" t="s">
        <v>35</v>
      </c>
      <c r="Q919" s="104"/>
      <c r="R919" s="54"/>
      <c r="S919" s="54"/>
      <c r="T919" s="82"/>
      <c r="U919" s="153"/>
      <c r="V919" s="154"/>
      <c r="W919" s="72"/>
      <c r="X919" s="82"/>
      <c r="Y919" s="82"/>
      <c r="Z919" s="82"/>
      <c r="AD919" s="54"/>
      <c r="AE919" s="76" t="s">
        <v>1693</v>
      </c>
      <c r="AF919" s="76"/>
      <c r="AG919" s="82"/>
      <c r="AH919" s="82"/>
      <c r="AI919" s="82"/>
      <c r="AJ919" s="82"/>
      <c r="AK919" s="82"/>
      <c r="AL919" s="82"/>
      <c r="AM919" s="82"/>
      <c r="AN919" s="82"/>
      <c r="AO919" s="82"/>
      <c r="AP919" s="82"/>
      <c r="AQ919" s="82"/>
    </row>
    <row r="920" spans="1:43" x14ac:dyDescent="0.2">
      <c r="A920" s="54"/>
      <c r="B920" s="155" t="s">
        <v>1066</v>
      </c>
      <c r="C920" s="155" t="s">
        <v>1067</v>
      </c>
      <c r="D920" s="155" t="s">
        <v>99</v>
      </c>
      <c r="E920" s="155" t="s">
        <v>1697</v>
      </c>
      <c r="F920" s="156">
        <v>1987</v>
      </c>
      <c r="G920" s="156">
        <v>2005</v>
      </c>
      <c r="H920" s="156">
        <v>0</v>
      </c>
      <c r="I920" s="156">
        <v>21.8</v>
      </c>
      <c r="J920" s="157" t="s">
        <v>1694</v>
      </c>
      <c r="K920" s="156">
        <v>19.8</v>
      </c>
      <c r="L920" s="157" t="s">
        <v>1694</v>
      </c>
      <c r="M920" s="157" t="s">
        <v>1694</v>
      </c>
      <c r="N920" s="156">
        <v>20</v>
      </c>
      <c r="O920" s="82"/>
      <c r="P920" s="158" t="s">
        <v>35</v>
      </c>
      <c r="Q920" s="159"/>
      <c r="R920" s="155"/>
      <c r="S920" s="155"/>
      <c r="T920" s="82"/>
      <c r="U920" s="153"/>
      <c r="V920" s="154"/>
      <c r="W920" s="156"/>
      <c r="X920" s="82"/>
      <c r="Y920" s="82"/>
      <c r="Z920" s="82"/>
      <c r="AD920" s="155"/>
      <c r="AE920" s="76" t="s">
        <v>1693</v>
      </c>
      <c r="AF920" s="76"/>
      <c r="AG920" s="82"/>
      <c r="AH920" s="82"/>
      <c r="AI920" s="82"/>
      <c r="AJ920" s="82"/>
      <c r="AK920" s="82"/>
      <c r="AL920" s="82"/>
      <c r="AM920" s="82"/>
      <c r="AN920" s="82"/>
      <c r="AO920" s="82"/>
      <c r="AP920" s="82"/>
      <c r="AQ920" s="82"/>
    </row>
    <row r="921" spans="1:43" x14ac:dyDescent="0.2">
      <c r="A921" s="54"/>
      <c r="B921" s="54" t="s">
        <v>1066</v>
      </c>
      <c r="C921" s="54" t="s">
        <v>1067</v>
      </c>
      <c r="D921" s="54" t="s">
        <v>103</v>
      </c>
      <c r="E921" s="54" t="s">
        <v>907</v>
      </c>
      <c r="F921" s="72">
        <v>2007</v>
      </c>
      <c r="G921" s="72">
        <v>2012</v>
      </c>
      <c r="H921" s="72">
        <v>0</v>
      </c>
      <c r="I921" s="72">
        <v>4.4000000000000004</v>
      </c>
      <c r="J921" s="148">
        <v>1</v>
      </c>
      <c r="K921" s="72">
        <v>4.4000000000000004</v>
      </c>
      <c r="L921" s="72">
        <v>0</v>
      </c>
      <c r="M921" s="72">
        <v>0</v>
      </c>
      <c r="N921" s="72">
        <v>5</v>
      </c>
      <c r="O921" s="82"/>
      <c r="P921" s="152" t="s">
        <v>35</v>
      </c>
      <c r="Q921" s="104"/>
      <c r="R921" s="54"/>
      <c r="S921" s="54"/>
      <c r="T921" s="82"/>
      <c r="U921" s="153"/>
      <c r="V921" s="154"/>
      <c r="W921" s="72"/>
      <c r="X921" s="82"/>
      <c r="Y921" s="82"/>
      <c r="Z921" s="82"/>
      <c r="AD921" s="54"/>
      <c r="AE921" s="76" t="s">
        <v>1698</v>
      </c>
      <c r="AF921" s="76"/>
      <c r="AG921" s="82"/>
      <c r="AH921" s="82"/>
      <c r="AI921" s="82"/>
      <c r="AJ921" s="82"/>
      <c r="AK921" s="82"/>
      <c r="AL921" s="82"/>
      <c r="AM921" s="82"/>
      <c r="AN921" s="82"/>
      <c r="AO921" s="82"/>
      <c r="AP921" s="82"/>
      <c r="AQ921" s="82"/>
    </row>
    <row r="922" spans="1:43" x14ac:dyDescent="0.2">
      <c r="A922" s="54"/>
      <c r="B922" s="54" t="s">
        <v>1066</v>
      </c>
      <c r="C922" s="54" t="s">
        <v>1067</v>
      </c>
      <c r="D922" s="54" t="s">
        <v>103</v>
      </c>
      <c r="E922" s="54" t="s">
        <v>730</v>
      </c>
      <c r="F922" s="72">
        <v>2009</v>
      </c>
      <c r="G922" s="72">
        <v>2014</v>
      </c>
      <c r="H922" s="72">
        <v>0</v>
      </c>
      <c r="I922" s="72">
        <v>7.7</v>
      </c>
      <c r="J922" s="148">
        <v>1</v>
      </c>
      <c r="K922" s="72">
        <v>7.7</v>
      </c>
      <c r="L922" s="72">
        <v>0</v>
      </c>
      <c r="M922" s="72">
        <v>0</v>
      </c>
      <c r="N922" s="72">
        <v>4</v>
      </c>
      <c r="O922" s="82"/>
      <c r="P922" s="152" t="s">
        <v>35</v>
      </c>
      <c r="Q922" s="104"/>
      <c r="R922" s="54"/>
      <c r="S922" s="54"/>
      <c r="T922" s="82"/>
      <c r="U922" s="153"/>
      <c r="V922" s="154"/>
      <c r="W922" s="72"/>
      <c r="X922" s="82"/>
      <c r="Y922" s="82"/>
      <c r="Z922" s="82"/>
      <c r="AD922" s="54"/>
      <c r="AE922" s="76" t="s">
        <v>1698</v>
      </c>
      <c r="AF922" s="76"/>
      <c r="AG922" s="82"/>
      <c r="AH922" s="82"/>
      <c r="AI922" s="82"/>
      <c r="AJ922" s="82"/>
      <c r="AK922" s="82"/>
      <c r="AL922" s="82"/>
      <c r="AM922" s="82"/>
      <c r="AN922" s="82"/>
      <c r="AO922" s="82"/>
      <c r="AP922" s="82"/>
      <c r="AQ922" s="82"/>
    </row>
    <row r="923" spans="1:43" x14ac:dyDescent="0.2">
      <c r="A923" s="54"/>
      <c r="B923" s="54" t="s">
        <v>1066</v>
      </c>
      <c r="C923" s="54" t="s">
        <v>1067</v>
      </c>
      <c r="D923" s="54" t="s">
        <v>103</v>
      </c>
      <c r="E923" s="54" t="s">
        <v>1699</v>
      </c>
      <c r="F923" s="72">
        <v>2013</v>
      </c>
      <c r="G923" s="72">
        <v>2022</v>
      </c>
      <c r="H923" s="72">
        <v>0</v>
      </c>
      <c r="I923" s="72">
        <v>4</v>
      </c>
      <c r="J923" s="148">
        <v>1</v>
      </c>
      <c r="K923" s="72">
        <v>4</v>
      </c>
      <c r="L923" s="72">
        <v>0</v>
      </c>
      <c r="M923" s="72">
        <v>0</v>
      </c>
      <c r="N923" s="72">
        <v>4</v>
      </c>
      <c r="O923" s="82"/>
      <c r="P923" s="152" t="s">
        <v>35</v>
      </c>
      <c r="Q923" s="104"/>
      <c r="R923" s="54"/>
      <c r="S923" s="54"/>
      <c r="T923" s="82"/>
      <c r="U923" s="153"/>
      <c r="V923" s="154"/>
      <c r="W923" s="72"/>
      <c r="X923" s="82"/>
      <c r="Y923" s="82"/>
      <c r="Z923" s="82"/>
      <c r="AD923" s="54"/>
      <c r="AE923" s="76" t="s">
        <v>1698</v>
      </c>
      <c r="AF923" s="76"/>
      <c r="AG923" s="82"/>
      <c r="AH923" s="82"/>
      <c r="AI923" s="82"/>
      <c r="AJ923" s="82"/>
      <c r="AK923" s="82"/>
      <c r="AL923" s="82"/>
      <c r="AM923" s="82"/>
      <c r="AN923" s="82"/>
      <c r="AO923" s="82"/>
      <c r="AP923" s="82"/>
      <c r="AQ923" s="82"/>
    </row>
    <row r="924" spans="1:43" x14ac:dyDescent="0.2">
      <c r="A924" s="54"/>
      <c r="B924" s="54" t="s">
        <v>1066</v>
      </c>
      <c r="C924" s="54" t="s">
        <v>1067</v>
      </c>
      <c r="D924" s="54" t="s">
        <v>103</v>
      </c>
      <c r="E924" s="54" t="s">
        <v>1700</v>
      </c>
      <c r="F924" s="72">
        <v>2013</v>
      </c>
      <c r="G924" s="72">
        <v>2023</v>
      </c>
      <c r="H924" s="72">
        <v>0</v>
      </c>
      <c r="I924" s="72">
        <v>6.6</v>
      </c>
      <c r="J924" s="148" t="s">
        <v>1694</v>
      </c>
      <c r="K924" s="148" t="s">
        <v>1694</v>
      </c>
      <c r="L924" s="148" t="s">
        <v>1694</v>
      </c>
      <c r="M924" s="148" t="s">
        <v>1694</v>
      </c>
      <c r="N924" s="72">
        <v>6</v>
      </c>
      <c r="O924" s="82"/>
      <c r="P924" s="152" t="s">
        <v>35</v>
      </c>
      <c r="Q924" s="104"/>
      <c r="R924" s="54"/>
      <c r="S924" s="54"/>
      <c r="T924" s="82"/>
      <c r="U924" s="153"/>
      <c r="V924" s="154"/>
      <c r="W924" s="72"/>
      <c r="X924" s="82"/>
      <c r="Y924" s="82"/>
      <c r="Z924" s="82"/>
      <c r="AD924" s="54"/>
      <c r="AE924" s="76" t="s">
        <v>1701</v>
      </c>
      <c r="AF924" s="76"/>
      <c r="AG924" s="82"/>
      <c r="AH924" s="82"/>
      <c r="AI924" s="82"/>
      <c r="AJ924" s="82"/>
      <c r="AK924" s="82"/>
      <c r="AL924" s="82"/>
      <c r="AM924" s="82"/>
      <c r="AN924" s="82"/>
      <c r="AO924" s="82"/>
      <c r="AP924" s="82"/>
      <c r="AQ924" s="82"/>
    </row>
    <row r="925" spans="1:43" x14ac:dyDescent="0.2">
      <c r="A925" s="54"/>
      <c r="B925" s="54" t="s">
        <v>1066</v>
      </c>
      <c r="C925" s="54" t="s">
        <v>1067</v>
      </c>
      <c r="D925" s="54" t="s">
        <v>103</v>
      </c>
      <c r="E925" s="54" t="s">
        <v>1702</v>
      </c>
      <c r="F925" s="72">
        <v>2013</v>
      </c>
      <c r="G925" s="72">
        <v>2023</v>
      </c>
      <c r="H925" s="72">
        <v>0</v>
      </c>
      <c r="I925" s="72">
        <v>7.1</v>
      </c>
      <c r="J925" s="148" t="s">
        <v>1694</v>
      </c>
      <c r="K925" s="148" t="s">
        <v>1694</v>
      </c>
      <c r="L925" s="148" t="s">
        <v>1694</v>
      </c>
      <c r="M925" s="148" t="s">
        <v>1694</v>
      </c>
      <c r="N925" s="72">
        <v>5</v>
      </c>
      <c r="O925" s="82"/>
      <c r="P925" s="152" t="s">
        <v>35</v>
      </c>
      <c r="Q925" s="104"/>
      <c r="R925" s="54"/>
      <c r="S925" s="54"/>
      <c r="T925" s="82"/>
      <c r="U925" s="153"/>
      <c r="V925" s="154"/>
      <c r="W925" s="72"/>
      <c r="X925" s="82"/>
      <c r="Y925" s="82"/>
      <c r="Z925" s="82"/>
      <c r="AD925" s="54"/>
      <c r="AE925" s="76" t="s">
        <v>1701</v>
      </c>
      <c r="AF925" s="76"/>
      <c r="AG925" s="82"/>
      <c r="AH925" s="82"/>
      <c r="AI925" s="82"/>
      <c r="AJ925" s="82"/>
      <c r="AK925" s="82"/>
      <c r="AL925" s="82"/>
      <c r="AM925" s="82"/>
      <c r="AN925" s="82"/>
      <c r="AO925" s="82"/>
      <c r="AP925" s="82"/>
      <c r="AQ925" s="82"/>
    </row>
    <row r="926" spans="1:43" x14ac:dyDescent="0.2">
      <c r="A926" s="54"/>
      <c r="B926" s="54" t="s">
        <v>1066</v>
      </c>
      <c r="C926" s="54" t="s">
        <v>1067</v>
      </c>
      <c r="D926" s="54" t="s">
        <v>103</v>
      </c>
      <c r="E926" s="54" t="s">
        <v>1703</v>
      </c>
      <c r="F926" s="72">
        <v>2013</v>
      </c>
      <c r="G926" s="72">
        <v>2019</v>
      </c>
      <c r="H926" s="72">
        <v>0</v>
      </c>
      <c r="I926" s="72">
        <v>3.7</v>
      </c>
      <c r="J926" s="148">
        <v>1</v>
      </c>
      <c r="K926" s="72">
        <v>3.7</v>
      </c>
      <c r="L926" s="72">
        <v>0</v>
      </c>
      <c r="M926" s="72">
        <v>0</v>
      </c>
      <c r="N926" s="72">
        <v>4</v>
      </c>
      <c r="O926" s="82"/>
      <c r="P926" s="152" t="s">
        <v>35</v>
      </c>
      <c r="Q926" s="104"/>
      <c r="R926" s="54"/>
      <c r="S926" s="54"/>
      <c r="T926" s="82"/>
      <c r="U926" s="153"/>
      <c r="V926" s="154"/>
      <c r="W926" s="72"/>
      <c r="X926" s="82"/>
      <c r="Y926" s="82"/>
      <c r="Z926" s="82"/>
      <c r="AD926" s="54"/>
      <c r="AE926" s="76" t="s">
        <v>1698</v>
      </c>
      <c r="AF926" s="76"/>
      <c r="AG926" s="82"/>
      <c r="AH926" s="82"/>
      <c r="AI926" s="82"/>
      <c r="AJ926" s="82"/>
      <c r="AK926" s="82"/>
      <c r="AL926" s="82"/>
      <c r="AM926" s="82"/>
      <c r="AN926" s="82"/>
      <c r="AO926" s="82"/>
      <c r="AP926" s="82"/>
      <c r="AQ926" s="82"/>
    </row>
    <row r="927" spans="1:43" x14ac:dyDescent="0.2">
      <c r="A927" s="54"/>
      <c r="B927" s="54" t="s">
        <v>1066</v>
      </c>
      <c r="C927" s="54" t="s">
        <v>1067</v>
      </c>
      <c r="D927" s="54" t="s">
        <v>103</v>
      </c>
      <c r="E927" s="54" t="s">
        <v>1704</v>
      </c>
      <c r="F927" s="72">
        <v>2013</v>
      </c>
      <c r="G927" s="72">
        <v>2021</v>
      </c>
      <c r="H927" s="72">
        <v>0</v>
      </c>
      <c r="I927" s="72">
        <v>7.8</v>
      </c>
      <c r="J927" s="148">
        <v>0</v>
      </c>
      <c r="K927" s="72">
        <v>0</v>
      </c>
      <c r="L927" s="72">
        <v>7.8</v>
      </c>
      <c r="M927" s="72">
        <v>0</v>
      </c>
      <c r="N927" s="72">
        <v>6</v>
      </c>
      <c r="O927" s="82"/>
      <c r="P927" s="152" t="s">
        <v>35</v>
      </c>
      <c r="Q927" s="104"/>
      <c r="R927" s="54"/>
      <c r="S927" s="54"/>
      <c r="T927" s="82"/>
      <c r="U927" s="153"/>
      <c r="V927" s="154"/>
      <c r="W927" s="72"/>
      <c r="X927" s="82"/>
      <c r="Y927" s="82"/>
      <c r="Z927" s="82"/>
      <c r="AD927" s="54"/>
      <c r="AE927" s="76" t="s">
        <v>1698</v>
      </c>
      <c r="AF927" s="76"/>
      <c r="AG927" s="82"/>
      <c r="AH927" s="82"/>
      <c r="AI927" s="82"/>
      <c r="AJ927" s="82"/>
      <c r="AK927" s="82"/>
      <c r="AL927" s="82"/>
      <c r="AM927" s="82"/>
      <c r="AN927" s="82"/>
      <c r="AO927" s="82"/>
      <c r="AP927" s="82"/>
      <c r="AQ927" s="82"/>
    </row>
    <row r="928" spans="1:43" x14ac:dyDescent="0.2">
      <c r="A928" s="54"/>
      <c r="B928" s="155" t="s">
        <v>1066</v>
      </c>
      <c r="C928" s="155" t="s">
        <v>1067</v>
      </c>
      <c r="D928" s="155" t="s">
        <v>103</v>
      </c>
      <c r="E928" s="155" t="s">
        <v>1705</v>
      </c>
      <c r="F928" s="156">
        <v>2007</v>
      </c>
      <c r="G928" s="156">
        <v>2023</v>
      </c>
      <c r="H928" s="156">
        <v>0</v>
      </c>
      <c r="I928" s="156">
        <v>41.3</v>
      </c>
      <c r="J928" s="157" t="s">
        <v>1694</v>
      </c>
      <c r="K928" s="157" t="s">
        <v>1694</v>
      </c>
      <c r="L928" s="157" t="s">
        <v>1694</v>
      </c>
      <c r="M928" s="157" t="s">
        <v>1694</v>
      </c>
      <c r="N928" s="156">
        <v>34</v>
      </c>
      <c r="O928" s="82"/>
      <c r="P928" s="158" t="s">
        <v>35</v>
      </c>
      <c r="Q928" s="159"/>
      <c r="R928" s="155"/>
      <c r="S928" s="155"/>
      <c r="T928" s="82"/>
      <c r="U928" s="153"/>
      <c r="V928" s="154"/>
      <c r="W928" s="156"/>
      <c r="X928" s="82"/>
      <c r="Y928" s="82"/>
      <c r="Z928" s="82"/>
      <c r="AD928" s="155"/>
      <c r="AE928" s="76" t="s">
        <v>1698</v>
      </c>
      <c r="AF928" s="76"/>
      <c r="AG928" s="82"/>
      <c r="AH928" s="82"/>
      <c r="AI928" s="82"/>
      <c r="AJ928" s="82"/>
      <c r="AK928" s="82"/>
      <c r="AL928" s="82"/>
      <c r="AM928" s="82"/>
      <c r="AN928" s="82"/>
      <c r="AO928" s="82"/>
      <c r="AP928" s="82"/>
      <c r="AQ928" s="82"/>
    </row>
    <row r="929" spans="1:43" x14ac:dyDescent="0.2">
      <c r="A929" s="54"/>
      <c r="B929" s="54" t="s">
        <v>1066</v>
      </c>
      <c r="C929" s="54" t="s">
        <v>1067</v>
      </c>
      <c r="D929" s="54" t="s">
        <v>142</v>
      </c>
      <c r="E929" s="54" t="s">
        <v>706</v>
      </c>
      <c r="F929" s="72">
        <v>2020</v>
      </c>
      <c r="G929" s="72">
        <v>2024</v>
      </c>
      <c r="H929" s="72">
        <v>0</v>
      </c>
      <c r="I929" s="72" t="s">
        <v>1706</v>
      </c>
      <c r="J929" s="148">
        <v>0.9</v>
      </c>
      <c r="K929" s="148" t="s">
        <v>1694</v>
      </c>
      <c r="L929" s="148" t="s">
        <v>1694</v>
      </c>
      <c r="M929" s="148" t="s">
        <v>1694</v>
      </c>
      <c r="N929" s="72">
        <v>17</v>
      </c>
      <c r="O929" s="82"/>
      <c r="P929" s="152" t="s">
        <v>35</v>
      </c>
      <c r="Q929" s="104">
        <v>800</v>
      </c>
      <c r="R929" s="54" t="s">
        <v>66</v>
      </c>
      <c r="S929" s="72">
        <v>2020</v>
      </c>
      <c r="T929" s="82"/>
      <c r="U929" s="153"/>
      <c r="V929" s="154"/>
      <c r="W929" s="72"/>
      <c r="X929" s="82"/>
      <c r="Y929" s="82"/>
      <c r="Z929" s="82"/>
      <c r="AD929" s="54"/>
      <c r="AE929" s="76" t="s">
        <v>1707</v>
      </c>
      <c r="AF929" s="76" t="s">
        <v>1708</v>
      </c>
      <c r="AG929" s="82"/>
      <c r="AH929" s="82"/>
      <c r="AI929" s="82"/>
      <c r="AJ929" s="82"/>
      <c r="AK929" s="82"/>
      <c r="AL929" s="82"/>
      <c r="AM929" s="82"/>
      <c r="AN929" s="82"/>
      <c r="AO929" s="82"/>
      <c r="AP929" s="82"/>
      <c r="AQ929" s="82"/>
    </row>
    <row r="930" spans="1:43" x14ac:dyDescent="0.2">
      <c r="A930" s="54"/>
      <c r="B930" s="54" t="s">
        <v>1066</v>
      </c>
      <c r="C930" s="54" t="s">
        <v>1067</v>
      </c>
      <c r="D930" s="54" t="s">
        <v>142</v>
      </c>
      <c r="E930" s="54" t="s">
        <v>847</v>
      </c>
      <c r="F930" s="72">
        <v>2020</v>
      </c>
      <c r="G930" s="72">
        <v>2026</v>
      </c>
      <c r="H930" s="72">
        <v>0</v>
      </c>
      <c r="I930" s="72">
        <v>23</v>
      </c>
      <c r="J930" s="148" t="s">
        <v>1694</v>
      </c>
      <c r="K930" s="148" t="s">
        <v>1694</v>
      </c>
      <c r="L930" s="148" t="s">
        <v>1694</v>
      </c>
      <c r="M930" s="148" t="s">
        <v>1694</v>
      </c>
      <c r="N930" s="72">
        <v>21</v>
      </c>
      <c r="O930" s="82"/>
      <c r="P930" s="152" t="s">
        <v>35</v>
      </c>
      <c r="Q930" s="104" t="s">
        <v>1709</v>
      </c>
      <c r="R930" s="54"/>
      <c r="S930" s="54"/>
      <c r="T930" s="82"/>
      <c r="U930" s="153"/>
      <c r="V930" s="154"/>
      <c r="W930" s="72"/>
      <c r="X930" s="82"/>
      <c r="Y930" s="82"/>
      <c r="Z930" s="82"/>
      <c r="AD930" s="54" t="s">
        <v>73</v>
      </c>
      <c r="AE930" s="76" t="s">
        <v>1707</v>
      </c>
      <c r="AF930" s="76"/>
      <c r="AG930" s="82"/>
      <c r="AH930" s="82"/>
      <c r="AI930" s="82"/>
      <c r="AJ930" s="82"/>
      <c r="AK930" s="82"/>
      <c r="AL930" s="82"/>
      <c r="AM930" s="82"/>
      <c r="AN930" s="82"/>
      <c r="AO930" s="82"/>
      <c r="AP930" s="82"/>
      <c r="AQ930" s="82"/>
    </row>
    <row r="931" spans="1:43" x14ac:dyDescent="0.2">
      <c r="A931" s="54"/>
      <c r="B931" s="155" t="s">
        <v>1066</v>
      </c>
      <c r="C931" s="155" t="s">
        <v>1067</v>
      </c>
      <c r="D931" s="155" t="s">
        <v>142</v>
      </c>
      <c r="E931" s="155" t="s">
        <v>1710</v>
      </c>
      <c r="F931" s="156">
        <v>2020</v>
      </c>
      <c r="G931" s="156">
        <v>2026</v>
      </c>
      <c r="H931" s="156">
        <v>0</v>
      </c>
      <c r="I931" s="156">
        <v>42</v>
      </c>
      <c r="J931" s="148" t="s">
        <v>1694</v>
      </c>
      <c r="K931" s="148" t="s">
        <v>1694</v>
      </c>
      <c r="L931" s="148" t="s">
        <v>1694</v>
      </c>
      <c r="M931" s="148" t="s">
        <v>1694</v>
      </c>
      <c r="N931" s="156">
        <v>38</v>
      </c>
      <c r="O931" s="82"/>
      <c r="P931" s="158" t="s">
        <v>35</v>
      </c>
      <c r="Q931" s="159"/>
      <c r="R931" s="155"/>
      <c r="S931" s="155"/>
      <c r="T931" s="82"/>
      <c r="U931" s="153"/>
      <c r="V931" s="154"/>
      <c r="W931" s="156"/>
      <c r="X931" s="82"/>
      <c r="Y931" s="82"/>
      <c r="Z931" s="82"/>
      <c r="AD931" s="155"/>
      <c r="AE931" s="76" t="s">
        <v>1707</v>
      </c>
      <c r="AF931" s="76"/>
      <c r="AG931" s="82"/>
      <c r="AH931" s="82"/>
      <c r="AI931" s="82"/>
      <c r="AJ931" s="82"/>
      <c r="AK931" s="82"/>
      <c r="AL931" s="82"/>
      <c r="AM931" s="82"/>
      <c r="AN931" s="82"/>
      <c r="AO931" s="82"/>
      <c r="AP931" s="82"/>
      <c r="AQ931" s="82"/>
    </row>
    <row r="932" spans="1:43" x14ac:dyDescent="0.2">
      <c r="A932" s="54"/>
      <c r="B932" s="54" t="s">
        <v>1066</v>
      </c>
      <c r="C932" s="54" t="s">
        <v>1067</v>
      </c>
      <c r="D932" s="54" t="s">
        <v>281</v>
      </c>
      <c r="E932" s="54" t="s">
        <v>1710</v>
      </c>
      <c r="F932" s="72"/>
      <c r="G932" s="72"/>
      <c r="H932" s="72">
        <v>0</v>
      </c>
      <c r="I932" s="72"/>
      <c r="J932" s="148"/>
      <c r="K932" s="72"/>
      <c r="L932" s="72"/>
      <c r="M932" s="72"/>
      <c r="N932" s="72"/>
      <c r="O932" s="82"/>
      <c r="P932" s="152" t="s">
        <v>35</v>
      </c>
      <c r="Q932" s="104"/>
      <c r="R932" s="54"/>
      <c r="S932" s="54"/>
      <c r="T932" s="82"/>
      <c r="U932" s="153"/>
      <c r="V932" s="154"/>
      <c r="W932" s="72"/>
      <c r="X932" s="82"/>
      <c r="Y932" s="82"/>
      <c r="Z932" s="82"/>
      <c r="AD932" s="54"/>
      <c r="AE932" s="76" t="s">
        <v>1711</v>
      </c>
      <c r="AF932" s="76"/>
      <c r="AG932" s="82"/>
      <c r="AH932" s="82"/>
      <c r="AI932" s="82"/>
      <c r="AJ932" s="82"/>
      <c r="AK932" s="82"/>
      <c r="AL932" s="82"/>
      <c r="AM932" s="82"/>
      <c r="AN932" s="82"/>
      <c r="AO932" s="82"/>
      <c r="AP932" s="82"/>
      <c r="AQ932" s="82"/>
    </row>
    <row r="933" spans="1:43" x14ac:dyDescent="0.2">
      <c r="A933" s="54"/>
      <c r="B933" s="54" t="s">
        <v>1066</v>
      </c>
      <c r="C933" s="54" t="s">
        <v>1067</v>
      </c>
      <c r="D933" s="54" t="s">
        <v>269</v>
      </c>
      <c r="E933" s="54" t="s">
        <v>1712</v>
      </c>
      <c r="F933" s="72">
        <v>2019</v>
      </c>
      <c r="G933" s="72">
        <v>2023</v>
      </c>
      <c r="H933" s="72">
        <v>0</v>
      </c>
      <c r="I933" s="72">
        <v>56.5</v>
      </c>
      <c r="J933" s="148">
        <v>0</v>
      </c>
      <c r="K933" s="72">
        <v>0</v>
      </c>
      <c r="L933" s="72">
        <v>56.5</v>
      </c>
      <c r="M933" s="72">
        <v>0</v>
      </c>
      <c r="N933" s="72">
        <v>22</v>
      </c>
      <c r="O933" s="82"/>
      <c r="P933" s="152" t="s">
        <v>35</v>
      </c>
      <c r="Q933" s="104" t="s">
        <v>1713</v>
      </c>
      <c r="R933" s="54"/>
      <c r="S933" s="54"/>
      <c r="T933" s="82"/>
      <c r="U933" s="153"/>
      <c r="V933" s="154"/>
      <c r="W933" s="72"/>
      <c r="X933" s="82"/>
      <c r="Y933" s="82"/>
      <c r="Z933" s="82"/>
      <c r="AD933" s="54"/>
      <c r="AE933" s="76" t="s">
        <v>1714</v>
      </c>
      <c r="AF933" s="76"/>
      <c r="AG933" s="82"/>
      <c r="AH933" s="82"/>
      <c r="AI933" s="82"/>
      <c r="AJ933" s="82"/>
      <c r="AK933" s="82"/>
      <c r="AL933" s="82"/>
      <c r="AM933" s="82"/>
      <c r="AN933" s="82"/>
      <c r="AO933" s="82"/>
      <c r="AP933" s="82"/>
      <c r="AQ933" s="82"/>
    </row>
    <row r="934" spans="1:43" x14ac:dyDescent="0.2">
      <c r="A934" s="54"/>
      <c r="B934" s="54" t="s">
        <v>1066</v>
      </c>
      <c r="C934" s="54" t="s">
        <v>1067</v>
      </c>
      <c r="D934" s="54" t="s">
        <v>269</v>
      </c>
      <c r="E934" s="54" t="s">
        <v>1715</v>
      </c>
      <c r="F934" s="72">
        <v>2019</v>
      </c>
      <c r="G934" s="72">
        <v>2023</v>
      </c>
      <c r="H934" s="72">
        <v>0</v>
      </c>
      <c r="I934" s="72">
        <v>42</v>
      </c>
      <c r="J934" s="148">
        <v>0</v>
      </c>
      <c r="K934" s="72">
        <v>0</v>
      </c>
      <c r="L934" s="72">
        <v>42</v>
      </c>
      <c r="M934" s="72">
        <v>0</v>
      </c>
      <c r="N934" s="72">
        <v>13</v>
      </c>
      <c r="O934" s="82"/>
      <c r="P934" s="152" t="s">
        <v>35</v>
      </c>
      <c r="Q934" s="104" t="s">
        <v>1713</v>
      </c>
      <c r="R934" s="54"/>
      <c r="S934" s="54"/>
      <c r="T934" s="82"/>
      <c r="U934" s="153"/>
      <c r="V934" s="154"/>
      <c r="W934" s="72"/>
      <c r="X934" s="82"/>
      <c r="Y934" s="82"/>
      <c r="Z934" s="82"/>
      <c r="AD934" s="54"/>
      <c r="AE934" s="76" t="s">
        <v>1716</v>
      </c>
      <c r="AF934" s="76"/>
      <c r="AG934" s="82"/>
      <c r="AH934" s="82"/>
      <c r="AI934" s="82"/>
      <c r="AJ934" s="82"/>
      <c r="AK934" s="82"/>
      <c r="AL934" s="82"/>
      <c r="AM934" s="82"/>
      <c r="AN934" s="82"/>
      <c r="AO934" s="82"/>
      <c r="AP934" s="82"/>
      <c r="AQ934" s="82"/>
    </row>
    <row r="935" spans="1:43" x14ac:dyDescent="0.2">
      <c r="A935" s="54"/>
      <c r="B935" s="155" t="s">
        <v>1066</v>
      </c>
      <c r="C935" s="155" t="s">
        <v>1067</v>
      </c>
      <c r="D935" s="155" t="s">
        <v>269</v>
      </c>
      <c r="E935" s="155" t="s">
        <v>1717</v>
      </c>
      <c r="F935" s="156">
        <v>2019</v>
      </c>
      <c r="G935" s="156">
        <v>2023</v>
      </c>
      <c r="H935" s="156">
        <v>0</v>
      </c>
      <c r="I935" s="156">
        <v>98.5</v>
      </c>
      <c r="J935" s="157">
        <v>0</v>
      </c>
      <c r="K935" s="156">
        <v>0</v>
      </c>
      <c r="L935" s="156">
        <v>98.5</v>
      </c>
      <c r="M935" s="156">
        <v>0</v>
      </c>
      <c r="N935" s="156">
        <v>35</v>
      </c>
      <c r="O935" s="82"/>
      <c r="P935" s="158" t="s">
        <v>35</v>
      </c>
      <c r="Q935" s="159">
        <v>4500</v>
      </c>
      <c r="R935" s="155" t="s">
        <v>66</v>
      </c>
      <c r="S935" s="156">
        <v>2022</v>
      </c>
      <c r="T935" s="82"/>
      <c r="U935" s="153"/>
      <c r="V935" s="154"/>
      <c r="W935" s="156"/>
      <c r="X935" s="82"/>
      <c r="Y935" s="82"/>
      <c r="Z935" s="82"/>
      <c r="AD935" s="155" t="s">
        <v>73</v>
      </c>
      <c r="AE935" s="76" t="s">
        <v>1714</v>
      </c>
      <c r="AF935" s="76" t="s">
        <v>1716</v>
      </c>
      <c r="AG935" s="82" t="s">
        <v>1718</v>
      </c>
      <c r="AH935" s="82"/>
      <c r="AI935" s="82"/>
      <c r="AJ935" s="82"/>
      <c r="AK935" s="82"/>
      <c r="AL935" s="82"/>
      <c r="AM935" s="82"/>
      <c r="AN935" s="82"/>
      <c r="AO935" s="82"/>
      <c r="AP935" s="82"/>
      <c r="AQ935" s="82"/>
    </row>
    <row r="936" spans="1:43" x14ac:dyDescent="0.2">
      <c r="A936" s="54"/>
      <c r="B936" s="54" t="s">
        <v>1066</v>
      </c>
      <c r="C936" s="54" t="s">
        <v>1719</v>
      </c>
      <c r="D936" s="54" t="s">
        <v>1720</v>
      </c>
      <c r="E936" s="54" t="s">
        <v>1721</v>
      </c>
      <c r="F936" s="72">
        <v>2018</v>
      </c>
      <c r="G936" s="72">
        <v>2022</v>
      </c>
      <c r="H936" s="72">
        <v>1</v>
      </c>
      <c r="I936" s="72">
        <v>68.81</v>
      </c>
      <c r="J936" s="148">
        <v>0</v>
      </c>
      <c r="K936" s="72">
        <v>0</v>
      </c>
      <c r="L936" s="72" t="s">
        <v>1713</v>
      </c>
      <c r="M936" s="72" t="s">
        <v>1713</v>
      </c>
      <c r="N936" s="72">
        <v>11</v>
      </c>
      <c r="O936" s="82"/>
      <c r="P936" s="152" t="s">
        <v>35</v>
      </c>
      <c r="Q936" s="104" t="s">
        <v>1713</v>
      </c>
      <c r="R936" s="54"/>
      <c r="S936" s="54"/>
      <c r="T936" s="82"/>
      <c r="U936" s="153"/>
      <c r="V936" s="154"/>
      <c r="W936" s="72"/>
      <c r="X936" s="82"/>
      <c r="Y936" s="82"/>
      <c r="Z936" s="82"/>
      <c r="AD936" s="54"/>
      <c r="AE936" s="76" t="s">
        <v>1722</v>
      </c>
      <c r="AF936" s="76"/>
      <c r="AG936" s="82"/>
      <c r="AH936" s="82"/>
      <c r="AI936" s="82"/>
      <c r="AJ936" s="82"/>
      <c r="AK936" s="82"/>
      <c r="AL936" s="82"/>
      <c r="AM936" s="82"/>
      <c r="AN936" s="82"/>
      <c r="AO936" s="82"/>
      <c r="AP936" s="82"/>
      <c r="AQ936" s="82"/>
    </row>
    <row r="937" spans="1:43" x14ac:dyDescent="0.2">
      <c r="A937" s="54"/>
      <c r="B937" s="54" t="s">
        <v>1066</v>
      </c>
      <c r="C937" s="54" t="s">
        <v>1719</v>
      </c>
      <c r="D937" s="54" t="s">
        <v>1720</v>
      </c>
      <c r="E937" s="54" t="s">
        <v>1723</v>
      </c>
      <c r="F937" s="72">
        <v>2018</v>
      </c>
      <c r="G937" s="72">
        <v>2023</v>
      </c>
      <c r="H937" s="72">
        <v>1</v>
      </c>
      <c r="I937" s="72">
        <v>18.5</v>
      </c>
      <c r="J937" s="148">
        <v>0</v>
      </c>
      <c r="K937" s="72">
        <v>0</v>
      </c>
      <c r="L937" s="72" t="s">
        <v>1713</v>
      </c>
      <c r="M937" s="72" t="s">
        <v>1713</v>
      </c>
      <c r="N937" s="72">
        <v>4</v>
      </c>
      <c r="O937" s="82"/>
      <c r="P937" s="152" t="s">
        <v>35</v>
      </c>
      <c r="Q937" s="104" t="s">
        <v>1713</v>
      </c>
      <c r="R937" s="54"/>
      <c r="S937" s="54"/>
      <c r="T937" s="82"/>
      <c r="U937" s="153"/>
      <c r="V937" s="154"/>
      <c r="W937" s="72"/>
      <c r="X937" s="82"/>
      <c r="Y937" s="82"/>
      <c r="Z937" s="82"/>
      <c r="AD937" s="54"/>
      <c r="AE937" s="76" t="s">
        <v>1724</v>
      </c>
      <c r="AF937" s="76"/>
      <c r="AG937" s="82"/>
      <c r="AH937" s="82"/>
      <c r="AI937" s="82"/>
      <c r="AJ937" s="82"/>
      <c r="AK937" s="82"/>
      <c r="AL937" s="82"/>
      <c r="AM937" s="82"/>
      <c r="AN937" s="82"/>
      <c r="AO937" s="82"/>
      <c r="AP937" s="82"/>
      <c r="AQ937" s="82"/>
    </row>
    <row r="938" spans="1:43" x14ac:dyDescent="0.2">
      <c r="A938" s="54"/>
      <c r="B938" s="54" t="s">
        <v>1066</v>
      </c>
      <c r="C938" s="54" t="s">
        <v>1719</v>
      </c>
      <c r="D938" s="54" t="s">
        <v>1720</v>
      </c>
      <c r="E938" s="54" t="s">
        <v>1725</v>
      </c>
      <c r="F938" s="72">
        <v>2018</v>
      </c>
      <c r="G938" s="72">
        <v>2023</v>
      </c>
      <c r="H938" s="72">
        <v>1</v>
      </c>
      <c r="I938" s="72">
        <v>16</v>
      </c>
      <c r="J938" s="148">
        <v>0</v>
      </c>
      <c r="K938" s="72">
        <v>0</v>
      </c>
      <c r="L938" s="72">
        <v>7.5</v>
      </c>
      <c r="M938" s="72">
        <v>8.5</v>
      </c>
      <c r="N938" s="72">
        <v>3</v>
      </c>
      <c r="O938" s="82"/>
      <c r="P938" s="152" t="s">
        <v>35</v>
      </c>
      <c r="Q938" s="104" t="s">
        <v>1713</v>
      </c>
      <c r="R938" s="54"/>
      <c r="S938" s="54"/>
      <c r="T938" s="82"/>
      <c r="U938" s="153"/>
      <c r="V938" s="154"/>
      <c r="W938" s="72"/>
      <c r="X938" s="82"/>
      <c r="Y938" s="82"/>
      <c r="Z938" s="82"/>
      <c r="AD938" s="54"/>
      <c r="AE938" s="76" t="s">
        <v>1724</v>
      </c>
      <c r="AF938" s="76"/>
      <c r="AG938" s="82"/>
      <c r="AH938" s="82"/>
      <c r="AI938" s="82"/>
      <c r="AJ938" s="82"/>
      <c r="AK938" s="82"/>
      <c r="AL938" s="82"/>
      <c r="AM938" s="82"/>
      <c r="AN938" s="82"/>
      <c r="AO938" s="82"/>
      <c r="AP938" s="82"/>
      <c r="AQ938" s="82"/>
    </row>
    <row r="939" spans="1:43" x14ac:dyDescent="0.2">
      <c r="A939" s="54"/>
      <c r="B939" s="155" t="s">
        <v>1066</v>
      </c>
      <c r="C939" s="155" t="s">
        <v>1719</v>
      </c>
      <c r="D939" s="155" t="s">
        <v>1720</v>
      </c>
      <c r="E939" s="155" t="s">
        <v>1726</v>
      </c>
      <c r="F939" s="156">
        <v>2018</v>
      </c>
      <c r="G939" s="156">
        <v>2023</v>
      </c>
      <c r="H939" s="156">
        <v>1</v>
      </c>
      <c r="I939" s="156">
        <v>103.31</v>
      </c>
      <c r="J939" s="157">
        <v>0</v>
      </c>
      <c r="K939" s="156">
        <v>0</v>
      </c>
      <c r="L939" s="156" t="s">
        <v>1713</v>
      </c>
      <c r="M939" s="156" t="s">
        <v>1713</v>
      </c>
      <c r="N939" s="156">
        <v>18</v>
      </c>
      <c r="O939" s="82"/>
      <c r="P939" s="158" t="s">
        <v>35</v>
      </c>
      <c r="Q939" s="159">
        <v>1240</v>
      </c>
      <c r="R939" s="155" t="s">
        <v>66</v>
      </c>
      <c r="S939" s="156">
        <v>2022</v>
      </c>
      <c r="T939" s="82"/>
      <c r="U939" s="153"/>
      <c r="V939" s="154"/>
      <c r="W939" s="156"/>
      <c r="X939" s="82"/>
      <c r="Y939" s="82"/>
      <c r="Z939" s="82"/>
      <c r="AD939" s="155" t="s">
        <v>73</v>
      </c>
      <c r="AE939" s="76" t="s">
        <v>1722</v>
      </c>
      <c r="AF939" s="76" t="s">
        <v>1724</v>
      </c>
      <c r="AG939" s="82" t="s">
        <v>1727</v>
      </c>
      <c r="AH939" s="82"/>
      <c r="AI939" s="82"/>
      <c r="AJ939" s="82"/>
      <c r="AK939" s="82"/>
      <c r="AL939" s="82"/>
      <c r="AM939" s="82"/>
      <c r="AN939" s="82"/>
      <c r="AO939" s="82"/>
      <c r="AP939" s="82"/>
      <c r="AQ939" s="82"/>
    </row>
    <row r="940" spans="1:43" x14ac:dyDescent="0.2">
      <c r="A940" s="54"/>
      <c r="B940" s="54" t="s">
        <v>1066</v>
      </c>
      <c r="C940" s="54" t="s">
        <v>1728</v>
      </c>
      <c r="D940" s="54" t="s">
        <v>1729</v>
      </c>
      <c r="E940" s="54" t="s">
        <v>1729</v>
      </c>
      <c r="F940" s="72" t="s">
        <v>1730</v>
      </c>
      <c r="G940" s="72" t="s">
        <v>1731</v>
      </c>
      <c r="H940" s="72">
        <v>1</v>
      </c>
      <c r="I940" s="72">
        <v>280</v>
      </c>
      <c r="J940" s="148">
        <v>0</v>
      </c>
      <c r="K940" s="72">
        <v>0</v>
      </c>
      <c r="L940" s="72">
        <v>0</v>
      </c>
      <c r="M940" s="72">
        <v>280</v>
      </c>
      <c r="N940" s="72">
        <v>16</v>
      </c>
      <c r="O940" s="82"/>
      <c r="P940" s="152" t="s">
        <v>35</v>
      </c>
      <c r="Q940" s="104" t="s">
        <v>1709</v>
      </c>
      <c r="R940" s="54"/>
      <c r="S940" s="54"/>
      <c r="T940" s="82"/>
      <c r="U940" s="153"/>
      <c r="V940" s="154"/>
      <c r="W940" s="72"/>
      <c r="X940" s="82"/>
      <c r="Y940" s="82"/>
      <c r="Z940" s="82"/>
      <c r="AD940" s="54"/>
      <c r="AE940" s="76" t="s">
        <v>1732</v>
      </c>
      <c r="AF940" s="76"/>
      <c r="AG940" s="82"/>
      <c r="AH940" s="82"/>
      <c r="AI940" s="82"/>
      <c r="AJ940" s="82"/>
      <c r="AK940" s="82"/>
      <c r="AL940" s="82"/>
      <c r="AM940" s="82"/>
      <c r="AN940" s="82"/>
      <c r="AO940" s="82"/>
      <c r="AP940" s="82"/>
      <c r="AQ940" s="82"/>
    </row>
    <row r="941" spans="1:43" x14ac:dyDescent="0.2">
      <c r="A941" s="54"/>
      <c r="B941" s="54" t="s">
        <v>1066</v>
      </c>
      <c r="C941" s="54" t="s">
        <v>1733</v>
      </c>
      <c r="D941" s="54" t="s">
        <v>1734</v>
      </c>
      <c r="E941" s="54" t="s">
        <v>1735</v>
      </c>
      <c r="F941" s="72">
        <v>2018</v>
      </c>
      <c r="G941" s="72">
        <v>2023</v>
      </c>
      <c r="H941" s="72">
        <v>0</v>
      </c>
      <c r="I941" s="72">
        <v>660</v>
      </c>
      <c r="J941" s="148">
        <v>0</v>
      </c>
      <c r="K941" s="72">
        <v>0</v>
      </c>
      <c r="L941" s="72">
        <v>0</v>
      </c>
      <c r="M941" s="72">
        <v>660</v>
      </c>
      <c r="N941" s="72" t="s">
        <v>1736</v>
      </c>
      <c r="O941" s="82"/>
      <c r="P941" s="152" t="s">
        <v>35</v>
      </c>
      <c r="Q941" s="104">
        <v>2700</v>
      </c>
      <c r="R941" s="54" t="s">
        <v>36</v>
      </c>
      <c r="S941" s="72">
        <v>2022</v>
      </c>
      <c r="T941" s="82"/>
      <c r="U941" s="153"/>
      <c r="V941" s="154"/>
      <c r="W941" s="72"/>
      <c r="X941" s="82"/>
      <c r="Y941" s="82"/>
      <c r="Z941" s="82"/>
      <c r="AD941" s="54" t="s">
        <v>73</v>
      </c>
      <c r="AE941" s="76" t="s">
        <v>1737</v>
      </c>
      <c r="AF941" s="76" t="s">
        <v>1738</v>
      </c>
      <c r="AG941" s="82"/>
      <c r="AH941" s="82"/>
      <c r="AI941" s="82"/>
      <c r="AJ941" s="82"/>
      <c r="AK941" s="82"/>
      <c r="AL941" s="82"/>
      <c r="AM941" s="82"/>
      <c r="AN941" s="82"/>
      <c r="AO941" s="82"/>
      <c r="AP941" s="82"/>
      <c r="AQ941" s="82"/>
    </row>
    <row r="942" spans="1:43" x14ac:dyDescent="0.2">
      <c r="A942" s="54"/>
      <c r="B942" s="54" t="s">
        <v>1066</v>
      </c>
      <c r="C942" s="54" t="s">
        <v>1733</v>
      </c>
      <c r="D942" s="54" t="s">
        <v>1734</v>
      </c>
      <c r="E942" s="54" t="s">
        <v>1739</v>
      </c>
      <c r="F942" s="72">
        <v>2018</v>
      </c>
      <c r="G942" s="72">
        <v>2024</v>
      </c>
      <c r="H942" s="72">
        <v>0</v>
      </c>
      <c r="I942" s="104">
        <v>1100</v>
      </c>
      <c r="J942" s="148">
        <v>0</v>
      </c>
      <c r="K942" s="72">
        <v>0</v>
      </c>
      <c r="L942" s="72">
        <v>0</v>
      </c>
      <c r="M942" s="104">
        <v>1100</v>
      </c>
      <c r="N942" s="72">
        <v>35</v>
      </c>
      <c r="O942" s="82"/>
      <c r="P942" s="152" t="s">
        <v>35</v>
      </c>
      <c r="Q942" s="104" t="s">
        <v>1713</v>
      </c>
      <c r="R942" s="54"/>
      <c r="S942" s="54"/>
      <c r="T942" s="82"/>
      <c r="U942" s="153"/>
      <c r="V942" s="154"/>
      <c r="W942" s="72"/>
      <c r="X942" s="82"/>
      <c r="Y942" s="82"/>
      <c r="Z942" s="82"/>
      <c r="AD942" s="54"/>
      <c r="AE942" s="76" t="s">
        <v>1740</v>
      </c>
      <c r="AF942" s="76"/>
      <c r="AG942" s="82"/>
      <c r="AH942" s="82"/>
      <c r="AI942" s="82"/>
      <c r="AJ942" s="82"/>
      <c r="AK942" s="82"/>
      <c r="AL942" s="82"/>
      <c r="AM942" s="82"/>
      <c r="AN942" s="82"/>
      <c r="AO942" s="82"/>
      <c r="AP942" s="82"/>
      <c r="AQ942" s="82"/>
    </row>
    <row r="943" spans="1:43" x14ac:dyDescent="0.2">
      <c r="A943" s="54"/>
      <c r="B943" s="54" t="s">
        <v>1066</v>
      </c>
      <c r="C943" s="54" t="s">
        <v>1733</v>
      </c>
      <c r="D943" s="54" t="s">
        <v>1734</v>
      </c>
      <c r="E943" s="54" t="s">
        <v>1741</v>
      </c>
      <c r="F943" s="72">
        <v>2018</v>
      </c>
      <c r="G943" s="72">
        <v>2024</v>
      </c>
      <c r="H943" s="72">
        <v>0</v>
      </c>
      <c r="I943" s="72">
        <v>225</v>
      </c>
      <c r="J943" s="148">
        <v>0</v>
      </c>
      <c r="K943" s="72">
        <v>0</v>
      </c>
      <c r="L943" s="72">
        <v>0</v>
      </c>
      <c r="M943" s="72">
        <v>225</v>
      </c>
      <c r="N943" s="72">
        <v>3</v>
      </c>
      <c r="O943" s="82"/>
      <c r="P943" s="152" t="s">
        <v>35</v>
      </c>
      <c r="Q943" s="104" t="s">
        <v>1713</v>
      </c>
      <c r="R943" s="54"/>
      <c r="S943" s="54"/>
      <c r="T943" s="82"/>
      <c r="U943" s="153"/>
      <c r="V943" s="154"/>
      <c r="W943" s="72"/>
      <c r="X943" s="82"/>
      <c r="Y943" s="82"/>
      <c r="Z943" s="82"/>
      <c r="AD943" s="54"/>
      <c r="AE943" s="76" t="s">
        <v>1742</v>
      </c>
      <c r="AF943" s="76"/>
      <c r="AG943" s="82"/>
      <c r="AH943" s="82"/>
      <c r="AI943" s="82"/>
      <c r="AJ943" s="82"/>
      <c r="AK943" s="82"/>
      <c r="AL943" s="82"/>
      <c r="AM943" s="82"/>
      <c r="AN943" s="82"/>
      <c r="AO943" s="82"/>
      <c r="AP943" s="82"/>
      <c r="AQ943" s="82"/>
    </row>
    <row r="944" spans="1:43" x14ac:dyDescent="0.2">
      <c r="A944" s="54"/>
      <c r="B944" s="155" t="s">
        <v>1066</v>
      </c>
      <c r="C944" s="155" t="s">
        <v>1733</v>
      </c>
      <c r="D944" s="155" t="s">
        <v>1734</v>
      </c>
      <c r="E944" s="155" t="s">
        <v>1743</v>
      </c>
      <c r="F944" s="156">
        <v>2018</v>
      </c>
      <c r="G944" s="156">
        <v>2024</v>
      </c>
      <c r="H944" s="156">
        <v>0</v>
      </c>
      <c r="I944" s="159">
        <v>2265</v>
      </c>
      <c r="J944" s="157">
        <v>0</v>
      </c>
      <c r="K944" s="156">
        <v>0</v>
      </c>
      <c r="L944" s="156">
        <v>0</v>
      </c>
      <c r="M944" s="159">
        <v>2265</v>
      </c>
      <c r="N944" s="156">
        <v>62</v>
      </c>
      <c r="O944" s="82"/>
      <c r="P944" s="158" t="s">
        <v>35</v>
      </c>
      <c r="Q944" s="159">
        <v>8100</v>
      </c>
      <c r="R944" s="155" t="s">
        <v>36</v>
      </c>
      <c r="S944" s="156">
        <v>2022</v>
      </c>
      <c r="T944" s="82"/>
      <c r="U944" s="153"/>
      <c r="V944" s="154"/>
      <c r="W944" s="156"/>
      <c r="X944" s="82"/>
      <c r="Y944" s="82"/>
      <c r="Z944" s="82"/>
      <c r="AD944" s="155" t="s">
        <v>73</v>
      </c>
      <c r="AE944" s="54" t="s">
        <v>1744</v>
      </c>
      <c r="AF944" s="76" t="s">
        <v>1738</v>
      </c>
      <c r="AG944" s="82"/>
      <c r="AH944" s="82"/>
      <c r="AI944" s="82"/>
      <c r="AJ944" s="82"/>
      <c r="AK944" s="82"/>
      <c r="AL944" s="82"/>
      <c r="AM944" s="82"/>
      <c r="AN944" s="82"/>
      <c r="AO944" s="82"/>
      <c r="AP944" s="82"/>
      <c r="AQ944" s="82"/>
    </row>
    <row r="945" spans="1:43" x14ac:dyDescent="0.2">
      <c r="A945" s="54"/>
      <c r="B945" s="54" t="s">
        <v>117</v>
      </c>
      <c r="C945" s="54" t="s">
        <v>1745</v>
      </c>
      <c r="D945" s="54" t="s">
        <v>92</v>
      </c>
      <c r="E945" s="54"/>
      <c r="F945" s="72">
        <v>2023</v>
      </c>
      <c r="G945" s="54">
        <v>2031</v>
      </c>
      <c r="H945" s="72">
        <v>0</v>
      </c>
      <c r="I945" s="72">
        <v>21</v>
      </c>
      <c r="J945" s="73">
        <v>1</v>
      </c>
      <c r="K945" s="72">
        <v>21</v>
      </c>
      <c r="L945" s="54"/>
      <c r="M945" s="54"/>
      <c r="N945" s="72">
        <v>19</v>
      </c>
      <c r="O945" s="72"/>
      <c r="P945" s="54" t="s">
        <v>43</v>
      </c>
      <c r="Q945" s="104">
        <v>9000</v>
      </c>
      <c r="R945" s="54" t="s">
        <v>120</v>
      </c>
      <c r="S945" s="54">
        <v>2023</v>
      </c>
      <c r="T945" s="54">
        <v>0.49399999999999999</v>
      </c>
      <c r="U945" s="69">
        <f>Q945*T945</f>
        <v>4446</v>
      </c>
      <c r="V945" s="70">
        <f>U945/I945</f>
        <v>211.71428571428572</v>
      </c>
      <c r="W945" s="15">
        <f>IF(OR(B945 = "BG",B945 = "GR",B945 = "IT",B945 = "ES",B945 = "PT",B945 = "TR", B945 = "KR",B945 = "SE",B945 = "CH",B945 = "NO",B945 = "DK",B945 = "FI"), 1, 0)</f>
        <v>0</v>
      </c>
      <c r="X945" s="15">
        <f>W945*I945</f>
        <v>0</v>
      </c>
      <c r="Y945" s="15">
        <f>W945*K945</f>
        <v>0</v>
      </c>
      <c r="Z945" s="13">
        <v>1</v>
      </c>
      <c r="AA945" s="16">
        <f>VLOOKUP(S945,[1]CPI!$A$2:$D$67,4,0)</f>
        <v>1</v>
      </c>
      <c r="AB945" s="17">
        <f>U945*AA945</f>
        <v>4446</v>
      </c>
      <c r="AC945" s="17">
        <f>V945*AA945</f>
        <v>211.71428571428572</v>
      </c>
      <c r="AD945" s="54" t="s">
        <v>43</v>
      </c>
      <c r="AE945" s="46" t="s">
        <v>1746</v>
      </c>
      <c r="AF945" s="76"/>
      <c r="AG945" s="54"/>
      <c r="AH945" s="54"/>
      <c r="AI945" s="54"/>
      <c r="AJ945" s="82"/>
      <c r="AK945" s="82"/>
      <c r="AL945" s="82"/>
      <c r="AM945" s="82"/>
      <c r="AN945" s="82"/>
      <c r="AO945" s="82"/>
      <c r="AP945" s="82"/>
      <c r="AQ945" s="82"/>
    </row>
    <row r="946" spans="1:43" x14ac:dyDescent="0.2">
      <c r="A946" s="54"/>
      <c r="B946" s="54"/>
      <c r="C946" s="54"/>
      <c r="D946" s="54"/>
      <c r="E946" s="54"/>
      <c r="F946" s="72"/>
      <c r="G946" s="54"/>
      <c r="H946" s="72"/>
      <c r="I946" s="72"/>
      <c r="J946" s="73"/>
      <c r="K946" s="72"/>
      <c r="L946" s="54"/>
      <c r="M946" s="54"/>
      <c r="N946" s="72"/>
      <c r="O946" s="72"/>
      <c r="P946" s="54"/>
      <c r="Q946" s="104"/>
      <c r="R946" s="54"/>
      <c r="S946" s="54"/>
      <c r="T946" s="54"/>
      <c r="U946" s="160"/>
      <c r="V946" s="103"/>
      <c r="W946" s="15"/>
      <c r="X946" s="15"/>
      <c r="Y946" s="15"/>
      <c r="Z946" s="15"/>
      <c r="AA946" s="22"/>
      <c r="AB946" s="161"/>
      <c r="AC946" s="161"/>
      <c r="AD946" s="54"/>
      <c r="AE946" s="46"/>
      <c r="AF946" s="76"/>
      <c r="AG946" s="54"/>
      <c r="AH946" s="54"/>
      <c r="AI946" s="54"/>
      <c r="AJ946" s="82"/>
      <c r="AK946" s="82"/>
      <c r="AL946" s="82"/>
      <c r="AM946" s="82"/>
      <c r="AN946" s="82"/>
      <c r="AO946" s="82"/>
      <c r="AP946" s="82"/>
      <c r="AQ946" s="82"/>
    </row>
    <row r="947" spans="1:43" x14ac:dyDescent="0.2">
      <c r="A947" s="54"/>
      <c r="B947" s="54"/>
      <c r="C947" s="54"/>
      <c r="D947" s="54"/>
      <c r="E947" s="54"/>
      <c r="F947" s="54"/>
      <c r="G947" s="54"/>
      <c r="H947" s="54"/>
      <c r="I947" s="54"/>
      <c r="J947" s="54"/>
      <c r="K947" s="54"/>
      <c r="L947" s="54"/>
      <c r="M947" s="54"/>
      <c r="N947" s="54"/>
      <c r="O947" s="54"/>
      <c r="P947" s="54"/>
      <c r="Q947" s="54"/>
      <c r="R947" s="54"/>
      <c r="S947" s="54"/>
      <c r="T947" s="54"/>
      <c r="U947" s="54"/>
      <c r="V947" s="70"/>
      <c r="W947" s="54"/>
      <c r="X947" s="54"/>
      <c r="Y947" s="54"/>
      <c r="Z947" s="54"/>
      <c r="AA947" s="54"/>
      <c r="AB947" s="54"/>
      <c r="AC947" s="70"/>
      <c r="AD947" s="54"/>
      <c r="AE947" s="54"/>
      <c r="AF947" s="54"/>
      <c r="AG947" s="54"/>
      <c r="AH947" s="54"/>
      <c r="AI947" s="54"/>
    </row>
    <row r="948" spans="1:43" x14ac:dyDescent="0.2">
      <c r="A948" s="54"/>
      <c r="B948" s="54"/>
      <c r="C948" s="54"/>
      <c r="D948" s="54"/>
      <c r="E948" s="54"/>
      <c r="F948" s="54"/>
      <c r="G948" s="54"/>
      <c r="H948" s="54"/>
      <c r="I948" s="54">
        <f>SUM(I2:I910)</f>
        <v>20292.065600000013</v>
      </c>
      <c r="J948" s="54"/>
      <c r="K948" s="54">
        <f>SUM(K2:K910)</f>
        <v>12831.092600000009</v>
      </c>
      <c r="L948" s="54"/>
      <c r="M948" s="54"/>
      <c r="N948" s="54"/>
      <c r="O948" s="54"/>
      <c r="P948" s="54"/>
      <c r="Q948" s="54"/>
      <c r="R948" s="54"/>
      <c r="S948" s="54"/>
      <c r="T948" s="54"/>
      <c r="U948" s="54">
        <f>SUM(U2:U905)</f>
        <v>3716565.0645416994</v>
      </c>
      <c r="V948" s="70">
        <f>U948/I948</f>
        <v>183.15360978045021</v>
      </c>
      <c r="W948" s="54"/>
      <c r="X948" s="54"/>
      <c r="Y948" s="54"/>
      <c r="Z948" s="54"/>
      <c r="AA948" s="54"/>
      <c r="AB948" s="162">
        <f>SUM(AB2:AB905)</f>
        <v>4179116.5794597464</v>
      </c>
      <c r="AC948" s="70">
        <f>AB948/I948</f>
        <v>205.94830816335147</v>
      </c>
      <c r="AD948" s="54"/>
      <c r="AE948" s="54"/>
      <c r="AF948" s="54"/>
      <c r="AG948" s="54"/>
      <c r="AH948" s="54"/>
      <c r="AI948" s="54"/>
    </row>
    <row r="949" spans="1:43" x14ac:dyDescent="0.2">
      <c r="P949" s="163"/>
      <c r="U949" s="164"/>
      <c r="AB949" s="164"/>
      <c r="AC949" s="70"/>
    </row>
    <row r="950" spans="1:43" ht="15.75" customHeight="1" x14ac:dyDescent="0.2">
      <c r="A950" s="165"/>
      <c r="C950" s="166" t="s">
        <v>1747</v>
      </c>
      <c r="D950" s="166"/>
      <c r="E950" s="167">
        <f>AVERAGE(V2:V903)</f>
        <v>214.89088835411849</v>
      </c>
      <c r="F950" s="168"/>
      <c r="I950" s="87">
        <f>CORREL(V5:V630,Z5:Z630)</f>
        <v>0.44128282635587873</v>
      </c>
      <c r="P950" s="163"/>
      <c r="V950" s="169"/>
      <c r="AB950" s="87">
        <f>SUBTOTAL(109,AB10:AB622)</f>
        <v>3013636.364027523</v>
      </c>
      <c r="AC950" s="162">
        <f>AVERAGE(AC2:AC905)</f>
        <v>242.95136077456704</v>
      </c>
    </row>
    <row r="951" spans="1:43" ht="15.75" customHeight="1" x14ac:dyDescent="0.2">
      <c r="A951" s="165"/>
      <c r="C951" s="166" t="s">
        <v>1748</v>
      </c>
      <c r="D951" s="166"/>
      <c r="E951" s="167">
        <f>MEDIAN(V2:V903)</f>
        <v>168.48587786259543</v>
      </c>
      <c r="P951" s="163"/>
      <c r="V951" s="170">
        <f>CORREL(AC2:AC909,Z2:Z909)</f>
        <v>0.40476631117665285</v>
      </c>
      <c r="AB951" s="87">
        <f>AB950/I952</f>
        <v>233.80781440801718</v>
      </c>
    </row>
    <row r="952" spans="1:43" ht="15.75" customHeight="1" x14ac:dyDescent="0.2">
      <c r="A952" s="165"/>
      <c r="C952" s="166" t="s">
        <v>1749</v>
      </c>
      <c r="D952" s="166"/>
      <c r="E952" s="167">
        <f>STDEVP(V2:V903)</f>
        <v>227.51214501239863</v>
      </c>
      <c r="I952" s="87">
        <f>SUBTOTAL(109,I10:I622)</f>
        <v>12889.374000000003</v>
      </c>
      <c r="P952" s="163"/>
      <c r="V952" s="170">
        <f>CORREL(AC2:AC909,J2:J909)</f>
        <v>0.15038408623982485</v>
      </c>
    </row>
    <row r="953" spans="1:43" ht="15.75" customHeight="1" x14ac:dyDescent="0.2">
      <c r="A953" s="165"/>
      <c r="C953" s="166" t="s">
        <v>1750</v>
      </c>
      <c r="D953" s="166"/>
      <c r="E953" s="167">
        <f>MIN(V2:V903)</f>
        <v>7.7931448398576499</v>
      </c>
      <c r="P953" s="163"/>
      <c r="V953" s="169"/>
      <c r="AB953" s="87">
        <f>125*243+140*182+19*215</f>
        <v>59940</v>
      </c>
      <c r="AC953" s="87">
        <f>AB953/402</f>
        <v>149.1044776119403</v>
      </c>
    </row>
    <row r="954" spans="1:43" ht="15.75" customHeight="1" x14ac:dyDescent="0.2">
      <c r="A954" s="165"/>
      <c r="C954" s="166" t="s">
        <v>1751</v>
      </c>
      <c r="D954" s="166"/>
      <c r="E954" s="167">
        <f>MAX(V2:V903)</f>
        <v>3928.5714285714289</v>
      </c>
      <c r="P954" s="163"/>
      <c r="V954" s="169"/>
    </row>
    <row r="955" spans="1:43" ht="15.75" customHeight="1" x14ac:dyDescent="0.2">
      <c r="A955" s="165"/>
      <c r="C955" s="166" t="s">
        <v>1752</v>
      </c>
      <c r="D955" s="166"/>
      <c r="E955" s="166">
        <f>QUARTILE(V2:V903,1)</f>
        <v>128.46314363143631</v>
      </c>
      <c r="G955" s="87">
        <v>150</v>
      </c>
      <c r="I955" s="87">
        <f>SUM(I2:I149)</f>
        <v>2296.3000000000002</v>
      </c>
      <c r="P955" s="163"/>
      <c r="U955" s="87">
        <f>SUM(U2:U149)</f>
        <v>572663.65775999986</v>
      </c>
      <c r="V955" s="169"/>
      <c r="AB955" s="87">
        <f t="shared" ref="AB955:AB962" si="94">U955/I955</f>
        <v>249.38538420938022</v>
      </c>
    </row>
    <row r="956" spans="1:43" ht="15.75" customHeight="1" x14ac:dyDescent="0.2">
      <c r="A956" s="165"/>
      <c r="C956" s="166" t="s">
        <v>1753</v>
      </c>
      <c r="D956" s="166"/>
      <c r="E956" s="166">
        <f>QUARTILE(V2:V903,3)</f>
        <v>223.9420973298885</v>
      </c>
      <c r="G956" s="87">
        <v>200</v>
      </c>
      <c r="I956" s="87">
        <f>SUM(I2:I199)</f>
        <v>2963.7000000000016</v>
      </c>
      <c r="P956" s="163"/>
      <c r="U956" s="87">
        <f>SUM(U2:U199)</f>
        <v>742121.18966999964</v>
      </c>
      <c r="V956" s="169"/>
      <c r="AB956" s="87">
        <f t="shared" si="94"/>
        <v>250.40361361473808</v>
      </c>
    </row>
    <row r="957" spans="1:43" ht="15.75" customHeight="1" x14ac:dyDescent="0.2">
      <c r="A957" s="165"/>
      <c r="C957" s="166" t="s">
        <v>1754</v>
      </c>
      <c r="D957" s="166"/>
      <c r="E957" s="166">
        <v>904</v>
      </c>
      <c r="G957" s="87">
        <v>250</v>
      </c>
      <c r="I957" s="87">
        <f>SUM(I2:I249)</f>
        <v>4218.6400000000021</v>
      </c>
      <c r="P957" s="163"/>
      <c r="U957" s="87">
        <f>SUM(U2:U249)</f>
        <v>992914.7962699997</v>
      </c>
      <c r="V957" s="169"/>
      <c r="AB957" s="87">
        <f t="shared" si="94"/>
        <v>235.36371822909734</v>
      </c>
    </row>
    <row r="958" spans="1:43" ht="15.75" customHeight="1" x14ac:dyDescent="0.2">
      <c r="G958" s="87">
        <v>300</v>
      </c>
      <c r="I958" s="87">
        <f>SUM(I2:I299)</f>
        <v>5040.9900000000052</v>
      </c>
      <c r="P958" s="163"/>
      <c r="U958" s="87">
        <f>SUM(U2:U299)</f>
        <v>1109705.4195599998</v>
      </c>
      <c r="AB958" s="87">
        <f t="shared" si="94"/>
        <v>220.13640565841209</v>
      </c>
    </row>
    <row r="959" spans="1:43" ht="15.75" customHeight="1" x14ac:dyDescent="0.2">
      <c r="A959" s="165"/>
      <c r="C959" s="167" t="s">
        <v>1755</v>
      </c>
      <c r="D959" s="167"/>
      <c r="E959" s="167">
        <f>SUM(I2:I903)</f>
        <v>20219.365600000008</v>
      </c>
      <c r="G959" s="87">
        <v>350</v>
      </c>
      <c r="I959" s="87">
        <f>SUM(I2:I349)</f>
        <v>6215.922000000005</v>
      </c>
      <c r="P959" s="163"/>
      <c r="U959" s="87">
        <f>SUM(U2:U349)</f>
        <v>1383823.0465800003</v>
      </c>
      <c r="AB959" s="87">
        <f t="shared" si="94"/>
        <v>222.62554880514898</v>
      </c>
    </row>
    <row r="960" spans="1:43" ht="15.75" customHeight="1" x14ac:dyDescent="0.2">
      <c r="A960" s="165"/>
      <c r="C960" s="171" t="s">
        <v>1756</v>
      </c>
      <c r="E960" s="167">
        <f>SUM(I254,I257,I258,I261,I262,I305,I456,I506,I507,I511,I538,I541,I542,I544,I557,I558,I602,I603,I604,C171,I256,I658,I675,I676,I677,I746,I749)</f>
        <v>513.37300000000016</v>
      </c>
      <c r="G960" s="87">
        <v>400</v>
      </c>
      <c r="I960" s="87">
        <f>SUM(I2:I399)</f>
        <v>7461.9860000000072</v>
      </c>
      <c r="P960" s="163"/>
      <c r="U960" s="87">
        <f>SUM(U2:U399)</f>
        <v>1628150.3275800005</v>
      </c>
      <c r="V960" s="169"/>
      <c r="AB960" s="87">
        <f t="shared" si="94"/>
        <v>218.19262694676712</v>
      </c>
    </row>
    <row r="961" spans="1:28" ht="15.75" customHeight="1" x14ac:dyDescent="0.2">
      <c r="A961" s="165"/>
      <c r="C961" s="171" t="s">
        <v>1757</v>
      </c>
      <c r="D961" s="167"/>
      <c r="E961" s="172">
        <f>E959-E960</f>
        <v>19705.992600000009</v>
      </c>
      <c r="G961" s="87">
        <v>500</v>
      </c>
      <c r="I961" s="87">
        <f>SUM(I2:I499)</f>
        <v>9864.3740000000162</v>
      </c>
      <c r="P961" s="163"/>
      <c r="U961" s="87">
        <f>SUM(U2:U499)</f>
        <v>2006250.1863499992</v>
      </c>
      <c r="V961" s="169"/>
      <c r="AB961" s="87">
        <f t="shared" si="94"/>
        <v>203.38342669793298</v>
      </c>
    </row>
    <row r="962" spans="1:28" ht="15.75" customHeight="1" x14ac:dyDescent="0.2">
      <c r="A962" s="165"/>
      <c r="C962" s="87" t="s">
        <v>1758</v>
      </c>
      <c r="E962" s="167">
        <f>SUM(AB2:AB903)</f>
        <v>4166796.3828724655</v>
      </c>
      <c r="G962" s="87">
        <v>600</v>
      </c>
      <c r="I962" s="87">
        <f>SUM(I2:I599)</f>
        <v>12621.074000000011</v>
      </c>
      <c r="P962" s="163"/>
      <c r="U962" s="87">
        <f>SUM(U2:U599)</f>
        <v>2565553.6560596987</v>
      </c>
      <c r="V962" s="169"/>
      <c r="AB962" s="87">
        <f t="shared" si="94"/>
        <v>203.27538338335521</v>
      </c>
    </row>
    <row r="963" spans="1:28" ht="15.75" customHeight="1" x14ac:dyDescent="0.2">
      <c r="A963" s="165"/>
      <c r="C963" s="167" t="s">
        <v>1759</v>
      </c>
      <c r="D963" s="167"/>
      <c r="E963" s="167">
        <f>E962/E961</f>
        <v>211.44818570937977</v>
      </c>
      <c r="P963" s="163"/>
      <c r="V963" s="169"/>
    </row>
    <row r="964" spans="1:28" ht="15.75" customHeight="1" x14ac:dyDescent="0.2">
      <c r="A964" s="165"/>
      <c r="D964" s="173"/>
      <c r="P964" s="163"/>
      <c r="V964" s="169"/>
    </row>
    <row r="965" spans="1:28" ht="18" customHeight="1" x14ac:dyDescent="0.2">
      <c r="A965" s="165"/>
      <c r="C965" s="6" t="s">
        <v>1760</v>
      </c>
      <c r="D965" s="173"/>
      <c r="P965" s="163"/>
      <c r="V965" s="169"/>
    </row>
    <row r="966" spans="1:28" ht="15.75" customHeight="1" x14ac:dyDescent="0.2">
      <c r="A966" s="165"/>
      <c r="C966" s="6" t="s">
        <v>1761</v>
      </c>
      <c r="D966" s="173"/>
      <c r="P966" s="163"/>
      <c r="V966" s="169"/>
    </row>
    <row r="967" spans="1:28" ht="15.75" customHeight="1" x14ac:dyDescent="0.2">
      <c r="A967" s="165"/>
      <c r="D967" s="173"/>
      <c r="P967" s="163"/>
      <c r="V967" s="169"/>
    </row>
    <row r="968" spans="1:28" ht="15.75" customHeight="1" x14ac:dyDescent="0.2">
      <c r="A968" s="165"/>
      <c r="D968" s="173"/>
      <c r="P968" s="163"/>
      <c r="V968" s="169"/>
    </row>
    <row r="969" spans="1:28" ht="15.75" customHeight="1" x14ac:dyDescent="0.2">
      <c r="A969" s="165"/>
      <c r="D969" s="173"/>
      <c r="P969" s="163"/>
      <c r="V969" s="169"/>
    </row>
    <row r="970" spans="1:28" ht="15.75" customHeight="1" x14ac:dyDescent="0.2">
      <c r="A970" s="165"/>
      <c r="D970" s="173"/>
      <c r="P970" s="163"/>
      <c r="V970" s="169"/>
    </row>
    <row r="971" spans="1:28" ht="15.75" customHeight="1" x14ac:dyDescent="0.2">
      <c r="A971" s="165"/>
      <c r="D971" s="173"/>
      <c r="P971" s="163"/>
      <c r="V971" s="169"/>
    </row>
    <row r="972" spans="1:28" ht="15.75" customHeight="1" x14ac:dyDescent="0.2">
      <c r="A972" s="165"/>
      <c r="D972" s="173"/>
      <c r="P972" s="163"/>
      <c r="V972" s="169"/>
    </row>
    <row r="973" spans="1:28" ht="15.75" customHeight="1" x14ac:dyDescent="0.2">
      <c r="A973" s="165"/>
      <c r="D973" s="173"/>
      <c r="P973" s="163"/>
      <c r="V973" s="169"/>
    </row>
    <row r="974" spans="1:28" ht="15.75" customHeight="1" x14ac:dyDescent="0.2">
      <c r="A974" s="165"/>
      <c r="D974" s="173"/>
      <c r="P974" s="163"/>
      <c r="V974" s="169"/>
    </row>
    <row r="975" spans="1:28" ht="15.75" customHeight="1" x14ac:dyDescent="0.2">
      <c r="A975" s="165"/>
      <c r="D975" s="173"/>
      <c r="P975" s="163"/>
      <c r="V975" s="169"/>
    </row>
    <row r="976" spans="1:28" ht="15.75" customHeight="1" x14ac:dyDescent="0.2">
      <c r="A976" s="165"/>
      <c r="D976" s="173"/>
      <c r="P976" s="163"/>
      <c r="V976" s="169"/>
    </row>
    <row r="977" spans="1:22" ht="15.75" customHeight="1" x14ac:dyDescent="0.2">
      <c r="A977" s="165"/>
      <c r="D977" s="173"/>
      <c r="P977" s="163"/>
      <c r="V977" s="169"/>
    </row>
    <row r="978" spans="1:22" ht="15.75" customHeight="1" x14ac:dyDescent="0.2">
      <c r="A978" s="165"/>
      <c r="D978" s="173"/>
      <c r="P978" s="163"/>
      <c r="V978" s="169"/>
    </row>
    <row r="979" spans="1:22" ht="15.75" customHeight="1" x14ac:dyDescent="0.2">
      <c r="A979" s="165"/>
      <c r="D979" s="173"/>
      <c r="P979" s="163"/>
      <c r="V979" s="169"/>
    </row>
    <row r="980" spans="1:22" ht="15.75" customHeight="1" x14ac:dyDescent="0.2">
      <c r="A980" s="165"/>
      <c r="D980" s="173"/>
      <c r="P980" s="163"/>
      <c r="V980" s="169"/>
    </row>
    <row r="981" spans="1:22" ht="15.75" customHeight="1" x14ac:dyDescent="0.2">
      <c r="A981" s="165"/>
      <c r="D981" s="173"/>
      <c r="P981" s="163"/>
      <c r="V981" s="169"/>
    </row>
    <row r="982" spans="1:22" ht="15.75" customHeight="1" x14ac:dyDescent="0.2">
      <c r="A982" s="165"/>
      <c r="D982" s="173"/>
      <c r="P982" s="163"/>
      <c r="V982" s="169"/>
    </row>
    <row r="983" spans="1:22" ht="15.75" customHeight="1" x14ac:dyDescent="0.2">
      <c r="A983" s="165"/>
      <c r="D983" s="173"/>
      <c r="P983" s="163"/>
      <c r="V983" s="169"/>
    </row>
    <row r="984" spans="1:22" ht="15.75" customHeight="1" x14ac:dyDescent="0.2">
      <c r="A984" s="165"/>
      <c r="D984" s="173"/>
      <c r="P984" s="163"/>
      <c r="V984" s="169"/>
    </row>
    <row r="985" spans="1:22" ht="15.75" customHeight="1" x14ac:dyDescent="0.2">
      <c r="A985" s="165"/>
      <c r="D985" s="173"/>
      <c r="P985" s="163"/>
      <c r="V985" s="169"/>
    </row>
    <row r="986" spans="1:22" ht="15.75" customHeight="1" x14ac:dyDescent="0.2">
      <c r="A986" s="165"/>
      <c r="D986" s="173"/>
      <c r="P986" s="163"/>
      <c r="V986" s="169"/>
    </row>
    <row r="987" spans="1:22" ht="15.75" customHeight="1" x14ac:dyDescent="0.2">
      <c r="A987" s="165"/>
      <c r="D987" s="173"/>
      <c r="P987" s="163"/>
      <c r="V987" s="169"/>
    </row>
    <row r="988" spans="1:22" ht="15.75" customHeight="1" x14ac:dyDescent="0.2">
      <c r="A988" s="165"/>
      <c r="D988" s="173"/>
      <c r="P988" s="163"/>
      <c r="V988" s="169"/>
    </row>
    <row r="989" spans="1:22" ht="15.75" customHeight="1" x14ac:dyDescent="0.2">
      <c r="A989" s="165"/>
      <c r="D989" s="173"/>
      <c r="P989" s="163"/>
      <c r="V989" s="169"/>
    </row>
    <row r="990" spans="1:22" ht="15.75" customHeight="1" x14ac:dyDescent="0.2">
      <c r="A990" s="165"/>
      <c r="D990" s="173"/>
      <c r="P990" s="163"/>
      <c r="V990" s="169"/>
    </row>
    <row r="991" spans="1:22" ht="15.75" customHeight="1" x14ac:dyDescent="0.2">
      <c r="A991" s="165"/>
      <c r="D991" s="173"/>
      <c r="P991" s="163"/>
      <c r="V991" s="169"/>
    </row>
    <row r="992" spans="1:22" ht="15.75" customHeight="1" x14ac:dyDescent="0.2">
      <c r="A992" s="165"/>
      <c r="D992" s="173"/>
      <c r="P992" s="163"/>
      <c r="V992" s="169"/>
    </row>
    <row r="993" spans="1:22" ht="15.75" customHeight="1" x14ac:dyDescent="0.2">
      <c r="A993" s="165"/>
      <c r="D993" s="173"/>
      <c r="P993" s="163"/>
      <c r="V993" s="169"/>
    </row>
    <row r="994" spans="1:22" ht="15.75" customHeight="1" x14ac:dyDescent="0.2">
      <c r="A994" s="165"/>
      <c r="D994" s="173"/>
      <c r="P994" s="163"/>
      <c r="V994" s="169"/>
    </row>
    <row r="995" spans="1:22" ht="15.75" customHeight="1" x14ac:dyDescent="0.2">
      <c r="A995" s="165"/>
      <c r="D995" s="173"/>
      <c r="P995" s="163"/>
      <c r="V995" s="169"/>
    </row>
    <row r="996" spans="1:22" ht="15.75" customHeight="1" x14ac:dyDescent="0.2">
      <c r="A996" s="165"/>
      <c r="D996" s="173"/>
      <c r="P996" s="163"/>
      <c r="V996" s="169"/>
    </row>
    <row r="997" spans="1:22" ht="15.75" customHeight="1" x14ac:dyDescent="0.2">
      <c r="A997" s="165"/>
      <c r="D997" s="173"/>
      <c r="P997" s="163"/>
      <c r="V997" s="169"/>
    </row>
    <row r="998" spans="1:22" ht="15.75" customHeight="1" x14ac:dyDescent="0.2">
      <c r="A998" s="165"/>
      <c r="D998" s="173"/>
      <c r="P998" s="163"/>
      <c r="V998" s="169"/>
    </row>
    <row r="999" spans="1:22" ht="15.75" customHeight="1" x14ac:dyDescent="0.2">
      <c r="A999" s="165"/>
      <c r="D999" s="173"/>
      <c r="P999" s="163"/>
      <c r="V999" s="169"/>
    </row>
    <row r="1000" spans="1:22" ht="15.75" customHeight="1" x14ac:dyDescent="0.2">
      <c r="A1000" s="165"/>
      <c r="D1000" s="173"/>
      <c r="P1000" s="163"/>
      <c r="V1000" s="169"/>
    </row>
    <row r="1001" spans="1:22" ht="15.75" customHeight="1" x14ac:dyDescent="0.2">
      <c r="A1001" s="165"/>
      <c r="D1001" s="173"/>
      <c r="P1001" s="163"/>
      <c r="V1001" s="169"/>
    </row>
    <row r="1002" spans="1:22" ht="15.75" customHeight="1" x14ac:dyDescent="0.2">
      <c r="A1002" s="165"/>
      <c r="D1002" s="173"/>
      <c r="P1002" s="163"/>
      <c r="V1002" s="169"/>
    </row>
    <row r="1003" spans="1:22" ht="15.75" customHeight="1" x14ac:dyDescent="0.2">
      <c r="A1003" s="165"/>
      <c r="D1003" s="173"/>
      <c r="P1003" s="163"/>
      <c r="V1003" s="169"/>
    </row>
    <row r="1004" spans="1:22" ht="15.75" customHeight="1" x14ac:dyDescent="0.2">
      <c r="A1004" s="165"/>
      <c r="D1004" s="173"/>
      <c r="P1004" s="163"/>
      <c r="V1004" s="169"/>
    </row>
    <row r="1005" spans="1:22" ht="15.75" customHeight="1" x14ac:dyDescent="0.2">
      <c r="A1005" s="165"/>
      <c r="D1005" s="173"/>
      <c r="P1005" s="163"/>
      <c r="V1005" s="169"/>
    </row>
    <row r="1006" spans="1:22" ht="15.75" customHeight="1" x14ac:dyDescent="0.2">
      <c r="A1006" s="165"/>
      <c r="D1006" s="173"/>
      <c r="P1006" s="163"/>
      <c r="V1006" s="169"/>
    </row>
    <row r="1007" spans="1:22" ht="15.75" customHeight="1" x14ac:dyDescent="0.2">
      <c r="A1007" s="165"/>
      <c r="D1007" s="173"/>
      <c r="P1007" s="163"/>
      <c r="V1007" s="169"/>
    </row>
    <row r="1008" spans="1:22" ht="15.75" customHeight="1" x14ac:dyDescent="0.2">
      <c r="A1008" s="165"/>
      <c r="D1008" s="173"/>
      <c r="P1008" s="163"/>
      <c r="V1008" s="169"/>
    </row>
    <row r="1009" spans="1:22" ht="15.75" customHeight="1" x14ac:dyDescent="0.2">
      <c r="A1009" s="165"/>
      <c r="D1009" s="173"/>
      <c r="P1009" s="163"/>
      <c r="V1009" s="169"/>
    </row>
    <row r="1010" spans="1:22" ht="15.75" customHeight="1" x14ac:dyDescent="0.2">
      <c r="A1010" s="165"/>
      <c r="D1010" s="173"/>
      <c r="P1010" s="163"/>
      <c r="V1010" s="169"/>
    </row>
    <row r="1011" spans="1:22" ht="15.75" customHeight="1" x14ac:dyDescent="0.2">
      <c r="A1011" s="165"/>
      <c r="D1011" s="173"/>
      <c r="P1011" s="163"/>
      <c r="V1011" s="169"/>
    </row>
    <row r="1012" spans="1:22" ht="15.75" customHeight="1" x14ac:dyDescent="0.2">
      <c r="A1012" s="165"/>
      <c r="D1012" s="173"/>
      <c r="P1012" s="163"/>
      <c r="V1012" s="169"/>
    </row>
    <row r="1013" spans="1:22" ht="15.75" customHeight="1" x14ac:dyDescent="0.2">
      <c r="A1013" s="165"/>
      <c r="D1013" s="173"/>
      <c r="P1013" s="163"/>
      <c r="V1013" s="169"/>
    </row>
    <row r="1014" spans="1:22" ht="15.75" customHeight="1" x14ac:dyDescent="0.2">
      <c r="A1014" s="165"/>
      <c r="D1014" s="173"/>
      <c r="P1014" s="163"/>
      <c r="V1014" s="169"/>
    </row>
    <row r="1015" spans="1:22" ht="15.75" customHeight="1" x14ac:dyDescent="0.2">
      <c r="A1015" s="165"/>
      <c r="D1015" s="173"/>
      <c r="P1015" s="163"/>
      <c r="V1015" s="169"/>
    </row>
    <row r="1016" spans="1:22" ht="15.75" customHeight="1" x14ac:dyDescent="0.2">
      <c r="A1016" s="165"/>
      <c r="D1016" s="173"/>
      <c r="P1016" s="163"/>
      <c r="V1016" s="169"/>
    </row>
    <row r="1017" spans="1:22" ht="15.75" customHeight="1" x14ac:dyDescent="0.2">
      <c r="A1017" s="165"/>
      <c r="D1017" s="173"/>
      <c r="P1017" s="163"/>
      <c r="V1017" s="169"/>
    </row>
    <row r="1018" spans="1:22" ht="15.75" customHeight="1" x14ac:dyDescent="0.2">
      <c r="A1018" s="165"/>
      <c r="D1018" s="173"/>
      <c r="P1018" s="163"/>
      <c r="V1018" s="169"/>
    </row>
    <row r="1019" spans="1:22" ht="15.75" customHeight="1" x14ac:dyDescent="0.2">
      <c r="A1019" s="165"/>
      <c r="D1019" s="173"/>
      <c r="P1019" s="163"/>
      <c r="V1019" s="169"/>
    </row>
    <row r="1020" spans="1:22" ht="15.75" customHeight="1" x14ac:dyDescent="0.2">
      <c r="A1020" s="165"/>
      <c r="D1020" s="173"/>
      <c r="P1020" s="163"/>
      <c r="V1020" s="169"/>
    </row>
    <row r="1021" spans="1:22" ht="15.75" customHeight="1" x14ac:dyDescent="0.2">
      <c r="A1021" s="165"/>
      <c r="D1021" s="173"/>
      <c r="P1021" s="163"/>
      <c r="V1021" s="169"/>
    </row>
    <row r="1022" spans="1:22" ht="15.75" customHeight="1" x14ac:dyDescent="0.2">
      <c r="A1022" s="165"/>
      <c r="D1022" s="173"/>
      <c r="P1022" s="163"/>
      <c r="V1022" s="169"/>
    </row>
    <row r="1023" spans="1:22" ht="15.75" customHeight="1" x14ac:dyDescent="0.2">
      <c r="A1023" s="165"/>
      <c r="D1023" s="173"/>
      <c r="P1023" s="163"/>
      <c r="V1023" s="169"/>
    </row>
    <row r="1024" spans="1:22" ht="15.75" customHeight="1" x14ac:dyDescent="0.2">
      <c r="A1024" s="165"/>
      <c r="D1024" s="173"/>
      <c r="P1024" s="163"/>
      <c r="V1024" s="169"/>
    </row>
    <row r="1025" spans="1:22" ht="15.75" customHeight="1" x14ac:dyDescent="0.2">
      <c r="A1025" s="165"/>
      <c r="D1025" s="173"/>
      <c r="P1025" s="163"/>
      <c r="V1025" s="169"/>
    </row>
    <row r="1026" spans="1:22" ht="15.75" customHeight="1" x14ac:dyDescent="0.2">
      <c r="A1026" s="165"/>
      <c r="D1026" s="173"/>
      <c r="P1026" s="163"/>
      <c r="V1026" s="169"/>
    </row>
    <row r="1027" spans="1:22" ht="15.75" customHeight="1" x14ac:dyDescent="0.2">
      <c r="A1027" s="165"/>
      <c r="D1027" s="173"/>
      <c r="P1027" s="163"/>
      <c r="V1027" s="169"/>
    </row>
    <row r="1028" spans="1:22" ht="15.75" customHeight="1" x14ac:dyDescent="0.2">
      <c r="A1028" s="165"/>
      <c r="D1028" s="173"/>
      <c r="P1028" s="163"/>
      <c r="V1028" s="169"/>
    </row>
    <row r="1029" spans="1:22" ht="15.75" customHeight="1" x14ac:dyDescent="0.2">
      <c r="A1029" s="165"/>
      <c r="D1029" s="173"/>
      <c r="P1029" s="163"/>
      <c r="V1029" s="169"/>
    </row>
    <row r="1030" spans="1:22" ht="15.75" customHeight="1" x14ac:dyDescent="0.2">
      <c r="A1030" s="165"/>
      <c r="D1030" s="173"/>
      <c r="P1030" s="163"/>
      <c r="V1030" s="169"/>
    </row>
    <row r="1031" spans="1:22" ht="15.75" customHeight="1" x14ac:dyDescent="0.2">
      <c r="A1031" s="165"/>
      <c r="D1031" s="173"/>
      <c r="P1031" s="163"/>
      <c r="V1031" s="169"/>
    </row>
    <row r="1032" spans="1:22" ht="15.75" customHeight="1" x14ac:dyDescent="0.2">
      <c r="A1032" s="165"/>
      <c r="D1032" s="173"/>
      <c r="P1032" s="163"/>
      <c r="V1032" s="169"/>
    </row>
    <row r="1033" spans="1:22" ht="15.75" customHeight="1" x14ac:dyDescent="0.2">
      <c r="A1033" s="165"/>
      <c r="D1033" s="173"/>
      <c r="P1033" s="163"/>
      <c r="V1033" s="169"/>
    </row>
    <row r="1034" spans="1:22" ht="15.75" customHeight="1" x14ac:dyDescent="0.2">
      <c r="A1034" s="165"/>
      <c r="D1034" s="173"/>
      <c r="P1034" s="163"/>
      <c r="V1034" s="169"/>
    </row>
    <row r="1035" spans="1:22" ht="15.75" customHeight="1" x14ac:dyDescent="0.2">
      <c r="A1035" s="165"/>
      <c r="D1035" s="173"/>
      <c r="P1035" s="163"/>
      <c r="V1035" s="169"/>
    </row>
    <row r="1036" spans="1:22" ht="15.75" customHeight="1" x14ac:dyDescent="0.2">
      <c r="A1036" s="165"/>
      <c r="D1036" s="173"/>
      <c r="P1036" s="163"/>
      <c r="V1036" s="169"/>
    </row>
    <row r="1037" spans="1:22" ht="15.75" customHeight="1" x14ac:dyDescent="0.2">
      <c r="A1037" s="165"/>
      <c r="D1037" s="173"/>
      <c r="P1037" s="163"/>
      <c r="V1037" s="169"/>
    </row>
    <row r="1038" spans="1:22" ht="15.75" customHeight="1" x14ac:dyDescent="0.2">
      <c r="A1038" s="165"/>
      <c r="D1038" s="173"/>
      <c r="P1038" s="163"/>
      <c r="V1038" s="169"/>
    </row>
    <row r="1039" spans="1:22" ht="15.75" customHeight="1" x14ac:dyDescent="0.2">
      <c r="A1039" s="165"/>
      <c r="D1039" s="173"/>
      <c r="P1039" s="163"/>
      <c r="V1039" s="169"/>
    </row>
    <row r="1040" spans="1:22" ht="15.75" customHeight="1" x14ac:dyDescent="0.2">
      <c r="A1040" s="165"/>
      <c r="D1040" s="173"/>
      <c r="P1040" s="163"/>
      <c r="V1040" s="169"/>
    </row>
    <row r="1041" spans="1:22" ht="15.75" customHeight="1" x14ac:dyDescent="0.2">
      <c r="A1041" s="165"/>
      <c r="D1041" s="173"/>
      <c r="P1041" s="163"/>
      <c r="V1041" s="169"/>
    </row>
    <row r="1042" spans="1:22" ht="15.75" customHeight="1" x14ac:dyDescent="0.2">
      <c r="A1042" s="165"/>
      <c r="D1042" s="173"/>
      <c r="P1042" s="163"/>
      <c r="V1042" s="169"/>
    </row>
    <row r="1043" spans="1:22" ht="15.75" customHeight="1" x14ac:dyDescent="0.2">
      <c r="A1043" s="165"/>
      <c r="D1043" s="173"/>
      <c r="P1043" s="163"/>
      <c r="V1043" s="169"/>
    </row>
    <row r="1044" spans="1:22" ht="15.75" customHeight="1" x14ac:dyDescent="0.2">
      <c r="A1044" s="165"/>
      <c r="D1044" s="173"/>
      <c r="P1044" s="163"/>
      <c r="V1044" s="169"/>
    </row>
    <row r="1045" spans="1:22" ht="15.75" customHeight="1" x14ac:dyDescent="0.2">
      <c r="A1045" s="165"/>
      <c r="D1045" s="173"/>
      <c r="P1045" s="163"/>
      <c r="V1045" s="169"/>
    </row>
    <row r="1046" spans="1:22" ht="15.75" customHeight="1" x14ac:dyDescent="0.2">
      <c r="A1046" s="165"/>
      <c r="D1046" s="173"/>
      <c r="P1046" s="163"/>
      <c r="V1046" s="169"/>
    </row>
    <row r="1047" spans="1:22" ht="15.75" customHeight="1" x14ac:dyDescent="0.2">
      <c r="A1047" s="165"/>
      <c r="D1047" s="173"/>
      <c r="P1047" s="163"/>
      <c r="V1047" s="169"/>
    </row>
    <row r="1048" spans="1:22" ht="15.75" customHeight="1" x14ac:dyDescent="0.2">
      <c r="A1048" s="165"/>
      <c r="D1048" s="173"/>
      <c r="P1048" s="163"/>
      <c r="V1048" s="169"/>
    </row>
    <row r="1049" spans="1:22" ht="15.75" customHeight="1" x14ac:dyDescent="0.2">
      <c r="A1049" s="165"/>
      <c r="D1049" s="173"/>
      <c r="P1049" s="163"/>
      <c r="V1049" s="169"/>
    </row>
    <row r="1050" spans="1:22" ht="15.75" customHeight="1" x14ac:dyDescent="0.2">
      <c r="A1050" s="165"/>
      <c r="D1050" s="173"/>
      <c r="P1050" s="163"/>
      <c r="V1050" s="169"/>
    </row>
    <row r="1051" spans="1:22" ht="15.75" customHeight="1" x14ac:dyDescent="0.2">
      <c r="A1051" s="165"/>
      <c r="D1051" s="173"/>
      <c r="P1051" s="163"/>
      <c r="V1051" s="169"/>
    </row>
    <row r="1052" spans="1:22" ht="15.75" customHeight="1" x14ac:dyDescent="0.2">
      <c r="A1052" s="165"/>
      <c r="D1052" s="173"/>
      <c r="P1052" s="163"/>
      <c r="V1052" s="169"/>
    </row>
    <row r="1053" spans="1:22" ht="15.75" customHeight="1" x14ac:dyDescent="0.2">
      <c r="A1053" s="165"/>
      <c r="D1053" s="173"/>
      <c r="P1053" s="163"/>
      <c r="V1053" s="169"/>
    </row>
    <row r="1054" spans="1:22" ht="15.75" customHeight="1" x14ac:dyDescent="0.2">
      <c r="A1054" s="165"/>
      <c r="D1054" s="173"/>
      <c r="P1054" s="163"/>
      <c r="V1054" s="169"/>
    </row>
    <row r="1055" spans="1:22" ht="15.75" customHeight="1" x14ac:dyDescent="0.2">
      <c r="A1055" s="165"/>
      <c r="D1055" s="173"/>
      <c r="P1055" s="163"/>
      <c r="V1055" s="169"/>
    </row>
    <row r="1056" spans="1:22" ht="15.75" customHeight="1" x14ac:dyDescent="0.2">
      <c r="A1056" s="165"/>
      <c r="D1056" s="173"/>
      <c r="P1056" s="163"/>
      <c r="V1056" s="169"/>
    </row>
    <row r="1057" spans="1:22" ht="15.75" customHeight="1" x14ac:dyDescent="0.2">
      <c r="A1057" s="165"/>
      <c r="D1057" s="173"/>
      <c r="P1057" s="163"/>
      <c r="V1057" s="169"/>
    </row>
    <row r="1058" spans="1:22" ht="15.75" customHeight="1" x14ac:dyDescent="0.2">
      <c r="A1058" s="165"/>
      <c r="D1058" s="173"/>
      <c r="P1058" s="163"/>
      <c r="V1058" s="169"/>
    </row>
    <row r="1059" spans="1:22" ht="15.75" customHeight="1" x14ac:dyDescent="0.2">
      <c r="A1059" s="165"/>
      <c r="D1059" s="173"/>
      <c r="P1059" s="163"/>
      <c r="V1059" s="169"/>
    </row>
    <row r="1060" spans="1:22" ht="15.75" customHeight="1" x14ac:dyDescent="0.2">
      <c r="A1060" s="165"/>
      <c r="D1060" s="173"/>
      <c r="P1060" s="163"/>
      <c r="V1060" s="169"/>
    </row>
    <row r="1061" spans="1:22" ht="15.75" customHeight="1" x14ac:dyDescent="0.2">
      <c r="A1061" s="165"/>
      <c r="D1061" s="173"/>
      <c r="P1061" s="163"/>
      <c r="V1061" s="169"/>
    </row>
    <row r="1062" spans="1:22" ht="15.75" customHeight="1" x14ac:dyDescent="0.2">
      <c r="A1062" s="165"/>
      <c r="D1062" s="173"/>
      <c r="P1062" s="163"/>
      <c r="V1062" s="169"/>
    </row>
    <row r="1063" spans="1:22" ht="15.75" customHeight="1" x14ac:dyDescent="0.2">
      <c r="A1063" s="165"/>
      <c r="D1063" s="173"/>
      <c r="P1063" s="163"/>
      <c r="V1063" s="169"/>
    </row>
    <row r="1064" spans="1:22" ht="15.75" customHeight="1" x14ac:dyDescent="0.2">
      <c r="A1064" s="165"/>
      <c r="D1064" s="173"/>
      <c r="P1064" s="163"/>
      <c r="V1064" s="169"/>
    </row>
    <row r="1065" spans="1:22" ht="15.75" customHeight="1" x14ac:dyDescent="0.2">
      <c r="A1065" s="165"/>
      <c r="D1065" s="173"/>
      <c r="P1065" s="163"/>
      <c r="V1065" s="169"/>
    </row>
    <row r="1066" spans="1:22" ht="15.75" customHeight="1" x14ac:dyDescent="0.2">
      <c r="A1066" s="165"/>
      <c r="D1066" s="173"/>
      <c r="P1066" s="163"/>
      <c r="V1066" s="169"/>
    </row>
    <row r="1067" spans="1:22" ht="15.75" customHeight="1" x14ac:dyDescent="0.2">
      <c r="A1067" s="165"/>
      <c r="D1067" s="173"/>
      <c r="P1067" s="163"/>
      <c r="V1067" s="169"/>
    </row>
    <row r="1068" spans="1:22" ht="15.75" customHeight="1" x14ac:dyDescent="0.2">
      <c r="A1068" s="165"/>
      <c r="D1068" s="173"/>
      <c r="P1068" s="163"/>
      <c r="V1068" s="169"/>
    </row>
    <row r="1069" spans="1:22" ht="15.75" customHeight="1" x14ac:dyDescent="0.2">
      <c r="A1069" s="165"/>
      <c r="D1069" s="173"/>
      <c r="P1069" s="163"/>
      <c r="V1069" s="169"/>
    </row>
    <row r="1070" spans="1:22" ht="15.75" customHeight="1" x14ac:dyDescent="0.2">
      <c r="A1070" s="165"/>
      <c r="D1070" s="173"/>
      <c r="P1070" s="163"/>
      <c r="V1070" s="169"/>
    </row>
    <row r="1071" spans="1:22" ht="15.75" customHeight="1" x14ac:dyDescent="0.2">
      <c r="A1071" s="165"/>
      <c r="D1071" s="173"/>
      <c r="P1071" s="163"/>
      <c r="V1071" s="169"/>
    </row>
    <row r="1072" spans="1:22" ht="15.75" customHeight="1" x14ac:dyDescent="0.2">
      <c r="A1072" s="165"/>
      <c r="D1072" s="173"/>
      <c r="P1072" s="163"/>
      <c r="V1072" s="169"/>
    </row>
    <row r="1073" spans="1:22" ht="15.75" customHeight="1" x14ac:dyDescent="0.2">
      <c r="A1073" s="165"/>
      <c r="D1073" s="173"/>
      <c r="P1073" s="163"/>
      <c r="V1073" s="169"/>
    </row>
    <row r="1074" spans="1:22" ht="15.75" customHeight="1" x14ac:dyDescent="0.2">
      <c r="A1074" s="165"/>
      <c r="D1074" s="173"/>
      <c r="P1074" s="163"/>
      <c r="V1074" s="169"/>
    </row>
    <row r="1075" spans="1:22" ht="15.75" customHeight="1" x14ac:dyDescent="0.2">
      <c r="A1075" s="165"/>
      <c r="D1075" s="173"/>
      <c r="P1075" s="163"/>
      <c r="V1075" s="169"/>
    </row>
    <row r="1076" spans="1:22" ht="15.75" customHeight="1" x14ac:dyDescent="0.2">
      <c r="A1076" s="165"/>
      <c r="D1076" s="173"/>
      <c r="P1076" s="163"/>
      <c r="V1076" s="169"/>
    </row>
    <row r="1077" spans="1:22" ht="15.75" customHeight="1" x14ac:dyDescent="0.2">
      <c r="A1077" s="165"/>
      <c r="D1077" s="173"/>
      <c r="P1077" s="163"/>
      <c r="V1077" s="169"/>
    </row>
    <row r="1078" spans="1:22" ht="15.75" customHeight="1" x14ac:dyDescent="0.2">
      <c r="A1078" s="165"/>
      <c r="D1078" s="173"/>
      <c r="P1078" s="163"/>
      <c r="V1078" s="169"/>
    </row>
    <row r="1079" spans="1:22" ht="15.75" customHeight="1" x14ac:dyDescent="0.2">
      <c r="A1079" s="165"/>
      <c r="D1079" s="173"/>
      <c r="P1079" s="163"/>
      <c r="V1079" s="169"/>
    </row>
    <row r="1080" spans="1:22" ht="15.75" customHeight="1" x14ac:dyDescent="0.2">
      <c r="A1080" s="165"/>
      <c r="D1080" s="173"/>
      <c r="P1080" s="163"/>
      <c r="V1080" s="169"/>
    </row>
    <row r="1081" spans="1:22" ht="15.75" customHeight="1" x14ac:dyDescent="0.2">
      <c r="A1081" s="165"/>
      <c r="D1081" s="173"/>
      <c r="P1081" s="163"/>
      <c r="V1081" s="169"/>
    </row>
    <row r="1082" spans="1:22" ht="15.75" customHeight="1" x14ac:dyDescent="0.2">
      <c r="A1082" s="165"/>
      <c r="D1082" s="173"/>
      <c r="P1082" s="163"/>
      <c r="V1082" s="169"/>
    </row>
    <row r="1083" spans="1:22" ht="15.75" customHeight="1" x14ac:dyDescent="0.2">
      <c r="A1083" s="165"/>
      <c r="D1083" s="173"/>
      <c r="P1083" s="163"/>
      <c r="V1083" s="169"/>
    </row>
    <row r="1084" spans="1:22" ht="15.75" customHeight="1" x14ac:dyDescent="0.2">
      <c r="A1084" s="165"/>
      <c r="D1084" s="173"/>
      <c r="P1084" s="163"/>
      <c r="V1084" s="169"/>
    </row>
    <row r="1085" spans="1:22" ht="15.75" customHeight="1" x14ac:dyDescent="0.2">
      <c r="A1085" s="165"/>
      <c r="D1085" s="173"/>
      <c r="P1085" s="163"/>
      <c r="V1085" s="169"/>
    </row>
    <row r="1086" spans="1:22" ht="15.75" customHeight="1" x14ac:dyDescent="0.2">
      <c r="A1086" s="165"/>
      <c r="D1086" s="173"/>
      <c r="P1086" s="163"/>
      <c r="V1086" s="169"/>
    </row>
    <row r="1087" spans="1:22" ht="15.75" customHeight="1" x14ac:dyDescent="0.2">
      <c r="A1087" s="165"/>
      <c r="D1087" s="173"/>
      <c r="P1087" s="163"/>
      <c r="V1087" s="169"/>
    </row>
    <row r="1088" spans="1:22" ht="15.75" customHeight="1" x14ac:dyDescent="0.2">
      <c r="A1088" s="165"/>
      <c r="D1088" s="173"/>
      <c r="P1088" s="163"/>
      <c r="V1088" s="169"/>
    </row>
    <row r="1089" spans="1:22" ht="15.75" customHeight="1" x14ac:dyDescent="0.2">
      <c r="A1089" s="165"/>
      <c r="D1089" s="173"/>
      <c r="P1089" s="163"/>
      <c r="V1089" s="169"/>
    </row>
    <row r="1090" spans="1:22" ht="15.75" customHeight="1" x14ac:dyDescent="0.2">
      <c r="A1090" s="165"/>
      <c r="D1090" s="173"/>
      <c r="P1090" s="163"/>
      <c r="V1090" s="169"/>
    </row>
    <row r="1091" spans="1:22" ht="15.75" customHeight="1" x14ac:dyDescent="0.2">
      <c r="A1091" s="165"/>
      <c r="D1091" s="173"/>
      <c r="P1091" s="163"/>
      <c r="V1091" s="169"/>
    </row>
    <row r="1092" spans="1:22" ht="15.75" customHeight="1" x14ac:dyDescent="0.2">
      <c r="A1092" s="165"/>
      <c r="D1092" s="173"/>
      <c r="P1092" s="163"/>
      <c r="V1092" s="169"/>
    </row>
    <row r="1093" spans="1:22" ht="15.75" customHeight="1" x14ac:dyDescent="0.2">
      <c r="A1093" s="165"/>
      <c r="D1093" s="173"/>
      <c r="P1093" s="163"/>
      <c r="V1093" s="169"/>
    </row>
    <row r="1094" spans="1:22" ht="15.75" customHeight="1" x14ac:dyDescent="0.2">
      <c r="A1094" s="165"/>
      <c r="D1094" s="173"/>
      <c r="P1094" s="163"/>
      <c r="V1094" s="169"/>
    </row>
    <row r="1095" spans="1:22" ht="15.75" customHeight="1" x14ac:dyDescent="0.2">
      <c r="A1095" s="165"/>
      <c r="D1095" s="173"/>
      <c r="P1095" s="163"/>
      <c r="V1095" s="169"/>
    </row>
    <row r="1096" spans="1:22" ht="15.75" customHeight="1" x14ac:dyDescent="0.2">
      <c r="A1096" s="165"/>
      <c r="D1096" s="173"/>
      <c r="P1096" s="163"/>
      <c r="V1096" s="169"/>
    </row>
    <row r="1097" spans="1:22" ht="15.75" customHeight="1" x14ac:dyDescent="0.2">
      <c r="A1097" s="165"/>
      <c r="D1097" s="173"/>
      <c r="P1097" s="163"/>
      <c r="V1097" s="169"/>
    </row>
    <row r="1098" spans="1:22" ht="15.75" customHeight="1" x14ac:dyDescent="0.2">
      <c r="A1098" s="165"/>
      <c r="D1098" s="173"/>
      <c r="P1098" s="163"/>
      <c r="V1098" s="169"/>
    </row>
    <row r="1099" spans="1:22" ht="15.75" customHeight="1" x14ac:dyDescent="0.2">
      <c r="A1099" s="165"/>
      <c r="D1099" s="173"/>
      <c r="P1099" s="163"/>
      <c r="V1099" s="169"/>
    </row>
    <row r="1100" spans="1:22" ht="15.75" customHeight="1" x14ac:dyDescent="0.2">
      <c r="A1100" s="165"/>
      <c r="D1100" s="173"/>
      <c r="P1100" s="163"/>
      <c r="V1100" s="169"/>
    </row>
    <row r="1101" spans="1:22" ht="15.75" customHeight="1" x14ac:dyDescent="0.2">
      <c r="A1101" s="165"/>
      <c r="D1101" s="173"/>
      <c r="P1101" s="163"/>
      <c r="V1101" s="169"/>
    </row>
    <row r="1102" spans="1:22" ht="15.75" customHeight="1" x14ac:dyDescent="0.2">
      <c r="A1102" s="165"/>
      <c r="D1102" s="173"/>
      <c r="P1102" s="163"/>
      <c r="V1102" s="169"/>
    </row>
    <row r="1103" spans="1:22" ht="15.75" customHeight="1" x14ac:dyDescent="0.2">
      <c r="A1103" s="165"/>
      <c r="D1103" s="173"/>
      <c r="P1103" s="163"/>
      <c r="V1103" s="169"/>
    </row>
    <row r="1104" spans="1:22" ht="15.75" customHeight="1" x14ac:dyDescent="0.2">
      <c r="A1104" s="165"/>
      <c r="D1104" s="173"/>
      <c r="P1104" s="163"/>
      <c r="V1104" s="169"/>
    </row>
    <row r="1105" spans="1:22" ht="15.75" customHeight="1" x14ac:dyDescent="0.2">
      <c r="A1105" s="165"/>
      <c r="D1105" s="173"/>
      <c r="P1105" s="163"/>
      <c r="V1105" s="169"/>
    </row>
    <row r="1106" spans="1:22" ht="15.75" customHeight="1" x14ac:dyDescent="0.2">
      <c r="A1106" s="165"/>
      <c r="D1106" s="173"/>
      <c r="P1106" s="163"/>
      <c r="V1106" s="169"/>
    </row>
    <row r="1107" spans="1:22" ht="15.75" customHeight="1" x14ac:dyDescent="0.2">
      <c r="A1107" s="165"/>
      <c r="D1107" s="173"/>
      <c r="P1107" s="163"/>
      <c r="V1107" s="169"/>
    </row>
    <row r="1108" spans="1:22" ht="15.75" customHeight="1" x14ac:dyDescent="0.2">
      <c r="A1108" s="165"/>
      <c r="D1108" s="173"/>
      <c r="P1108" s="163"/>
      <c r="V1108" s="169"/>
    </row>
    <row r="1109" spans="1:22" ht="15.75" customHeight="1" x14ac:dyDescent="0.2">
      <c r="A1109" s="165"/>
      <c r="D1109" s="173"/>
      <c r="P1109" s="163"/>
      <c r="V1109" s="169"/>
    </row>
    <row r="1110" spans="1:22" ht="15.75" customHeight="1" x14ac:dyDescent="0.2">
      <c r="A1110" s="165"/>
      <c r="D1110" s="173"/>
      <c r="P1110" s="163"/>
      <c r="V1110" s="169"/>
    </row>
    <row r="1111" spans="1:22" ht="15.75" customHeight="1" x14ac:dyDescent="0.2">
      <c r="A1111" s="165"/>
      <c r="D1111" s="173"/>
      <c r="P1111" s="163"/>
      <c r="V1111" s="169"/>
    </row>
    <row r="1112" spans="1:22" ht="15.75" customHeight="1" x14ac:dyDescent="0.2">
      <c r="A1112" s="165"/>
      <c r="D1112" s="173"/>
      <c r="P1112" s="163"/>
      <c r="V1112" s="169"/>
    </row>
    <row r="1113" spans="1:22" ht="15.75" customHeight="1" x14ac:dyDescent="0.2">
      <c r="A1113" s="165"/>
      <c r="D1113" s="173"/>
      <c r="P1113" s="163"/>
      <c r="V1113" s="169"/>
    </row>
    <row r="1114" spans="1:22" ht="15.75" customHeight="1" x14ac:dyDescent="0.2">
      <c r="A1114" s="165"/>
      <c r="D1114" s="173"/>
      <c r="P1114" s="163"/>
      <c r="V1114" s="169"/>
    </row>
    <row r="1115" spans="1:22" ht="15.75" customHeight="1" x14ac:dyDescent="0.2">
      <c r="A1115" s="165"/>
      <c r="D1115" s="173"/>
      <c r="P1115" s="163"/>
      <c r="V1115" s="169"/>
    </row>
    <row r="1116" spans="1:22" ht="15.75" customHeight="1" x14ac:dyDescent="0.2">
      <c r="A1116" s="165"/>
      <c r="D1116" s="173"/>
      <c r="P1116" s="163"/>
      <c r="V1116" s="169"/>
    </row>
    <row r="1117" spans="1:22" ht="15.75" customHeight="1" x14ac:dyDescent="0.2">
      <c r="A1117" s="165"/>
      <c r="D1117" s="173"/>
      <c r="P1117" s="163"/>
      <c r="V1117" s="169"/>
    </row>
    <row r="1118" spans="1:22" ht="15.75" customHeight="1" x14ac:dyDescent="0.2">
      <c r="A1118" s="165"/>
      <c r="D1118" s="173"/>
      <c r="P1118" s="163"/>
      <c r="V1118" s="169"/>
    </row>
    <row r="1119" spans="1:22" ht="15.75" customHeight="1" x14ac:dyDescent="0.2">
      <c r="A1119" s="165"/>
      <c r="D1119" s="173"/>
      <c r="P1119" s="163"/>
      <c r="V1119" s="169"/>
    </row>
    <row r="1120" spans="1:22" ht="15.75" customHeight="1" x14ac:dyDescent="0.2">
      <c r="A1120" s="165"/>
      <c r="D1120" s="173"/>
      <c r="P1120" s="163"/>
      <c r="V1120" s="169"/>
    </row>
    <row r="1121" spans="1:22" ht="15.75" customHeight="1" x14ac:dyDescent="0.2">
      <c r="A1121" s="165"/>
      <c r="D1121" s="173"/>
      <c r="P1121" s="163"/>
      <c r="V1121" s="169"/>
    </row>
    <row r="1122" spans="1:22" ht="15.75" customHeight="1" x14ac:dyDescent="0.2">
      <c r="A1122" s="165"/>
      <c r="D1122" s="173"/>
      <c r="P1122" s="163"/>
      <c r="V1122" s="169"/>
    </row>
    <row r="1123" spans="1:22" ht="15.75" customHeight="1" x14ac:dyDescent="0.2">
      <c r="A1123" s="165"/>
      <c r="D1123" s="173"/>
      <c r="P1123" s="163"/>
      <c r="V1123" s="169"/>
    </row>
    <row r="1124" spans="1:22" ht="15.75" customHeight="1" x14ac:dyDescent="0.2">
      <c r="A1124" s="165"/>
      <c r="D1124" s="173"/>
      <c r="P1124" s="163"/>
      <c r="V1124" s="169"/>
    </row>
    <row r="1125" spans="1:22" ht="15.75" customHeight="1" x14ac:dyDescent="0.2">
      <c r="A1125" s="165"/>
      <c r="D1125" s="173"/>
      <c r="P1125" s="163"/>
      <c r="V1125" s="169"/>
    </row>
    <row r="1126" spans="1:22" ht="15.75" customHeight="1" x14ac:dyDescent="0.2">
      <c r="A1126" s="165"/>
      <c r="D1126" s="173"/>
      <c r="P1126" s="163"/>
      <c r="V1126" s="169"/>
    </row>
    <row r="1127" spans="1:22" ht="15.75" customHeight="1" x14ac:dyDescent="0.2">
      <c r="A1127" s="165"/>
      <c r="D1127" s="173"/>
      <c r="P1127" s="163"/>
      <c r="V1127" s="169"/>
    </row>
    <row r="1128" spans="1:22" ht="15.75" customHeight="1" x14ac:dyDescent="0.2">
      <c r="A1128" s="165"/>
      <c r="D1128" s="173"/>
      <c r="P1128" s="163"/>
      <c r="V1128" s="169"/>
    </row>
    <row r="1129" spans="1:22" ht="15.75" customHeight="1" x14ac:dyDescent="0.2">
      <c r="A1129" s="165"/>
      <c r="D1129" s="173"/>
      <c r="P1129" s="163"/>
      <c r="V1129" s="169"/>
    </row>
    <row r="1130" spans="1:22" ht="15.75" customHeight="1" x14ac:dyDescent="0.2">
      <c r="A1130" s="165"/>
      <c r="D1130" s="173"/>
      <c r="P1130" s="163"/>
      <c r="V1130" s="169"/>
    </row>
    <row r="1131" spans="1:22" ht="15.75" customHeight="1" x14ac:dyDescent="0.2">
      <c r="A1131" s="165"/>
      <c r="D1131" s="173"/>
      <c r="P1131" s="163"/>
      <c r="V1131" s="169"/>
    </row>
    <row r="1132" spans="1:22" ht="15.75" customHeight="1" x14ac:dyDescent="0.2">
      <c r="A1132" s="165"/>
      <c r="D1132" s="173"/>
      <c r="P1132" s="163"/>
      <c r="V1132" s="169"/>
    </row>
    <row r="1133" spans="1:22" ht="15.75" customHeight="1" x14ac:dyDescent="0.2">
      <c r="A1133" s="165"/>
      <c r="D1133" s="173"/>
      <c r="P1133" s="163"/>
      <c r="V1133" s="169"/>
    </row>
    <row r="1134" spans="1:22" ht="15.75" customHeight="1" x14ac:dyDescent="0.2">
      <c r="A1134" s="165"/>
      <c r="D1134" s="173"/>
      <c r="P1134" s="163"/>
      <c r="V1134" s="169"/>
    </row>
    <row r="1135" spans="1:22" ht="15.75" customHeight="1" x14ac:dyDescent="0.2">
      <c r="A1135" s="165"/>
      <c r="D1135" s="173"/>
      <c r="P1135" s="163"/>
      <c r="V1135" s="169"/>
    </row>
    <row r="1136" spans="1:22" ht="15.75" customHeight="1" x14ac:dyDescent="0.2">
      <c r="A1136" s="165"/>
      <c r="D1136" s="173"/>
      <c r="P1136" s="163"/>
      <c r="V1136" s="169"/>
    </row>
    <row r="1137" spans="1:22" ht="15.75" customHeight="1" x14ac:dyDescent="0.2">
      <c r="A1137" s="165"/>
      <c r="D1137" s="173"/>
      <c r="P1137" s="163"/>
      <c r="V1137" s="169"/>
    </row>
    <row r="1138" spans="1:22" ht="15.75" customHeight="1" x14ac:dyDescent="0.2">
      <c r="A1138" s="165"/>
      <c r="D1138" s="173"/>
      <c r="P1138" s="163"/>
      <c r="V1138" s="169"/>
    </row>
    <row r="1139" spans="1:22" ht="15.75" customHeight="1" x14ac:dyDescent="0.2">
      <c r="A1139" s="165"/>
      <c r="D1139" s="173"/>
      <c r="P1139" s="163"/>
      <c r="V1139" s="169"/>
    </row>
    <row r="1140" spans="1:22" ht="15.75" customHeight="1" x14ac:dyDescent="0.2">
      <c r="A1140" s="165"/>
      <c r="D1140" s="173"/>
      <c r="P1140" s="163"/>
      <c r="V1140" s="169"/>
    </row>
    <row r="1141" spans="1:22" ht="15.75" customHeight="1" x14ac:dyDescent="0.2">
      <c r="A1141" s="165"/>
      <c r="D1141" s="173"/>
      <c r="P1141" s="163"/>
      <c r="V1141" s="169"/>
    </row>
    <row r="1142" spans="1:22" ht="15.75" customHeight="1" x14ac:dyDescent="0.2">
      <c r="A1142" s="165"/>
      <c r="D1142" s="173"/>
      <c r="P1142" s="163"/>
      <c r="V1142" s="169"/>
    </row>
    <row r="1143" spans="1:22" ht="15.75" customHeight="1" x14ac:dyDescent="0.2">
      <c r="A1143" s="165"/>
      <c r="D1143" s="173"/>
      <c r="P1143" s="163"/>
      <c r="V1143" s="169"/>
    </row>
    <row r="1144" spans="1:22" ht="15.75" customHeight="1" x14ac:dyDescent="0.2">
      <c r="A1144" s="165"/>
      <c r="D1144" s="173"/>
      <c r="P1144" s="163"/>
      <c r="V1144" s="169"/>
    </row>
    <row r="1145" spans="1:22" ht="15.75" customHeight="1" x14ac:dyDescent="0.2">
      <c r="A1145" s="165"/>
      <c r="D1145" s="173"/>
      <c r="P1145" s="163"/>
      <c r="V1145" s="169"/>
    </row>
    <row r="1146" spans="1:22" ht="15.75" customHeight="1" x14ac:dyDescent="0.2">
      <c r="A1146" s="165"/>
      <c r="D1146" s="173"/>
      <c r="P1146" s="163"/>
      <c r="V1146" s="169"/>
    </row>
    <row r="1147" spans="1:22" ht="15.75" customHeight="1" x14ac:dyDescent="0.2">
      <c r="A1147" s="165"/>
      <c r="D1147" s="173"/>
      <c r="P1147" s="163"/>
      <c r="V1147" s="169"/>
    </row>
    <row r="1148" spans="1:22" ht="15.75" customHeight="1" x14ac:dyDescent="0.2">
      <c r="A1148" s="165"/>
      <c r="D1148" s="173"/>
      <c r="P1148" s="163"/>
      <c r="V1148" s="169"/>
    </row>
    <row r="1149" spans="1:22" ht="15.75" customHeight="1" x14ac:dyDescent="0.2">
      <c r="A1149" s="165"/>
      <c r="D1149" s="173"/>
      <c r="P1149" s="163"/>
      <c r="V1149" s="169"/>
    </row>
    <row r="1150" spans="1:22" ht="15.75" customHeight="1" x14ac:dyDescent="0.2">
      <c r="A1150" s="165"/>
      <c r="D1150" s="173"/>
      <c r="P1150" s="163"/>
      <c r="V1150" s="169"/>
    </row>
    <row r="1151" spans="1:22" ht="15.75" customHeight="1" x14ac:dyDescent="0.2">
      <c r="A1151" s="165"/>
      <c r="D1151" s="173"/>
      <c r="P1151" s="163"/>
      <c r="V1151" s="169"/>
    </row>
    <row r="1152" spans="1:22" ht="15.75" customHeight="1" x14ac:dyDescent="0.2">
      <c r="A1152" s="165"/>
      <c r="D1152" s="173"/>
      <c r="P1152" s="163"/>
      <c r="V1152" s="169"/>
    </row>
    <row r="1153" spans="1:22" ht="15.75" customHeight="1" x14ac:dyDescent="0.2">
      <c r="A1153" s="165"/>
      <c r="D1153" s="173"/>
      <c r="P1153" s="163"/>
      <c r="V1153" s="169"/>
    </row>
    <row r="1154" spans="1:22" ht="15.75" customHeight="1" x14ac:dyDescent="0.2">
      <c r="A1154" s="165"/>
      <c r="D1154" s="173"/>
      <c r="P1154" s="163"/>
      <c r="V1154" s="169"/>
    </row>
    <row r="1155" spans="1:22" ht="15.75" customHeight="1" x14ac:dyDescent="0.2">
      <c r="A1155" s="165"/>
      <c r="D1155" s="173"/>
      <c r="P1155" s="163"/>
      <c r="V1155" s="169"/>
    </row>
    <row r="1156" spans="1:22" ht="15.75" customHeight="1" x14ac:dyDescent="0.2">
      <c r="A1156" s="165"/>
      <c r="D1156" s="173"/>
      <c r="P1156" s="163"/>
      <c r="V1156" s="169"/>
    </row>
    <row r="1157" spans="1:22" ht="15.75" customHeight="1" x14ac:dyDescent="0.2">
      <c r="A1157" s="165"/>
      <c r="D1157" s="173"/>
      <c r="P1157" s="163"/>
      <c r="V1157" s="169"/>
    </row>
    <row r="1158" spans="1:22" ht="15.75" customHeight="1" x14ac:dyDescent="0.2">
      <c r="A1158" s="165"/>
      <c r="D1158" s="173"/>
      <c r="P1158" s="163"/>
      <c r="V1158" s="169"/>
    </row>
    <row r="1159" spans="1:22" ht="15.75" customHeight="1" x14ac:dyDescent="0.2">
      <c r="A1159" s="165"/>
      <c r="D1159" s="173"/>
      <c r="P1159" s="163"/>
      <c r="V1159" s="169"/>
    </row>
    <row r="1160" spans="1:22" ht="15.75" customHeight="1" x14ac:dyDescent="0.2">
      <c r="A1160" s="165"/>
      <c r="D1160" s="173"/>
      <c r="P1160" s="163"/>
      <c r="V1160" s="169"/>
    </row>
    <row r="1161" spans="1:22" ht="15.75" customHeight="1" x14ac:dyDescent="0.2">
      <c r="A1161" s="165"/>
      <c r="D1161" s="173"/>
      <c r="P1161" s="163"/>
      <c r="V1161" s="169"/>
    </row>
    <row r="1162" spans="1:22" ht="15.75" customHeight="1" x14ac:dyDescent="0.2">
      <c r="A1162" s="165"/>
      <c r="D1162" s="173"/>
      <c r="P1162" s="163"/>
      <c r="V1162" s="169"/>
    </row>
    <row r="1163" spans="1:22" ht="15.75" customHeight="1" x14ac:dyDescent="0.2">
      <c r="A1163" s="165"/>
      <c r="D1163" s="173"/>
      <c r="P1163" s="163"/>
      <c r="V1163" s="169"/>
    </row>
    <row r="1164" spans="1:22" ht="15.75" customHeight="1" x14ac:dyDescent="0.2">
      <c r="A1164" s="165"/>
      <c r="D1164" s="173"/>
      <c r="P1164" s="163"/>
      <c r="V1164" s="169"/>
    </row>
    <row r="1165" spans="1:22" ht="15.75" customHeight="1" x14ac:dyDescent="0.2">
      <c r="A1165" s="165"/>
      <c r="D1165" s="173"/>
      <c r="P1165" s="163"/>
      <c r="V1165" s="169"/>
    </row>
    <row r="1166" spans="1:22" ht="15.75" customHeight="1" x14ac:dyDescent="0.2">
      <c r="A1166" s="165"/>
      <c r="D1166" s="173"/>
      <c r="P1166" s="163"/>
      <c r="V1166" s="169"/>
    </row>
    <row r="1167" spans="1:22" ht="15.75" customHeight="1" x14ac:dyDescent="0.2">
      <c r="A1167" s="165"/>
      <c r="D1167" s="173"/>
      <c r="P1167" s="163"/>
      <c r="V1167" s="169"/>
    </row>
    <row r="1168" spans="1:22" ht="15.75" customHeight="1" x14ac:dyDescent="0.2">
      <c r="A1168" s="165"/>
      <c r="D1168" s="173"/>
      <c r="P1168" s="163"/>
      <c r="V1168" s="169"/>
    </row>
    <row r="1169" spans="1:22" ht="15.75" customHeight="1" x14ac:dyDescent="0.2">
      <c r="A1169" s="165"/>
      <c r="D1169" s="173"/>
      <c r="P1169" s="163"/>
      <c r="V1169" s="169"/>
    </row>
    <row r="1170" spans="1:22" ht="15.75" customHeight="1" x14ac:dyDescent="0.2">
      <c r="A1170" s="165"/>
      <c r="D1170" s="173"/>
      <c r="P1170" s="163"/>
      <c r="V1170" s="169"/>
    </row>
    <row r="1171" spans="1:22" ht="15.75" customHeight="1" x14ac:dyDescent="0.2">
      <c r="A1171" s="165"/>
      <c r="D1171" s="173"/>
      <c r="P1171" s="163"/>
      <c r="V1171" s="169"/>
    </row>
    <row r="1172" spans="1:22" ht="15.75" customHeight="1" x14ac:dyDescent="0.2">
      <c r="A1172" s="165"/>
      <c r="D1172" s="173"/>
      <c r="P1172" s="163"/>
      <c r="V1172" s="169"/>
    </row>
    <row r="1173" spans="1:22" ht="15.75" customHeight="1" x14ac:dyDescent="0.2">
      <c r="A1173" s="165"/>
      <c r="D1173" s="173"/>
      <c r="P1173" s="163"/>
      <c r="V1173" s="169"/>
    </row>
    <row r="1174" spans="1:22" ht="15.75" customHeight="1" x14ac:dyDescent="0.2">
      <c r="A1174" s="165"/>
      <c r="D1174" s="173"/>
      <c r="P1174" s="163"/>
      <c r="V1174" s="169"/>
    </row>
    <row r="1175" spans="1:22" ht="15.75" customHeight="1" x14ac:dyDescent="0.2">
      <c r="A1175" s="165"/>
      <c r="D1175" s="173"/>
      <c r="P1175" s="163"/>
      <c r="V1175" s="169"/>
    </row>
    <row r="1176" spans="1:22" ht="15.75" customHeight="1" x14ac:dyDescent="0.2">
      <c r="A1176" s="165"/>
      <c r="D1176" s="173"/>
      <c r="P1176" s="163"/>
      <c r="V1176" s="169"/>
    </row>
    <row r="1177" spans="1:22" ht="15.75" customHeight="1" x14ac:dyDescent="0.2">
      <c r="A1177" s="165"/>
      <c r="D1177" s="173"/>
      <c r="P1177" s="163"/>
      <c r="V1177" s="169"/>
    </row>
    <row r="1178" spans="1:22" ht="15.75" customHeight="1" x14ac:dyDescent="0.2">
      <c r="A1178" s="165"/>
      <c r="D1178" s="173"/>
      <c r="P1178" s="163"/>
      <c r="V1178" s="169"/>
    </row>
    <row r="1179" spans="1:22" ht="15.75" customHeight="1" x14ac:dyDescent="0.2">
      <c r="A1179" s="165"/>
      <c r="D1179" s="173"/>
      <c r="P1179" s="163"/>
      <c r="V1179" s="169"/>
    </row>
    <row r="1180" spans="1:22" ht="15.75" customHeight="1" x14ac:dyDescent="0.2">
      <c r="A1180" s="165"/>
      <c r="D1180" s="173"/>
      <c r="P1180" s="163"/>
      <c r="V1180" s="169"/>
    </row>
    <row r="1181" spans="1:22" ht="15.75" customHeight="1" x14ac:dyDescent="0.2">
      <c r="A1181" s="165"/>
      <c r="D1181" s="173"/>
      <c r="P1181" s="163"/>
      <c r="V1181" s="169"/>
    </row>
    <row r="1182" spans="1:22" ht="15.75" customHeight="1" x14ac:dyDescent="0.2">
      <c r="A1182" s="165"/>
      <c r="D1182" s="173"/>
      <c r="P1182" s="163"/>
      <c r="V1182" s="169"/>
    </row>
    <row r="1183" spans="1:22" ht="15.75" customHeight="1" x14ac:dyDescent="0.2">
      <c r="A1183" s="165"/>
      <c r="D1183" s="173"/>
      <c r="P1183" s="163"/>
      <c r="V1183" s="169"/>
    </row>
    <row r="1184" spans="1:22" ht="15.75" customHeight="1" x14ac:dyDescent="0.2">
      <c r="A1184" s="165"/>
      <c r="D1184" s="173"/>
      <c r="P1184" s="163"/>
      <c r="V1184" s="169"/>
    </row>
    <row r="1185" spans="1:22" ht="15.75" customHeight="1" x14ac:dyDescent="0.2">
      <c r="A1185" s="165"/>
      <c r="D1185" s="173"/>
      <c r="P1185" s="163"/>
      <c r="V1185" s="169"/>
    </row>
    <row r="1186" spans="1:22" ht="15.75" customHeight="1" x14ac:dyDescent="0.2">
      <c r="A1186" s="165"/>
      <c r="D1186" s="173"/>
      <c r="P1186" s="163"/>
      <c r="V1186" s="169"/>
    </row>
    <row r="1187" spans="1:22" ht="15.75" customHeight="1" x14ac:dyDescent="0.2">
      <c r="A1187" s="165"/>
      <c r="D1187" s="173"/>
      <c r="P1187" s="163"/>
      <c r="V1187" s="169"/>
    </row>
    <row r="1188" spans="1:22" ht="15.75" customHeight="1" x14ac:dyDescent="0.2">
      <c r="A1188" s="165"/>
      <c r="D1188" s="173"/>
      <c r="P1188" s="163"/>
      <c r="V1188" s="169"/>
    </row>
    <row r="1189" spans="1:22" ht="15.75" customHeight="1" x14ac:dyDescent="0.2">
      <c r="A1189" s="165"/>
      <c r="D1189" s="173"/>
      <c r="P1189" s="163"/>
      <c r="V1189" s="169"/>
    </row>
    <row r="1190" spans="1:22" ht="15.75" customHeight="1" x14ac:dyDescent="0.2">
      <c r="A1190" s="165"/>
      <c r="D1190" s="173"/>
      <c r="P1190" s="163"/>
      <c r="V1190" s="169"/>
    </row>
    <row r="1191" spans="1:22" ht="15.75" customHeight="1" x14ac:dyDescent="0.2">
      <c r="A1191" s="165"/>
      <c r="D1191" s="173"/>
      <c r="P1191" s="163"/>
      <c r="V1191" s="169"/>
    </row>
    <row r="1192" spans="1:22" ht="15.75" customHeight="1" x14ac:dyDescent="0.2">
      <c r="A1192" s="165"/>
      <c r="D1192" s="173"/>
      <c r="P1192" s="163"/>
      <c r="V1192" s="169"/>
    </row>
    <row r="1193" spans="1:22" ht="15.75" customHeight="1" x14ac:dyDescent="0.2">
      <c r="A1193" s="165"/>
      <c r="D1193" s="173"/>
      <c r="P1193" s="163"/>
      <c r="V1193" s="169"/>
    </row>
    <row r="1194" spans="1:22" ht="15.75" customHeight="1" x14ac:dyDescent="0.2">
      <c r="A1194" s="165"/>
      <c r="D1194" s="173"/>
      <c r="P1194" s="163"/>
      <c r="V1194" s="169"/>
    </row>
    <row r="1195" spans="1:22" ht="15.75" customHeight="1" x14ac:dyDescent="0.2">
      <c r="A1195" s="165"/>
      <c r="D1195" s="173"/>
      <c r="P1195" s="163"/>
      <c r="V1195" s="169"/>
    </row>
    <row r="1196" spans="1:22" ht="15.75" customHeight="1" x14ac:dyDescent="0.2">
      <c r="A1196" s="165"/>
      <c r="D1196" s="173"/>
      <c r="P1196" s="163"/>
      <c r="V1196" s="169"/>
    </row>
    <row r="1197" spans="1:22" ht="15.75" customHeight="1" x14ac:dyDescent="0.2">
      <c r="A1197" s="165"/>
      <c r="D1197" s="173"/>
      <c r="P1197" s="163"/>
      <c r="V1197" s="169"/>
    </row>
    <row r="1198" spans="1:22" ht="15.75" customHeight="1" x14ac:dyDescent="0.2">
      <c r="A1198" s="165"/>
      <c r="D1198" s="173"/>
      <c r="P1198" s="163"/>
      <c r="V1198" s="169"/>
    </row>
    <row r="1199" spans="1:22" ht="15.75" customHeight="1" x14ac:dyDescent="0.2">
      <c r="A1199" s="165"/>
      <c r="D1199" s="173"/>
      <c r="P1199" s="163"/>
      <c r="V1199" s="169"/>
    </row>
    <row r="1200" spans="1:22" ht="15.75" customHeight="1" x14ac:dyDescent="0.2">
      <c r="A1200" s="165"/>
      <c r="D1200" s="173"/>
      <c r="P1200" s="163"/>
      <c r="V1200" s="169"/>
    </row>
    <row r="1201" spans="1:22" ht="15.75" customHeight="1" x14ac:dyDescent="0.2">
      <c r="A1201" s="165"/>
      <c r="D1201" s="173"/>
      <c r="P1201" s="163"/>
      <c r="V1201" s="169"/>
    </row>
    <row r="1202" spans="1:22" ht="15.75" customHeight="1" x14ac:dyDescent="0.2">
      <c r="A1202" s="165"/>
      <c r="D1202" s="173"/>
      <c r="P1202" s="163"/>
      <c r="V1202" s="169"/>
    </row>
    <row r="1203" spans="1:22" ht="15.75" customHeight="1" x14ac:dyDescent="0.2">
      <c r="A1203" s="165"/>
      <c r="D1203" s="173"/>
      <c r="P1203" s="163"/>
      <c r="V1203" s="169"/>
    </row>
    <row r="1204" spans="1:22" ht="15.75" customHeight="1" x14ac:dyDescent="0.2">
      <c r="A1204" s="165"/>
      <c r="D1204" s="173"/>
      <c r="P1204" s="163"/>
      <c r="V1204" s="169"/>
    </row>
    <row r="1205" spans="1:22" ht="15.75" customHeight="1" x14ac:dyDescent="0.2">
      <c r="A1205" s="165"/>
      <c r="D1205" s="173"/>
      <c r="P1205" s="163"/>
      <c r="V1205" s="169"/>
    </row>
    <row r="1206" spans="1:22" ht="15.75" customHeight="1" x14ac:dyDescent="0.2">
      <c r="A1206" s="165"/>
      <c r="D1206" s="173"/>
      <c r="P1206" s="163"/>
      <c r="V1206" s="169"/>
    </row>
    <row r="1207" spans="1:22" ht="15.75" customHeight="1" x14ac:dyDescent="0.2">
      <c r="A1207" s="165"/>
      <c r="D1207" s="173"/>
      <c r="P1207" s="163"/>
      <c r="V1207" s="169"/>
    </row>
    <row r="1208" spans="1:22" ht="15.75" customHeight="1" x14ac:dyDescent="0.2">
      <c r="A1208" s="165"/>
      <c r="D1208" s="173"/>
      <c r="P1208" s="163"/>
      <c r="V1208" s="169"/>
    </row>
    <row r="1209" spans="1:22" ht="15.75" customHeight="1" x14ac:dyDescent="0.2">
      <c r="A1209" s="165"/>
      <c r="D1209" s="173"/>
      <c r="P1209" s="163"/>
      <c r="V1209" s="169"/>
    </row>
    <row r="1210" spans="1:22" ht="15.75" customHeight="1" x14ac:dyDescent="0.2">
      <c r="A1210" s="165"/>
      <c r="D1210" s="173"/>
      <c r="P1210" s="163"/>
      <c r="V1210" s="169"/>
    </row>
    <row r="1211" spans="1:22" ht="15.75" customHeight="1" x14ac:dyDescent="0.2">
      <c r="A1211" s="165"/>
      <c r="D1211" s="173"/>
      <c r="P1211" s="163"/>
      <c r="V1211" s="169"/>
    </row>
    <row r="1212" spans="1:22" ht="15.75" customHeight="1" x14ac:dyDescent="0.2">
      <c r="A1212" s="165"/>
      <c r="D1212" s="173"/>
      <c r="P1212" s="163"/>
      <c r="V1212" s="169"/>
    </row>
    <row r="1213" spans="1:22" ht="15.75" customHeight="1" x14ac:dyDescent="0.2">
      <c r="A1213" s="165"/>
      <c r="D1213" s="173"/>
      <c r="P1213" s="163"/>
      <c r="V1213" s="169"/>
    </row>
    <row r="1214" spans="1:22" ht="15.75" customHeight="1" x14ac:dyDescent="0.2">
      <c r="A1214" s="165"/>
      <c r="D1214" s="173"/>
      <c r="P1214" s="163"/>
      <c r="V1214" s="169"/>
    </row>
    <row r="1215" spans="1:22" ht="15.75" customHeight="1" x14ac:dyDescent="0.2">
      <c r="A1215" s="165"/>
      <c r="D1215" s="173"/>
      <c r="P1215" s="163"/>
      <c r="V1215" s="169"/>
    </row>
    <row r="1216" spans="1:22" ht="15.75" customHeight="1" x14ac:dyDescent="0.2">
      <c r="A1216" s="165"/>
      <c r="D1216" s="173"/>
      <c r="P1216" s="163"/>
      <c r="V1216" s="169"/>
    </row>
    <row r="1217" spans="1:22" ht="15.75" customHeight="1" x14ac:dyDescent="0.2">
      <c r="A1217" s="165"/>
      <c r="D1217" s="173"/>
      <c r="P1217" s="163"/>
      <c r="V1217" s="169"/>
    </row>
    <row r="1218" spans="1:22" ht="15.75" customHeight="1" x14ac:dyDescent="0.2">
      <c r="A1218" s="165"/>
      <c r="D1218" s="173"/>
      <c r="P1218" s="163"/>
      <c r="V1218" s="169"/>
    </row>
    <row r="1219" spans="1:22" ht="15.75" customHeight="1" x14ac:dyDescent="0.2">
      <c r="A1219" s="165"/>
      <c r="D1219" s="173"/>
      <c r="P1219" s="163"/>
      <c r="V1219" s="169"/>
    </row>
    <row r="1220" spans="1:22" ht="15.75" customHeight="1" x14ac:dyDescent="0.2">
      <c r="A1220" s="165"/>
      <c r="D1220" s="173"/>
      <c r="P1220" s="163"/>
      <c r="V1220" s="169"/>
    </row>
    <row r="1221" spans="1:22" ht="15.75" customHeight="1" x14ac:dyDescent="0.2">
      <c r="A1221" s="165"/>
      <c r="D1221" s="173"/>
      <c r="P1221" s="163"/>
      <c r="V1221" s="169"/>
    </row>
    <row r="1222" spans="1:22" ht="15.75" customHeight="1" x14ac:dyDescent="0.2">
      <c r="A1222" s="165"/>
      <c r="D1222" s="173"/>
      <c r="P1222" s="163"/>
      <c r="V1222" s="169"/>
    </row>
    <row r="1223" spans="1:22" ht="15.75" customHeight="1" x14ac:dyDescent="0.2">
      <c r="A1223" s="165"/>
      <c r="D1223" s="173"/>
      <c r="P1223" s="163"/>
      <c r="V1223" s="169"/>
    </row>
    <row r="1224" spans="1:22" ht="15.75" customHeight="1" x14ac:dyDescent="0.2">
      <c r="A1224" s="165"/>
      <c r="D1224" s="173"/>
      <c r="P1224" s="163"/>
      <c r="V1224" s="169"/>
    </row>
    <row r="1225" spans="1:22" ht="15.75" customHeight="1" x14ac:dyDescent="0.2">
      <c r="A1225" s="165"/>
      <c r="D1225" s="173"/>
      <c r="P1225" s="163"/>
      <c r="V1225" s="169"/>
    </row>
    <row r="1226" spans="1:22" ht="15.75" customHeight="1" x14ac:dyDescent="0.2">
      <c r="A1226" s="165"/>
      <c r="D1226" s="173"/>
      <c r="P1226" s="163"/>
      <c r="V1226" s="169"/>
    </row>
    <row r="1227" spans="1:22" ht="15.75" customHeight="1" x14ac:dyDescent="0.2">
      <c r="A1227" s="165"/>
      <c r="D1227" s="173"/>
      <c r="P1227" s="163"/>
      <c r="V1227" s="169"/>
    </row>
    <row r="1228" spans="1:22" ht="15.75" customHeight="1" x14ac:dyDescent="0.2">
      <c r="A1228" s="165"/>
      <c r="D1228" s="173"/>
      <c r="P1228" s="163"/>
      <c r="V1228" s="169"/>
    </row>
    <row r="1229" spans="1:22" ht="15.75" customHeight="1" x14ac:dyDescent="0.2">
      <c r="A1229" s="165"/>
      <c r="D1229" s="173"/>
      <c r="P1229" s="163"/>
      <c r="V1229" s="169"/>
    </row>
    <row r="1230" spans="1:22" ht="15.75" customHeight="1" x14ac:dyDescent="0.2">
      <c r="A1230" s="165"/>
      <c r="D1230" s="173"/>
      <c r="P1230" s="163"/>
      <c r="V1230" s="169"/>
    </row>
    <row r="1231" spans="1:22" ht="15.75" customHeight="1" x14ac:dyDescent="0.2">
      <c r="A1231" s="165"/>
      <c r="D1231" s="173"/>
      <c r="P1231" s="163"/>
      <c r="V1231" s="169"/>
    </row>
    <row r="1232" spans="1:22" ht="15.75" customHeight="1" x14ac:dyDescent="0.2">
      <c r="A1232" s="165"/>
      <c r="D1232" s="173"/>
      <c r="P1232" s="163"/>
      <c r="V1232" s="169"/>
    </row>
    <row r="1233" spans="1:22" ht="15.75" customHeight="1" x14ac:dyDescent="0.2">
      <c r="A1233" s="165"/>
      <c r="D1233" s="173"/>
      <c r="P1233" s="163"/>
      <c r="V1233" s="169"/>
    </row>
    <row r="1234" spans="1:22" ht="15.75" customHeight="1" x14ac:dyDescent="0.2">
      <c r="A1234" s="165"/>
      <c r="D1234" s="173"/>
      <c r="P1234" s="163"/>
      <c r="V1234" s="169"/>
    </row>
    <row r="1235" spans="1:22" ht="15.75" customHeight="1" x14ac:dyDescent="0.2">
      <c r="A1235" s="165"/>
      <c r="D1235" s="173"/>
      <c r="P1235" s="163"/>
      <c r="V1235" s="169"/>
    </row>
    <row r="1236" spans="1:22" ht="15.75" customHeight="1" x14ac:dyDescent="0.2">
      <c r="A1236" s="165"/>
      <c r="D1236" s="173"/>
      <c r="P1236" s="163"/>
      <c r="V1236" s="169"/>
    </row>
    <row r="1237" spans="1:22" ht="15.75" customHeight="1" x14ac:dyDescent="0.2">
      <c r="A1237" s="165"/>
      <c r="D1237" s="173"/>
      <c r="P1237" s="163"/>
      <c r="V1237" s="169"/>
    </row>
    <row r="1238" spans="1:22" ht="15.75" customHeight="1" x14ac:dyDescent="0.2">
      <c r="A1238" s="165"/>
      <c r="D1238" s="173"/>
      <c r="P1238" s="163"/>
      <c r="V1238" s="169"/>
    </row>
    <row r="1239" spans="1:22" ht="15.75" customHeight="1" x14ac:dyDescent="0.2">
      <c r="A1239" s="165"/>
      <c r="D1239" s="173"/>
      <c r="P1239" s="163"/>
      <c r="V1239" s="169"/>
    </row>
    <row r="1240" spans="1:22" ht="15.75" customHeight="1" x14ac:dyDescent="0.2">
      <c r="A1240" s="165"/>
      <c r="D1240" s="173"/>
      <c r="P1240" s="163"/>
      <c r="V1240" s="169"/>
    </row>
    <row r="1241" spans="1:22" ht="15.75" customHeight="1" x14ac:dyDescent="0.2">
      <c r="A1241" s="165"/>
      <c r="D1241" s="173"/>
      <c r="P1241" s="163"/>
      <c r="V1241" s="169"/>
    </row>
    <row r="1242" spans="1:22" ht="15.75" customHeight="1" x14ac:dyDescent="0.2">
      <c r="A1242" s="165"/>
      <c r="D1242" s="173"/>
      <c r="P1242" s="163"/>
      <c r="V1242" s="169"/>
    </row>
    <row r="1243" spans="1:22" ht="15.75" customHeight="1" x14ac:dyDescent="0.2">
      <c r="A1243" s="165"/>
      <c r="D1243" s="173"/>
      <c r="P1243" s="163"/>
      <c r="V1243" s="169"/>
    </row>
    <row r="1244" spans="1:22" ht="15.75" customHeight="1" x14ac:dyDescent="0.2">
      <c r="A1244" s="165"/>
      <c r="D1244" s="173"/>
      <c r="P1244" s="163"/>
      <c r="V1244" s="169"/>
    </row>
    <row r="1245" spans="1:22" ht="15.75" customHeight="1" x14ac:dyDescent="0.2">
      <c r="A1245" s="165"/>
      <c r="D1245" s="173"/>
      <c r="P1245" s="163"/>
      <c r="V1245" s="169"/>
    </row>
    <row r="1246" spans="1:22" ht="15.75" customHeight="1" x14ac:dyDescent="0.2">
      <c r="A1246" s="165"/>
      <c r="D1246" s="173"/>
      <c r="P1246" s="163"/>
      <c r="V1246" s="169"/>
    </row>
    <row r="1247" spans="1:22" ht="15.75" customHeight="1" x14ac:dyDescent="0.2">
      <c r="A1247" s="165"/>
      <c r="D1247" s="173"/>
      <c r="P1247" s="163"/>
      <c r="V1247" s="169"/>
    </row>
    <row r="1248" spans="1:22" ht="15.75" customHeight="1" x14ac:dyDescent="0.2">
      <c r="A1248" s="165"/>
      <c r="D1248" s="173"/>
      <c r="P1248" s="163"/>
      <c r="V1248" s="169"/>
    </row>
    <row r="1249" spans="1:22" ht="15.75" customHeight="1" x14ac:dyDescent="0.2">
      <c r="A1249" s="165"/>
      <c r="D1249" s="173"/>
      <c r="P1249" s="163"/>
      <c r="V1249" s="169"/>
    </row>
    <row r="1250" spans="1:22" ht="15.75" customHeight="1" x14ac:dyDescent="0.2">
      <c r="A1250" s="165"/>
      <c r="D1250" s="173"/>
      <c r="P1250" s="163"/>
      <c r="V1250" s="169"/>
    </row>
    <row r="1251" spans="1:22" ht="15.75" customHeight="1" x14ac:dyDescent="0.2">
      <c r="A1251" s="165"/>
      <c r="D1251" s="173"/>
      <c r="P1251" s="163"/>
      <c r="V1251" s="169"/>
    </row>
    <row r="1252" spans="1:22" ht="15.75" customHeight="1" x14ac:dyDescent="0.2">
      <c r="A1252" s="165"/>
      <c r="D1252" s="173"/>
      <c r="P1252" s="163"/>
      <c r="V1252" s="169"/>
    </row>
    <row r="1253" spans="1:22" ht="15.75" customHeight="1" x14ac:dyDescent="0.2">
      <c r="A1253" s="165"/>
      <c r="D1253" s="173"/>
      <c r="P1253" s="163"/>
      <c r="V1253" s="169"/>
    </row>
    <row r="1254" spans="1:22" ht="15.75" customHeight="1" x14ac:dyDescent="0.2">
      <c r="A1254" s="165"/>
      <c r="D1254" s="173"/>
      <c r="P1254" s="163"/>
      <c r="V1254" s="169"/>
    </row>
    <row r="1255" spans="1:22" ht="15.75" customHeight="1" x14ac:dyDescent="0.2">
      <c r="A1255" s="165"/>
      <c r="D1255" s="173"/>
      <c r="P1255" s="163"/>
      <c r="V1255" s="169"/>
    </row>
    <row r="1256" spans="1:22" ht="15.75" customHeight="1" x14ac:dyDescent="0.2">
      <c r="A1256" s="165"/>
      <c r="D1256" s="173"/>
      <c r="P1256" s="163"/>
      <c r="V1256" s="169"/>
    </row>
    <row r="1257" spans="1:22" ht="15.75" customHeight="1" x14ac:dyDescent="0.2">
      <c r="A1257" s="165"/>
      <c r="D1257" s="173"/>
      <c r="P1257" s="163"/>
      <c r="V1257" s="169"/>
    </row>
    <row r="1258" spans="1:22" ht="15.75" customHeight="1" x14ac:dyDescent="0.2">
      <c r="A1258" s="165"/>
      <c r="D1258" s="173"/>
      <c r="P1258" s="163"/>
      <c r="V1258" s="169"/>
    </row>
    <row r="1259" spans="1:22" ht="15.75" customHeight="1" x14ac:dyDescent="0.2">
      <c r="A1259" s="165"/>
      <c r="D1259" s="173"/>
      <c r="P1259" s="163"/>
      <c r="V1259" s="169"/>
    </row>
    <row r="1260" spans="1:22" ht="15.75" customHeight="1" x14ac:dyDescent="0.2">
      <c r="A1260" s="165"/>
      <c r="D1260" s="173"/>
      <c r="P1260" s="163"/>
      <c r="V1260" s="169"/>
    </row>
    <row r="1261" spans="1:22" ht="15.75" customHeight="1" x14ac:dyDescent="0.2">
      <c r="A1261" s="165"/>
      <c r="D1261" s="173"/>
      <c r="P1261" s="163"/>
      <c r="V1261" s="169"/>
    </row>
    <row r="1262" spans="1:22" ht="15.75" customHeight="1" x14ac:dyDescent="0.2">
      <c r="A1262" s="165"/>
      <c r="D1262" s="173"/>
      <c r="P1262" s="163"/>
      <c r="V1262" s="169"/>
    </row>
    <row r="1263" spans="1:22" ht="15.75" customHeight="1" x14ac:dyDescent="0.2">
      <c r="A1263" s="165"/>
      <c r="D1263" s="173"/>
      <c r="P1263" s="163"/>
      <c r="V1263" s="169"/>
    </row>
    <row r="1264" spans="1:22" ht="15.75" customHeight="1" x14ac:dyDescent="0.2">
      <c r="A1264" s="165"/>
      <c r="D1264" s="173"/>
      <c r="P1264" s="163"/>
      <c r="V1264" s="169"/>
    </row>
    <row r="1265" spans="1:22" ht="15.75" customHeight="1" x14ac:dyDescent="0.2">
      <c r="A1265" s="165"/>
      <c r="D1265" s="173"/>
      <c r="P1265" s="163"/>
      <c r="V1265" s="169"/>
    </row>
    <row r="1266" spans="1:22" ht="15.75" customHeight="1" x14ac:dyDescent="0.2">
      <c r="A1266" s="165"/>
      <c r="D1266" s="173"/>
      <c r="P1266" s="163"/>
      <c r="V1266" s="169"/>
    </row>
    <row r="1267" spans="1:22" ht="15.75" customHeight="1" x14ac:dyDescent="0.2">
      <c r="A1267" s="165"/>
      <c r="D1267" s="173"/>
      <c r="P1267" s="163"/>
      <c r="V1267" s="169"/>
    </row>
    <row r="1268" spans="1:22" ht="15.75" customHeight="1" x14ac:dyDescent="0.2">
      <c r="A1268" s="165"/>
      <c r="D1268" s="173"/>
      <c r="P1268" s="163"/>
      <c r="V1268" s="169"/>
    </row>
    <row r="1269" spans="1:22" ht="15.75" customHeight="1" x14ac:dyDescent="0.2">
      <c r="A1269" s="165"/>
      <c r="D1269" s="173"/>
      <c r="P1269" s="163"/>
      <c r="V1269" s="169"/>
    </row>
    <row r="1270" spans="1:22" ht="15.75" customHeight="1" x14ac:dyDescent="0.2">
      <c r="A1270" s="165"/>
      <c r="D1270" s="173"/>
      <c r="P1270" s="163"/>
      <c r="V1270" s="169"/>
    </row>
    <row r="1271" spans="1:22" ht="15.75" customHeight="1" x14ac:dyDescent="0.2">
      <c r="A1271" s="165"/>
      <c r="D1271" s="173"/>
      <c r="P1271" s="163"/>
      <c r="V1271" s="169"/>
    </row>
    <row r="1272" spans="1:22" ht="15.75" customHeight="1" x14ac:dyDescent="0.2">
      <c r="A1272" s="165"/>
      <c r="D1272" s="173"/>
      <c r="P1272" s="163"/>
      <c r="V1272" s="169"/>
    </row>
    <row r="1273" spans="1:22" ht="15.75" customHeight="1" x14ac:dyDescent="0.2">
      <c r="A1273" s="165"/>
      <c r="D1273" s="173"/>
      <c r="P1273" s="163"/>
      <c r="V1273" s="169"/>
    </row>
    <row r="1274" spans="1:22" ht="15.75" customHeight="1" x14ac:dyDescent="0.2">
      <c r="A1274" s="165"/>
      <c r="D1274" s="173"/>
      <c r="P1274" s="163"/>
      <c r="V1274" s="169"/>
    </row>
    <row r="1275" spans="1:22" ht="15.75" customHeight="1" x14ac:dyDescent="0.2">
      <c r="A1275" s="165"/>
      <c r="D1275" s="173"/>
      <c r="P1275" s="163"/>
      <c r="V1275" s="169"/>
    </row>
    <row r="1276" spans="1:22" ht="15.75" customHeight="1" x14ac:dyDescent="0.2">
      <c r="A1276" s="165"/>
      <c r="D1276" s="173"/>
      <c r="P1276" s="163"/>
      <c r="V1276" s="169"/>
    </row>
    <row r="1277" spans="1:22" ht="15.75" customHeight="1" x14ac:dyDescent="0.2">
      <c r="A1277" s="165"/>
      <c r="D1277" s="173"/>
      <c r="P1277" s="163"/>
      <c r="V1277" s="169"/>
    </row>
    <row r="1278" spans="1:22" ht="15.75" customHeight="1" x14ac:dyDescent="0.2">
      <c r="A1278" s="165"/>
      <c r="D1278" s="173"/>
      <c r="P1278" s="163"/>
      <c r="V1278" s="169"/>
    </row>
    <row r="1279" spans="1:22" ht="15.75" customHeight="1" x14ac:dyDescent="0.2">
      <c r="A1279" s="165"/>
      <c r="D1279" s="173"/>
      <c r="P1279" s="163"/>
      <c r="V1279" s="169"/>
    </row>
    <row r="1280" spans="1:22" ht="15.75" customHeight="1" x14ac:dyDescent="0.2">
      <c r="A1280" s="165"/>
      <c r="D1280" s="173"/>
      <c r="P1280" s="163"/>
      <c r="V1280" s="169"/>
    </row>
    <row r="1281" spans="1:22" ht="15.75" customHeight="1" x14ac:dyDescent="0.2">
      <c r="A1281" s="165"/>
      <c r="D1281" s="173"/>
      <c r="P1281" s="163"/>
      <c r="V1281" s="169"/>
    </row>
    <row r="1282" spans="1:22" ht="15.75" customHeight="1" x14ac:dyDescent="0.2">
      <c r="A1282" s="165"/>
      <c r="D1282" s="173"/>
      <c r="P1282" s="163"/>
      <c r="V1282" s="169"/>
    </row>
    <row r="1283" spans="1:22" ht="15.75" customHeight="1" x14ac:dyDescent="0.2">
      <c r="A1283" s="165"/>
      <c r="D1283" s="173"/>
      <c r="P1283" s="163"/>
      <c r="V1283" s="169"/>
    </row>
    <row r="1284" spans="1:22" ht="15.75" customHeight="1" x14ac:dyDescent="0.2">
      <c r="A1284" s="165"/>
      <c r="D1284" s="173"/>
      <c r="P1284" s="163"/>
      <c r="V1284" s="169"/>
    </row>
    <row r="1285" spans="1:22" ht="15.75" customHeight="1" x14ac:dyDescent="0.2">
      <c r="A1285" s="165"/>
      <c r="D1285" s="173"/>
      <c r="P1285" s="163"/>
      <c r="V1285" s="169"/>
    </row>
    <row r="1286" spans="1:22" ht="15.75" customHeight="1" x14ac:dyDescent="0.2">
      <c r="A1286" s="165"/>
      <c r="D1286" s="173"/>
      <c r="P1286" s="163"/>
      <c r="V1286" s="169"/>
    </row>
    <row r="1287" spans="1:22" ht="15.75" customHeight="1" x14ac:dyDescent="0.2">
      <c r="A1287" s="165"/>
      <c r="D1287" s="173"/>
      <c r="P1287" s="163"/>
      <c r="V1287" s="169"/>
    </row>
    <row r="1288" spans="1:22" ht="15.75" customHeight="1" x14ac:dyDescent="0.2">
      <c r="A1288" s="165"/>
      <c r="D1288" s="173"/>
      <c r="P1288" s="163"/>
      <c r="V1288" s="169"/>
    </row>
    <row r="1289" spans="1:22" ht="15.75" customHeight="1" x14ac:dyDescent="0.2">
      <c r="A1289" s="165"/>
      <c r="D1289" s="173"/>
      <c r="P1289" s="163"/>
      <c r="V1289" s="169"/>
    </row>
    <row r="1290" spans="1:22" ht="15.75" customHeight="1" x14ac:dyDescent="0.2">
      <c r="A1290" s="165"/>
      <c r="D1290" s="173"/>
      <c r="P1290" s="163"/>
      <c r="V1290" s="169"/>
    </row>
    <row r="1291" spans="1:22" ht="15.75" customHeight="1" x14ac:dyDescent="0.2">
      <c r="A1291" s="165"/>
      <c r="D1291" s="173"/>
      <c r="P1291" s="163"/>
      <c r="V1291" s="169"/>
    </row>
    <row r="1292" spans="1:22" ht="15.75" customHeight="1" x14ac:dyDescent="0.2">
      <c r="A1292" s="165"/>
      <c r="D1292" s="173"/>
      <c r="P1292" s="163"/>
      <c r="V1292" s="169"/>
    </row>
    <row r="1293" spans="1:22" ht="15.75" customHeight="1" x14ac:dyDescent="0.2">
      <c r="A1293" s="165"/>
      <c r="D1293" s="173"/>
      <c r="P1293" s="163"/>
      <c r="V1293" s="169"/>
    </row>
    <row r="1294" spans="1:22" ht="15.75" customHeight="1" x14ac:dyDescent="0.2">
      <c r="A1294" s="165"/>
      <c r="D1294" s="173"/>
      <c r="P1294" s="163"/>
      <c r="V1294" s="169"/>
    </row>
    <row r="1295" spans="1:22" ht="15.75" customHeight="1" x14ac:dyDescent="0.2">
      <c r="A1295" s="165"/>
      <c r="D1295" s="173"/>
      <c r="P1295" s="163"/>
      <c r="V1295" s="169"/>
    </row>
    <row r="1296" spans="1:22" ht="15.75" customHeight="1" x14ac:dyDescent="0.2">
      <c r="A1296" s="165"/>
      <c r="D1296" s="173"/>
      <c r="P1296" s="163"/>
      <c r="V1296" s="169"/>
    </row>
    <row r="1297" spans="1:22" ht="15.75" customHeight="1" x14ac:dyDescent="0.2">
      <c r="A1297" s="165"/>
      <c r="D1297" s="173"/>
      <c r="P1297" s="163"/>
      <c r="V1297" s="169"/>
    </row>
    <row r="1298" spans="1:22" ht="15.75" customHeight="1" x14ac:dyDescent="0.2">
      <c r="A1298" s="165"/>
      <c r="D1298" s="173"/>
      <c r="P1298" s="163"/>
      <c r="V1298" s="169"/>
    </row>
    <row r="1299" spans="1:22" ht="15.75" customHeight="1" x14ac:dyDescent="0.2">
      <c r="A1299" s="165"/>
      <c r="D1299" s="173"/>
      <c r="P1299" s="163"/>
      <c r="V1299" s="169"/>
    </row>
    <row r="1300" spans="1:22" ht="15.75" customHeight="1" x14ac:dyDescent="0.2">
      <c r="A1300" s="165"/>
      <c r="D1300" s="173"/>
      <c r="P1300" s="163"/>
      <c r="V1300" s="169"/>
    </row>
    <row r="1301" spans="1:22" ht="15.75" customHeight="1" x14ac:dyDescent="0.2">
      <c r="A1301" s="165"/>
      <c r="D1301" s="173"/>
      <c r="P1301" s="163"/>
      <c r="V1301" s="169"/>
    </row>
    <row r="1302" spans="1:22" ht="15.75" customHeight="1" x14ac:dyDescent="0.2">
      <c r="A1302" s="165"/>
      <c r="D1302" s="173"/>
      <c r="P1302" s="163"/>
      <c r="V1302" s="169"/>
    </row>
    <row r="1303" spans="1:22" ht="15.75" customHeight="1" x14ac:dyDescent="0.2">
      <c r="A1303" s="165"/>
      <c r="D1303" s="173"/>
      <c r="P1303" s="163"/>
      <c r="V1303" s="169"/>
    </row>
    <row r="1304" spans="1:22" ht="15.75" customHeight="1" x14ac:dyDescent="0.2">
      <c r="A1304" s="165"/>
      <c r="D1304" s="173"/>
      <c r="P1304" s="163"/>
      <c r="V1304" s="169"/>
    </row>
    <row r="1305" spans="1:22" ht="15.75" customHeight="1" x14ac:dyDescent="0.2">
      <c r="A1305" s="165"/>
      <c r="D1305" s="173"/>
      <c r="P1305" s="163"/>
      <c r="V1305" s="169"/>
    </row>
    <row r="1306" spans="1:22" ht="15.75" customHeight="1" x14ac:dyDescent="0.2">
      <c r="A1306" s="165"/>
      <c r="D1306" s="173"/>
      <c r="P1306" s="163"/>
      <c r="V1306" s="169"/>
    </row>
    <row r="1307" spans="1:22" ht="15.75" customHeight="1" x14ac:dyDescent="0.2">
      <c r="A1307" s="165"/>
      <c r="D1307" s="173"/>
      <c r="P1307" s="163"/>
      <c r="V1307" s="169"/>
    </row>
    <row r="1308" spans="1:22" ht="15.75" customHeight="1" x14ac:dyDescent="0.2">
      <c r="A1308" s="165"/>
      <c r="D1308" s="173"/>
      <c r="P1308" s="163"/>
      <c r="V1308" s="169"/>
    </row>
    <row r="1309" spans="1:22" ht="15.75" customHeight="1" x14ac:dyDescent="0.2">
      <c r="A1309" s="165"/>
      <c r="D1309" s="173"/>
      <c r="P1309" s="163"/>
      <c r="V1309" s="169"/>
    </row>
    <row r="1310" spans="1:22" ht="15.75" customHeight="1" x14ac:dyDescent="0.2">
      <c r="A1310" s="165"/>
      <c r="D1310" s="173"/>
      <c r="P1310" s="163"/>
      <c r="V1310" s="169"/>
    </row>
    <row r="1311" spans="1:22" ht="15.75" customHeight="1" x14ac:dyDescent="0.2">
      <c r="A1311" s="165"/>
      <c r="D1311" s="173"/>
      <c r="P1311" s="163"/>
      <c r="V1311" s="169"/>
    </row>
    <row r="1312" spans="1:22" ht="15.75" customHeight="1" x14ac:dyDescent="0.2">
      <c r="A1312" s="165"/>
      <c r="D1312" s="173"/>
      <c r="P1312" s="163"/>
      <c r="V1312" s="169"/>
    </row>
    <row r="1313" spans="1:22" ht="15.75" customHeight="1" x14ac:dyDescent="0.2">
      <c r="A1313" s="165"/>
      <c r="D1313" s="173"/>
      <c r="P1313" s="163"/>
      <c r="V1313" s="169"/>
    </row>
    <row r="1314" spans="1:22" ht="15.75" customHeight="1" x14ac:dyDescent="0.2">
      <c r="A1314" s="165"/>
      <c r="D1314" s="173"/>
      <c r="P1314" s="163"/>
      <c r="V1314" s="169"/>
    </row>
    <row r="1315" spans="1:22" ht="15.75" customHeight="1" x14ac:dyDescent="0.2">
      <c r="A1315" s="165"/>
      <c r="D1315" s="173"/>
      <c r="P1315" s="163"/>
      <c r="V1315" s="169"/>
    </row>
    <row r="1316" spans="1:22" ht="15.75" customHeight="1" x14ac:dyDescent="0.2">
      <c r="A1316" s="165"/>
      <c r="D1316" s="173"/>
      <c r="P1316" s="163"/>
      <c r="V1316" s="169"/>
    </row>
    <row r="1317" spans="1:22" ht="15.75" customHeight="1" x14ac:dyDescent="0.2">
      <c r="A1317" s="165"/>
      <c r="D1317" s="173"/>
      <c r="P1317" s="163"/>
      <c r="V1317" s="169"/>
    </row>
    <row r="1318" spans="1:22" ht="15.75" customHeight="1" x14ac:dyDescent="0.2">
      <c r="A1318" s="165"/>
      <c r="D1318" s="173"/>
      <c r="P1318" s="163"/>
      <c r="V1318" s="169"/>
    </row>
    <row r="1319" spans="1:22" ht="15.75" customHeight="1" x14ac:dyDescent="0.2">
      <c r="A1319" s="165"/>
      <c r="D1319" s="173"/>
      <c r="P1319" s="163"/>
      <c r="V1319" s="169"/>
    </row>
    <row r="1320" spans="1:22" ht="15.75" customHeight="1" x14ac:dyDescent="0.2">
      <c r="A1320" s="165"/>
      <c r="D1320" s="173"/>
      <c r="P1320" s="163"/>
      <c r="V1320" s="169"/>
    </row>
    <row r="1321" spans="1:22" ht="15.75" customHeight="1" x14ac:dyDescent="0.2">
      <c r="A1321" s="165"/>
      <c r="D1321" s="173"/>
      <c r="P1321" s="163"/>
      <c r="V1321" s="169"/>
    </row>
    <row r="1322" spans="1:22" ht="15.75" customHeight="1" x14ac:dyDescent="0.2">
      <c r="A1322" s="165"/>
      <c r="D1322" s="173"/>
      <c r="P1322" s="163"/>
      <c r="V1322" s="169"/>
    </row>
    <row r="1323" spans="1:22" ht="15.75" customHeight="1" x14ac:dyDescent="0.2">
      <c r="A1323" s="165"/>
      <c r="D1323" s="173"/>
      <c r="P1323" s="163"/>
      <c r="V1323" s="169"/>
    </row>
    <row r="1324" spans="1:22" ht="15.75" customHeight="1" x14ac:dyDescent="0.2">
      <c r="A1324" s="165"/>
      <c r="D1324" s="173"/>
      <c r="P1324" s="163"/>
      <c r="V1324" s="169"/>
    </row>
    <row r="1325" spans="1:22" ht="15.75" customHeight="1" x14ac:dyDescent="0.2">
      <c r="A1325" s="165"/>
      <c r="D1325" s="173"/>
      <c r="P1325" s="163"/>
      <c r="V1325" s="169"/>
    </row>
    <row r="1326" spans="1:22" ht="15.75" customHeight="1" x14ac:dyDescent="0.2">
      <c r="A1326" s="165"/>
      <c r="D1326" s="173"/>
      <c r="P1326" s="163"/>
      <c r="V1326" s="169"/>
    </row>
    <row r="1327" spans="1:22" ht="15.75" customHeight="1" x14ac:dyDescent="0.2">
      <c r="A1327" s="165"/>
      <c r="D1327" s="173"/>
      <c r="P1327" s="163"/>
      <c r="V1327" s="169"/>
    </row>
    <row r="1328" spans="1:22" ht="15.75" customHeight="1" x14ac:dyDescent="0.2">
      <c r="A1328" s="165"/>
      <c r="D1328" s="173"/>
      <c r="P1328" s="163"/>
      <c r="V1328" s="169"/>
    </row>
    <row r="1329" spans="1:22" ht="15.75" customHeight="1" x14ac:dyDescent="0.2">
      <c r="A1329" s="165"/>
      <c r="D1329" s="173"/>
      <c r="P1329" s="163"/>
      <c r="V1329" s="169"/>
    </row>
    <row r="1330" spans="1:22" ht="15.75" customHeight="1" x14ac:dyDescent="0.2">
      <c r="A1330" s="165"/>
      <c r="D1330" s="173"/>
      <c r="P1330" s="163"/>
      <c r="V1330" s="169"/>
    </row>
    <row r="1331" spans="1:22" ht="15.75" customHeight="1" x14ac:dyDescent="0.2">
      <c r="A1331" s="165"/>
      <c r="D1331" s="173"/>
      <c r="P1331" s="163"/>
      <c r="V1331" s="169"/>
    </row>
    <row r="1332" spans="1:22" ht="15.75" customHeight="1" x14ac:dyDescent="0.2">
      <c r="A1332" s="165"/>
      <c r="D1332" s="173"/>
      <c r="P1332" s="163"/>
      <c r="V1332" s="169"/>
    </row>
    <row r="1333" spans="1:22" ht="15.75" customHeight="1" x14ac:dyDescent="0.2">
      <c r="A1333" s="165"/>
      <c r="D1333" s="173"/>
      <c r="P1333" s="163"/>
      <c r="V1333" s="169"/>
    </row>
    <row r="1334" spans="1:22" ht="15.75" customHeight="1" x14ac:dyDescent="0.2">
      <c r="A1334" s="165"/>
      <c r="D1334" s="173"/>
      <c r="P1334" s="163"/>
      <c r="V1334" s="169"/>
    </row>
    <row r="1335" spans="1:22" ht="15.75" customHeight="1" x14ac:dyDescent="0.2">
      <c r="A1335" s="165"/>
      <c r="D1335" s="173"/>
      <c r="P1335" s="163"/>
      <c r="V1335" s="169"/>
    </row>
    <row r="1336" spans="1:22" ht="15.75" customHeight="1" x14ac:dyDescent="0.2">
      <c r="A1336" s="165"/>
      <c r="D1336" s="173"/>
      <c r="P1336" s="163"/>
      <c r="V1336" s="169"/>
    </row>
    <row r="1337" spans="1:22" ht="15.75" customHeight="1" x14ac:dyDescent="0.2">
      <c r="A1337" s="165"/>
      <c r="D1337" s="173"/>
      <c r="P1337" s="163"/>
      <c r="V1337" s="169"/>
    </row>
    <row r="1338" spans="1:22" ht="15.75" customHeight="1" x14ac:dyDescent="0.2">
      <c r="A1338" s="165"/>
      <c r="D1338" s="173"/>
      <c r="P1338" s="163"/>
      <c r="V1338" s="169"/>
    </row>
    <row r="1339" spans="1:22" ht="15.75" customHeight="1" x14ac:dyDescent="0.2">
      <c r="A1339" s="165"/>
      <c r="D1339" s="173"/>
      <c r="P1339" s="163"/>
      <c r="V1339" s="169"/>
    </row>
    <row r="1340" spans="1:22" ht="15.75" customHeight="1" x14ac:dyDescent="0.2">
      <c r="A1340" s="165"/>
      <c r="D1340" s="173"/>
      <c r="P1340" s="163"/>
      <c r="V1340" s="169"/>
    </row>
    <row r="1341" spans="1:22" ht="15.75" customHeight="1" x14ac:dyDescent="0.2">
      <c r="A1341" s="165"/>
      <c r="D1341" s="173"/>
      <c r="P1341" s="163"/>
      <c r="V1341" s="169"/>
    </row>
    <row r="1342" spans="1:22" ht="15.75" customHeight="1" x14ac:dyDescent="0.2">
      <c r="A1342" s="165"/>
      <c r="D1342" s="173"/>
      <c r="P1342" s="163"/>
      <c r="V1342" s="169"/>
    </row>
    <row r="1343" spans="1:22" ht="15.75" customHeight="1" x14ac:dyDescent="0.2">
      <c r="A1343" s="165"/>
      <c r="D1343" s="173"/>
      <c r="P1343" s="163"/>
      <c r="V1343" s="169"/>
    </row>
    <row r="1344" spans="1:22" ht="15.75" customHeight="1" x14ac:dyDescent="0.2">
      <c r="A1344" s="165"/>
      <c r="D1344" s="173"/>
      <c r="P1344" s="163"/>
      <c r="V1344" s="169"/>
    </row>
    <row r="1345" spans="1:22" ht="15.75" customHeight="1" x14ac:dyDescent="0.2">
      <c r="A1345" s="165"/>
      <c r="D1345" s="173"/>
      <c r="P1345" s="163"/>
      <c r="V1345" s="169"/>
    </row>
    <row r="1346" spans="1:22" ht="15.75" customHeight="1" x14ac:dyDescent="0.2">
      <c r="A1346" s="165"/>
      <c r="D1346" s="173"/>
      <c r="P1346" s="163"/>
      <c r="V1346" s="169"/>
    </row>
    <row r="1347" spans="1:22" ht="15.75" customHeight="1" x14ac:dyDescent="0.2">
      <c r="A1347" s="165"/>
      <c r="D1347" s="173"/>
      <c r="P1347" s="163"/>
      <c r="V1347" s="169"/>
    </row>
    <row r="1348" spans="1:22" ht="15.75" customHeight="1" x14ac:dyDescent="0.2">
      <c r="A1348" s="165"/>
      <c r="D1348" s="173"/>
      <c r="P1348" s="163"/>
      <c r="V1348" s="169"/>
    </row>
    <row r="1349" spans="1:22" ht="15.75" customHeight="1" x14ac:dyDescent="0.2">
      <c r="A1349" s="165"/>
      <c r="D1349" s="173"/>
      <c r="P1349" s="163"/>
      <c r="V1349" s="169"/>
    </row>
    <row r="1350" spans="1:22" ht="15.75" customHeight="1" x14ac:dyDescent="0.2">
      <c r="A1350" s="165"/>
      <c r="D1350" s="173"/>
      <c r="P1350" s="163"/>
      <c r="V1350" s="169"/>
    </row>
    <row r="1351" spans="1:22" ht="15.75" customHeight="1" x14ac:dyDescent="0.2">
      <c r="A1351" s="165"/>
      <c r="D1351" s="173"/>
      <c r="P1351" s="163"/>
      <c r="V1351" s="169"/>
    </row>
    <row r="1352" spans="1:22" ht="15.75" customHeight="1" x14ac:dyDescent="0.2">
      <c r="A1352" s="165"/>
      <c r="D1352" s="173"/>
      <c r="P1352" s="163"/>
      <c r="V1352" s="169"/>
    </row>
    <row r="1353" spans="1:22" ht="15.75" customHeight="1" x14ac:dyDescent="0.2">
      <c r="A1353" s="165"/>
      <c r="D1353" s="173"/>
      <c r="P1353" s="163"/>
      <c r="V1353" s="169"/>
    </row>
    <row r="1354" spans="1:22" ht="15.75" customHeight="1" x14ac:dyDescent="0.2">
      <c r="A1354" s="165"/>
      <c r="D1354" s="173"/>
      <c r="P1354" s="163"/>
      <c r="V1354" s="169"/>
    </row>
    <row r="1355" spans="1:22" ht="15.75" customHeight="1" x14ac:dyDescent="0.2">
      <c r="A1355" s="165"/>
      <c r="D1355" s="173"/>
      <c r="P1355" s="163"/>
      <c r="V1355" s="169"/>
    </row>
    <row r="1356" spans="1:22" ht="15.75" customHeight="1" x14ac:dyDescent="0.2">
      <c r="A1356" s="165"/>
      <c r="D1356" s="173"/>
      <c r="P1356" s="163"/>
      <c r="V1356" s="169"/>
    </row>
    <row r="1357" spans="1:22" ht="15.75" customHeight="1" x14ac:dyDescent="0.2">
      <c r="A1357" s="165"/>
      <c r="D1357" s="173"/>
      <c r="P1357" s="163"/>
      <c r="V1357" s="169"/>
    </row>
    <row r="1358" spans="1:22" ht="15.75" customHeight="1" x14ac:dyDescent="0.2">
      <c r="A1358" s="165"/>
      <c r="D1358" s="173"/>
      <c r="P1358" s="163"/>
      <c r="V1358" s="169"/>
    </row>
    <row r="1359" spans="1:22" ht="15.75" customHeight="1" x14ac:dyDescent="0.2">
      <c r="A1359" s="165"/>
      <c r="D1359" s="173"/>
      <c r="P1359" s="163"/>
      <c r="V1359" s="169"/>
    </row>
    <row r="1360" spans="1:22" ht="15.75" customHeight="1" x14ac:dyDescent="0.2">
      <c r="A1360" s="165"/>
      <c r="D1360" s="173"/>
      <c r="P1360" s="163"/>
      <c r="V1360" s="169"/>
    </row>
    <row r="1361" spans="1:22" ht="15.75" customHeight="1" x14ac:dyDescent="0.2">
      <c r="A1361" s="165"/>
      <c r="D1361" s="173"/>
      <c r="P1361" s="163"/>
      <c r="V1361" s="169"/>
    </row>
    <row r="1362" spans="1:22" ht="15.75" customHeight="1" x14ac:dyDescent="0.2">
      <c r="A1362" s="165"/>
      <c r="D1362" s="173"/>
      <c r="P1362" s="163"/>
      <c r="V1362" s="169"/>
    </row>
    <row r="1363" spans="1:22" ht="15.75" customHeight="1" x14ac:dyDescent="0.2">
      <c r="A1363" s="165"/>
      <c r="D1363" s="173"/>
      <c r="P1363" s="163"/>
      <c r="V1363" s="169"/>
    </row>
    <row r="1364" spans="1:22" ht="15.75" customHeight="1" x14ac:dyDescent="0.2">
      <c r="A1364" s="165"/>
      <c r="D1364" s="173"/>
      <c r="P1364" s="163"/>
      <c r="V1364" s="169"/>
    </row>
    <row r="1365" spans="1:22" ht="15.75" customHeight="1" x14ac:dyDescent="0.2">
      <c r="A1365" s="165"/>
      <c r="D1365" s="173"/>
      <c r="P1365" s="163"/>
      <c r="V1365" s="169"/>
    </row>
    <row r="1366" spans="1:22" ht="15.75" customHeight="1" x14ac:dyDescent="0.2">
      <c r="A1366" s="165"/>
      <c r="D1366" s="173"/>
      <c r="P1366" s="163"/>
      <c r="V1366" s="169"/>
    </row>
    <row r="1367" spans="1:22" ht="15.75" customHeight="1" x14ac:dyDescent="0.2">
      <c r="A1367" s="165"/>
      <c r="D1367" s="173"/>
      <c r="P1367" s="163"/>
      <c r="V1367" s="169"/>
    </row>
    <row r="1368" spans="1:22" ht="15.75" customHeight="1" x14ac:dyDescent="0.2">
      <c r="A1368" s="165"/>
      <c r="D1368" s="173"/>
      <c r="P1368" s="163"/>
      <c r="V1368" s="169"/>
    </row>
    <row r="1369" spans="1:22" ht="15.75" customHeight="1" x14ac:dyDescent="0.2">
      <c r="A1369" s="165"/>
      <c r="D1369" s="173"/>
      <c r="P1369" s="163"/>
      <c r="V1369" s="169"/>
    </row>
    <row r="1370" spans="1:22" ht="15.75" customHeight="1" x14ac:dyDescent="0.2">
      <c r="A1370" s="165"/>
      <c r="D1370" s="173"/>
      <c r="P1370" s="163"/>
      <c r="V1370" s="169"/>
    </row>
    <row r="1371" spans="1:22" ht="15.75" customHeight="1" x14ac:dyDescent="0.2">
      <c r="A1371" s="165"/>
      <c r="D1371" s="173"/>
      <c r="P1371" s="163"/>
      <c r="V1371" s="169"/>
    </row>
    <row r="1372" spans="1:22" ht="15.75" customHeight="1" x14ac:dyDescent="0.2">
      <c r="A1372" s="165"/>
      <c r="D1372" s="173"/>
      <c r="P1372" s="163"/>
      <c r="V1372" s="169"/>
    </row>
    <row r="1373" spans="1:22" ht="15.75" customHeight="1" x14ac:dyDescent="0.2">
      <c r="A1373" s="165"/>
      <c r="D1373" s="173"/>
      <c r="P1373" s="163"/>
      <c r="V1373" s="169"/>
    </row>
    <row r="1374" spans="1:22" ht="15.75" customHeight="1" x14ac:dyDescent="0.2">
      <c r="A1374" s="165"/>
      <c r="D1374" s="173"/>
      <c r="P1374" s="163"/>
      <c r="V1374" s="169"/>
    </row>
    <row r="1375" spans="1:22" ht="15.75" customHeight="1" x14ac:dyDescent="0.2">
      <c r="A1375" s="165"/>
      <c r="D1375" s="173"/>
      <c r="P1375" s="163"/>
      <c r="V1375" s="169"/>
    </row>
    <row r="1376" spans="1:22" ht="15.75" customHeight="1" x14ac:dyDescent="0.2">
      <c r="A1376" s="165"/>
      <c r="D1376" s="173"/>
      <c r="P1376" s="163"/>
      <c r="V1376" s="169"/>
    </row>
    <row r="1377" spans="1:22" ht="15.75" customHeight="1" x14ac:dyDescent="0.2">
      <c r="A1377" s="165"/>
      <c r="D1377" s="173"/>
      <c r="P1377" s="163"/>
      <c r="V1377" s="169"/>
    </row>
    <row r="1378" spans="1:22" ht="15.75" customHeight="1" x14ac:dyDescent="0.2">
      <c r="A1378" s="165"/>
      <c r="D1378" s="173"/>
      <c r="P1378" s="163"/>
      <c r="V1378" s="169"/>
    </row>
    <row r="1379" spans="1:22" ht="15.75" customHeight="1" x14ac:dyDescent="0.2">
      <c r="A1379" s="165"/>
      <c r="D1379" s="173"/>
      <c r="P1379" s="163"/>
      <c r="V1379" s="169"/>
    </row>
    <row r="1380" spans="1:22" ht="15.75" customHeight="1" x14ac:dyDescent="0.2">
      <c r="A1380" s="165"/>
      <c r="D1380" s="173"/>
      <c r="P1380" s="163"/>
      <c r="V1380" s="169"/>
    </row>
    <row r="1381" spans="1:22" ht="15.75" customHeight="1" x14ac:dyDescent="0.2">
      <c r="A1381" s="165"/>
      <c r="D1381" s="173"/>
      <c r="P1381" s="163"/>
      <c r="V1381" s="169"/>
    </row>
    <row r="1382" spans="1:22" ht="15.75" customHeight="1" x14ac:dyDescent="0.2">
      <c r="A1382" s="165"/>
      <c r="D1382" s="173"/>
      <c r="P1382" s="163"/>
      <c r="V1382" s="169"/>
    </row>
    <row r="1383" spans="1:22" ht="15.75" customHeight="1" x14ac:dyDescent="0.2">
      <c r="A1383" s="165"/>
      <c r="D1383" s="173"/>
      <c r="P1383" s="163"/>
      <c r="V1383" s="169"/>
    </row>
    <row r="1384" spans="1:22" ht="15.75" customHeight="1" x14ac:dyDescent="0.2">
      <c r="A1384" s="165"/>
      <c r="D1384" s="173"/>
      <c r="P1384" s="163"/>
      <c r="V1384" s="169"/>
    </row>
    <row r="1385" spans="1:22" ht="15.75" customHeight="1" x14ac:dyDescent="0.2">
      <c r="A1385" s="165"/>
      <c r="D1385" s="173"/>
      <c r="P1385" s="163"/>
      <c r="V1385" s="169"/>
    </row>
    <row r="1386" spans="1:22" ht="15.75" customHeight="1" x14ac:dyDescent="0.2">
      <c r="A1386" s="165"/>
      <c r="D1386" s="173"/>
      <c r="P1386" s="163"/>
      <c r="V1386" s="169"/>
    </row>
    <row r="1387" spans="1:22" ht="15.75" customHeight="1" x14ac:dyDescent="0.2">
      <c r="A1387" s="165"/>
      <c r="D1387" s="173"/>
      <c r="P1387" s="163"/>
      <c r="V1387" s="169"/>
    </row>
    <row r="1388" spans="1:22" ht="15.75" customHeight="1" x14ac:dyDescent="0.2">
      <c r="A1388" s="165"/>
      <c r="D1388" s="173"/>
      <c r="P1388" s="163"/>
      <c r="V1388" s="169"/>
    </row>
    <row r="1389" spans="1:22" ht="15.75" customHeight="1" x14ac:dyDescent="0.2">
      <c r="A1389" s="165"/>
      <c r="D1389" s="173"/>
      <c r="P1389" s="163"/>
      <c r="V1389" s="169"/>
    </row>
    <row r="1390" spans="1:22" ht="15.75" customHeight="1" x14ac:dyDescent="0.2">
      <c r="A1390" s="165"/>
      <c r="D1390" s="173"/>
      <c r="P1390" s="163"/>
      <c r="V1390" s="169"/>
    </row>
    <row r="1391" spans="1:22" ht="15.75" customHeight="1" x14ac:dyDescent="0.2">
      <c r="A1391" s="165"/>
      <c r="D1391" s="173"/>
      <c r="P1391" s="163"/>
      <c r="V1391" s="169"/>
    </row>
    <row r="1392" spans="1:22" ht="15.75" customHeight="1" x14ac:dyDescent="0.2">
      <c r="A1392" s="165"/>
      <c r="D1392" s="173"/>
      <c r="P1392" s="163"/>
      <c r="V1392" s="169"/>
    </row>
    <row r="1393" spans="1:22" ht="15.75" customHeight="1" x14ac:dyDescent="0.2">
      <c r="A1393" s="165"/>
      <c r="D1393" s="173"/>
      <c r="P1393" s="163"/>
      <c r="V1393" s="169"/>
    </row>
    <row r="1394" spans="1:22" ht="15.75" customHeight="1" x14ac:dyDescent="0.2">
      <c r="A1394" s="165"/>
      <c r="D1394" s="173"/>
      <c r="P1394" s="163"/>
      <c r="V1394" s="169"/>
    </row>
    <row r="1395" spans="1:22" ht="15.75" customHeight="1" x14ac:dyDescent="0.2">
      <c r="A1395" s="165"/>
      <c r="D1395" s="173"/>
      <c r="P1395" s="163"/>
      <c r="V1395" s="169"/>
    </row>
    <row r="1396" spans="1:22" ht="15.75" customHeight="1" x14ac:dyDescent="0.2">
      <c r="A1396" s="165"/>
      <c r="D1396" s="173"/>
      <c r="P1396" s="163"/>
      <c r="V1396" s="169"/>
    </row>
    <row r="1397" spans="1:22" ht="15.75" customHeight="1" x14ac:dyDescent="0.2">
      <c r="A1397" s="165"/>
      <c r="D1397" s="173"/>
      <c r="P1397" s="163"/>
      <c r="V1397" s="169"/>
    </row>
    <row r="1398" spans="1:22" ht="15.75" customHeight="1" x14ac:dyDescent="0.2">
      <c r="A1398" s="165"/>
      <c r="D1398" s="173"/>
      <c r="P1398" s="163"/>
      <c r="V1398" s="169"/>
    </row>
    <row r="1399" spans="1:22" ht="15.75" customHeight="1" x14ac:dyDescent="0.2">
      <c r="A1399" s="165"/>
      <c r="D1399" s="173"/>
      <c r="P1399" s="163"/>
      <c r="V1399" s="169"/>
    </row>
    <row r="1400" spans="1:22" ht="15.75" customHeight="1" x14ac:dyDescent="0.2">
      <c r="A1400" s="165"/>
      <c r="D1400" s="173"/>
      <c r="P1400" s="163"/>
      <c r="V1400" s="169"/>
    </row>
    <row r="1401" spans="1:22" ht="15.75" customHeight="1" x14ac:dyDescent="0.2">
      <c r="A1401" s="165"/>
      <c r="D1401" s="173"/>
      <c r="P1401" s="163"/>
      <c r="V1401" s="169"/>
    </row>
    <row r="1402" spans="1:22" ht="15.75" customHeight="1" x14ac:dyDescent="0.2">
      <c r="A1402" s="165"/>
      <c r="D1402" s="173"/>
      <c r="P1402" s="163"/>
      <c r="V1402" s="169"/>
    </row>
    <row r="1403" spans="1:22" ht="15.75" customHeight="1" x14ac:dyDescent="0.2">
      <c r="A1403" s="165"/>
      <c r="D1403" s="173"/>
      <c r="P1403" s="163"/>
      <c r="V1403" s="169"/>
    </row>
    <row r="1404" spans="1:22" ht="15.75" customHeight="1" x14ac:dyDescent="0.2">
      <c r="A1404" s="165"/>
      <c r="D1404" s="173"/>
      <c r="P1404" s="163"/>
      <c r="V1404" s="169"/>
    </row>
    <row r="1405" spans="1:22" ht="15.75" customHeight="1" x14ac:dyDescent="0.2">
      <c r="A1405" s="165"/>
      <c r="D1405" s="173"/>
      <c r="P1405" s="163"/>
      <c r="V1405" s="169"/>
    </row>
    <row r="1406" spans="1:22" ht="15.75" customHeight="1" x14ac:dyDescent="0.2">
      <c r="A1406" s="165"/>
      <c r="D1406" s="173"/>
      <c r="P1406" s="163"/>
      <c r="V1406" s="169"/>
    </row>
    <row r="1407" spans="1:22" ht="15.75" customHeight="1" x14ac:dyDescent="0.2">
      <c r="A1407" s="165"/>
      <c r="D1407" s="173"/>
      <c r="P1407" s="163"/>
      <c r="V1407" s="169"/>
    </row>
    <row r="1408" spans="1:22" ht="15.75" customHeight="1" x14ac:dyDescent="0.2">
      <c r="A1408" s="165"/>
      <c r="D1408" s="173"/>
      <c r="P1408" s="163"/>
      <c r="V1408" s="169"/>
    </row>
    <row r="1409" spans="1:22" ht="15.75" customHeight="1" x14ac:dyDescent="0.2">
      <c r="A1409" s="165"/>
      <c r="D1409" s="173"/>
      <c r="P1409" s="163"/>
      <c r="V1409" s="169"/>
    </row>
    <row r="1410" spans="1:22" ht="15.75" customHeight="1" x14ac:dyDescent="0.2">
      <c r="A1410" s="165"/>
      <c r="D1410" s="173"/>
      <c r="P1410" s="163"/>
      <c r="V1410" s="169"/>
    </row>
    <row r="1411" spans="1:22" ht="15.75" customHeight="1" x14ac:dyDescent="0.2">
      <c r="A1411" s="165"/>
      <c r="D1411" s="173"/>
      <c r="P1411" s="163"/>
      <c r="V1411" s="169"/>
    </row>
    <row r="1412" spans="1:22" ht="15.75" customHeight="1" x14ac:dyDescent="0.2">
      <c r="A1412" s="165"/>
      <c r="D1412" s="173"/>
      <c r="P1412" s="163"/>
      <c r="V1412" s="169"/>
    </row>
    <row r="1413" spans="1:22" ht="15.75" customHeight="1" x14ac:dyDescent="0.2">
      <c r="A1413" s="165"/>
      <c r="D1413" s="173"/>
      <c r="P1413" s="163"/>
      <c r="V1413" s="169"/>
    </row>
    <row r="1414" spans="1:22" ht="15.75" customHeight="1" x14ac:dyDescent="0.2">
      <c r="A1414" s="165"/>
      <c r="D1414" s="173"/>
      <c r="P1414" s="163"/>
      <c r="V1414" s="169"/>
    </row>
    <row r="1415" spans="1:22" ht="15.75" customHeight="1" x14ac:dyDescent="0.2">
      <c r="A1415" s="165"/>
      <c r="D1415" s="173"/>
      <c r="P1415" s="163"/>
      <c r="V1415" s="169"/>
    </row>
    <row r="1416" spans="1:22" ht="15.75" customHeight="1" x14ac:dyDescent="0.2">
      <c r="A1416" s="165"/>
      <c r="D1416" s="173"/>
      <c r="P1416" s="163"/>
      <c r="V1416" s="169"/>
    </row>
    <row r="1417" spans="1:22" ht="15.75" customHeight="1" x14ac:dyDescent="0.2">
      <c r="A1417" s="165"/>
      <c r="D1417" s="173"/>
      <c r="P1417" s="163"/>
      <c r="V1417" s="169"/>
    </row>
    <row r="1418" spans="1:22" ht="15.75" customHeight="1" x14ac:dyDescent="0.2">
      <c r="A1418" s="165"/>
      <c r="D1418" s="173"/>
      <c r="P1418" s="163"/>
      <c r="V1418" s="169"/>
    </row>
    <row r="1419" spans="1:22" ht="15.75" customHeight="1" x14ac:dyDescent="0.2">
      <c r="A1419" s="165"/>
      <c r="D1419" s="173"/>
      <c r="P1419" s="163"/>
      <c r="V1419" s="169"/>
    </row>
    <row r="1420" spans="1:22" ht="15.75" customHeight="1" x14ac:dyDescent="0.2">
      <c r="A1420" s="165"/>
      <c r="D1420" s="173"/>
      <c r="P1420" s="163"/>
      <c r="V1420" s="169"/>
    </row>
    <row r="1421" spans="1:22" ht="15.75" customHeight="1" x14ac:dyDescent="0.2">
      <c r="A1421" s="165"/>
      <c r="D1421" s="173"/>
      <c r="P1421" s="163"/>
      <c r="V1421" s="169"/>
    </row>
    <row r="1422" spans="1:22" ht="15.75" customHeight="1" x14ac:dyDescent="0.2">
      <c r="A1422" s="165"/>
      <c r="D1422" s="173"/>
      <c r="P1422" s="163"/>
      <c r="V1422" s="169"/>
    </row>
    <row r="1423" spans="1:22" ht="15.75" customHeight="1" x14ac:dyDescent="0.2">
      <c r="A1423" s="165"/>
      <c r="D1423" s="173"/>
      <c r="P1423" s="163"/>
      <c r="V1423" s="169"/>
    </row>
    <row r="1424" spans="1:22" ht="15.75" customHeight="1" x14ac:dyDescent="0.2">
      <c r="A1424" s="165"/>
      <c r="D1424" s="173"/>
      <c r="P1424" s="163"/>
      <c r="V1424" s="169"/>
    </row>
    <row r="1425" spans="1:22" ht="15.75" customHeight="1" x14ac:dyDescent="0.2">
      <c r="A1425" s="165"/>
      <c r="D1425" s="173"/>
      <c r="P1425" s="163"/>
      <c r="V1425" s="169"/>
    </row>
    <row r="1426" spans="1:22" ht="15.75" customHeight="1" x14ac:dyDescent="0.2">
      <c r="A1426" s="165"/>
      <c r="D1426" s="173"/>
      <c r="P1426" s="163"/>
      <c r="V1426" s="169"/>
    </row>
    <row r="1427" spans="1:22" ht="15.75" customHeight="1" x14ac:dyDescent="0.2">
      <c r="A1427" s="165"/>
      <c r="D1427" s="173"/>
      <c r="P1427" s="163"/>
      <c r="V1427" s="169"/>
    </row>
    <row r="1428" spans="1:22" ht="15.75" customHeight="1" x14ac:dyDescent="0.2">
      <c r="A1428" s="165"/>
      <c r="D1428" s="173"/>
      <c r="P1428" s="163"/>
      <c r="V1428" s="169"/>
    </row>
    <row r="1429" spans="1:22" ht="15.75" customHeight="1" x14ac:dyDescent="0.2">
      <c r="A1429" s="165"/>
      <c r="D1429" s="173"/>
      <c r="P1429" s="163"/>
      <c r="V1429" s="169"/>
    </row>
    <row r="1430" spans="1:22" ht="15.75" customHeight="1" x14ac:dyDescent="0.2">
      <c r="A1430" s="165"/>
      <c r="D1430" s="173"/>
      <c r="P1430" s="163"/>
      <c r="V1430" s="169"/>
    </row>
    <row r="1431" spans="1:22" ht="15.75" customHeight="1" x14ac:dyDescent="0.2">
      <c r="A1431" s="165"/>
      <c r="D1431" s="173"/>
      <c r="P1431" s="163"/>
      <c r="V1431" s="169"/>
    </row>
    <row r="1432" spans="1:22" ht="15.75" customHeight="1" x14ac:dyDescent="0.2">
      <c r="A1432" s="165"/>
      <c r="D1432" s="173"/>
      <c r="P1432" s="163"/>
      <c r="V1432" s="169"/>
    </row>
    <row r="1433" spans="1:22" ht="15.75" customHeight="1" x14ac:dyDescent="0.2">
      <c r="A1433" s="165"/>
      <c r="D1433" s="173"/>
      <c r="P1433" s="163"/>
      <c r="V1433" s="169"/>
    </row>
    <row r="1434" spans="1:22" ht="15.75" customHeight="1" x14ac:dyDescent="0.2">
      <c r="A1434" s="165"/>
      <c r="D1434" s="173"/>
      <c r="P1434" s="163"/>
      <c r="V1434" s="169"/>
    </row>
    <row r="1435" spans="1:22" ht="15.75" customHeight="1" x14ac:dyDescent="0.2">
      <c r="A1435" s="165"/>
      <c r="D1435" s="173"/>
      <c r="P1435" s="163"/>
      <c r="V1435" s="169"/>
    </row>
    <row r="1436" spans="1:22" ht="15.75" customHeight="1" x14ac:dyDescent="0.2">
      <c r="A1436" s="165"/>
      <c r="D1436" s="173"/>
      <c r="P1436" s="163"/>
      <c r="V1436" s="169"/>
    </row>
    <row r="1437" spans="1:22" ht="15.75" customHeight="1" x14ac:dyDescent="0.2">
      <c r="A1437" s="165"/>
      <c r="D1437" s="173"/>
      <c r="P1437" s="163"/>
      <c r="V1437" s="169"/>
    </row>
    <row r="1438" spans="1:22" ht="15.75" customHeight="1" x14ac:dyDescent="0.2">
      <c r="A1438" s="165"/>
      <c r="D1438" s="173"/>
      <c r="P1438" s="163"/>
      <c r="V1438" s="169"/>
    </row>
    <row r="1439" spans="1:22" ht="15.75" customHeight="1" x14ac:dyDescent="0.2">
      <c r="A1439" s="165"/>
      <c r="D1439" s="173"/>
      <c r="P1439" s="163"/>
      <c r="V1439" s="169"/>
    </row>
    <row r="1440" spans="1:22" ht="15.75" customHeight="1" x14ac:dyDescent="0.2">
      <c r="A1440" s="165"/>
      <c r="D1440" s="173"/>
      <c r="P1440" s="163"/>
      <c r="V1440" s="169"/>
    </row>
    <row r="1441" spans="1:22" ht="15.75" customHeight="1" x14ac:dyDescent="0.2">
      <c r="A1441" s="165"/>
      <c r="D1441" s="173"/>
      <c r="P1441" s="163"/>
      <c r="V1441" s="169"/>
    </row>
    <row r="1442" spans="1:22" ht="15.75" customHeight="1" x14ac:dyDescent="0.2">
      <c r="A1442" s="165"/>
      <c r="D1442" s="173"/>
      <c r="P1442" s="163"/>
      <c r="V1442" s="169"/>
    </row>
    <row r="1443" spans="1:22" ht="15.75" customHeight="1" x14ac:dyDescent="0.2">
      <c r="A1443" s="165"/>
      <c r="D1443" s="173"/>
      <c r="P1443" s="163"/>
      <c r="V1443" s="169"/>
    </row>
    <row r="1444" spans="1:22" ht="15.75" customHeight="1" x14ac:dyDescent="0.2">
      <c r="A1444" s="165"/>
      <c r="D1444" s="173"/>
      <c r="P1444" s="163"/>
      <c r="V1444" s="169"/>
    </row>
    <row r="1445" spans="1:22" ht="15.75" customHeight="1" x14ac:dyDescent="0.2">
      <c r="A1445" s="165"/>
      <c r="D1445" s="173"/>
      <c r="P1445" s="163"/>
      <c r="V1445" s="169"/>
    </row>
    <row r="1446" spans="1:22" ht="15.75" customHeight="1" x14ac:dyDescent="0.2">
      <c r="A1446" s="165"/>
      <c r="D1446" s="173"/>
      <c r="P1446" s="163"/>
      <c r="V1446" s="169"/>
    </row>
    <row r="1447" spans="1:22" ht="15.75" customHeight="1" x14ac:dyDescent="0.2">
      <c r="A1447" s="165"/>
      <c r="D1447" s="173"/>
      <c r="P1447" s="163"/>
      <c r="V1447" s="169"/>
    </row>
    <row r="1448" spans="1:22" ht="15.75" customHeight="1" x14ac:dyDescent="0.2">
      <c r="A1448" s="165"/>
      <c r="D1448" s="173"/>
      <c r="P1448" s="163"/>
      <c r="V1448" s="169"/>
    </row>
    <row r="1449" spans="1:22" ht="15.75" customHeight="1" x14ac:dyDescent="0.2">
      <c r="A1449" s="165"/>
      <c r="D1449" s="173"/>
      <c r="P1449" s="163"/>
      <c r="V1449" s="169"/>
    </row>
    <row r="1450" spans="1:22" ht="15.75" customHeight="1" x14ac:dyDescent="0.2">
      <c r="A1450" s="165"/>
      <c r="D1450" s="173"/>
      <c r="P1450" s="163"/>
      <c r="V1450" s="169"/>
    </row>
    <row r="1451" spans="1:22" ht="15.75" customHeight="1" x14ac:dyDescent="0.2">
      <c r="A1451" s="165"/>
      <c r="D1451" s="173"/>
      <c r="P1451" s="163"/>
      <c r="V1451" s="169"/>
    </row>
    <row r="1452" spans="1:22" ht="15.75" customHeight="1" x14ac:dyDescent="0.2">
      <c r="A1452" s="165"/>
      <c r="D1452" s="173"/>
      <c r="P1452" s="163"/>
      <c r="V1452" s="169"/>
    </row>
    <row r="1453" spans="1:22" ht="15.75" customHeight="1" x14ac:dyDescent="0.2">
      <c r="A1453" s="165"/>
      <c r="D1453" s="173"/>
      <c r="P1453" s="163"/>
      <c r="V1453" s="169"/>
    </row>
    <row r="1454" spans="1:22" ht="15.75" customHeight="1" x14ac:dyDescent="0.2">
      <c r="A1454" s="165"/>
      <c r="D1454" s="173"/>
      <c r="P1454" s="163"/>
      <c r="V1454" s="169"/>
    </row>
    <row r="1455" spans="1:22" ht="15.75" customHeight="1" x14ac:dyDescent="0.2">
      <c r="A1455" s="165"/>
      <c r="D1455" s="173"/>
      <c r="P1455" s="163"/>
      <c r="V1455" s="169"/>
    </row>
    <row r="1456" spans="1:22" ht="15.75" customHeight="1" x14ac:dyDescent="0.2">
      <c r="A1456" s="165"/>
      <c r="D1456" s="173"/>
      <c r="P1456" s="163"/>
      <c r="V1456" s="169"/>
    </row>
    <row r="1457" spans="1:22" ht="15.75" customHeight="1" x14ac:dyDescent="0.2">
      <c r="A1457" s="165"/>
      <c r="D1457" s="173"/>
      <c r="P1457" s="163"/>
      <c r="V1457" s="169"/>
    </row>
    <row r="1458" spans="1:22" ht="15.75" customHeight="1" x14ac:dyDescent="0.2">
      <c r="A1458" s="165"/>
      <c r="D1458" s="173"/>
      <c r="P1458" s="163"/>
      <c r="V1458" s="169"/>
    </row>
    <row r="1459" spans="1:22" ht="15.75" customHeight="1" x14ac:dyDescent="0.2">
      <c r="A1459" s="165"/>
      <c r="D1459" s="173"/>
      <c r="P1459" s="163"/>
      <c r="V1459" s="169"/>
    </row>
    <row r="1460" spans="1:22" ht="15.75" customHeight="1" x14ac:dyDescent="0.2">
      <c r="A1460" s="165"/>
      <c r="D1460" s="173"/>
      <c r="P1460" s="163"/>
      <c r="V1460" s="169"/>
    </row>
    <row r="1461" spans="1:22" ht="15.75" customHeight="1" x14ac:dyDescent="0.2">
      <c r="A1461" s="165"/>
      <c r="D1461" s="173"/>
      <c r="P1461" s="163"/>
      <c r="V1461" s="169"/>
    </row>
    <row r="1462" spans="1:22" ht="15.75" customHeight="1" x14ac:dyDescent="0.2">
      <c r="A1462" s="165"/>
      <c r="D1462" s="173"/>
      <c r="P1462" s="163"/>
      <c r="V1462" s="169"/>
    </row>
    <row r="1463" spans="1:22" ht="15.75" customHeight="1" x14ac:dyDescent="0.2">
      <c r="A1463" s="165"/>
      <c r="D1463" s="173"/>
      <c r="P1463" s="163"/>
      <c r="V1463" s="169"/>
    </row>
    <row r="1464" spans="1:22" ht="15.75" customHeight="1" x14ac:dyDescent="0.2">
      <c r="A1464" s="165"/>
      <c r="D1464" s="173"/>
      <c r="P1464" s="163"/>
      <c r="V1464" s="169"/>
    </row>
    <row r="1465" spans="1:22" ht="15.75" customHeight="1" x14ac:dyDescent="0.2">
      <c r="A1465" s="165"/>
      <c r="D1465" s="173"/>
      <c r="P1465" s="163"/>
      <c r="V1465" s="169"/>
    </row>
    <row r="1466" spans="1:22" ht="15.75" customHeight="1" x14ac:dyDescent="0.2">
      <c r="A1466" s="165"/>
      <c r="D1466" s="173"/>
      <c r="P1466" s="163"/>
      <c r="V1466" s="169"/>
    </row>
    <row r="1467" spans="1:22" ht="15.75" customHeight="1" x14ac:dyDescent="0.2">
      <c r="A1467" s="165"/>
      <c r="D1467" s="173"/>
      <c r="P1467" s="163"/>
      <c r="V1467" s="169"/>
    </row>
    <row r="1468" spans="1:22" ht="15.75" customHeight="1" x14ac:dyDescent="0.2">
      <c r="A1468" s="165"/>
      <c r="D1468" s="173"/>
      <c r="P1468" s="163"/>
      <c r="V1468" s="169"/>
    </row>
    <row r="1469" spans="1:22" ht="15.75" customHeight="1" x14ac:dyDescent="0.2">
      <c r="A1469" s="165"/>
      <c r="D1469" s="173"/>
      <c r="P1469" s="163"/>
      <c r="V1469" s="169"/>
    </row>
    <row r="1470" spans="1:22" ht="15.75" customHeight="1" x14ac:dyDescent="0.2">
      <c r="A1470" s="165"/>
      <c r="D1470" s="173"/>
      <c r="P1470" s="163"/>
      <c r="V1470" s="169"/>
    </row>
    <row r="1471" spans="1:22" ht="15.75" customHeight="1" x14ac:dyDescent="0.2">
      <c r="A1471" s="165"/>
      <c r="D1471" s="173"/>
      <c r="P1471" s="163"/>
      <c r="V1471" s="169"/>
    </row>
    <row r="1472" spans="1:22" ht="15.75" customHeight="1" x14ac:dyDescent="0.2">
      <c r="A1472" s="165"/>
      <c r="D1472" s="173"/>
      <c r="P1472" s="163"/>
      <c r="V1472" s="169"/>
    </row>
    <row r="1473" spans="1:22" ht="15.75" customHeight="1" x14ac:dyDescent="0.2">
      <c r="A1473" s="165"/>
      <c r="D1473" s="173"/>
      <c r="P1473" s="163"/>
      <c r="V1473" s="169"/>
    </row>
    <row r="1474" spans="1:22" ht="15.75" customHeight="1" x14ac:dyDescent="0.2">
      <c r="A1474" s="165"/>
      <c r="D1474" s="173"/>
      <c r="P1474" s="163"/>
      <c r="V1474" s="169"/>
    </row>
    <row r="1475" spans="1:22" ht="15.75" customHeight="1" x14ac:dyDescent="0.2">
      <c r="A1475" s="165"/>
      <c r="D1475" s="173"/>
      <c r="P1475" s="163"/>
      <c r="V1475" s="169"/>
    </row>
    <row r="1476" spans="1:22" ht="15.75" customHeight="1" x14ac:dyDescent="0.2">
      <c r="A1476" s="165"/>
      <c r="D1476" s="173"/>
      <c r="P1476" s="163"/>
      <c r="V1476" s="169"/>
    </row>
    <row r="1477" spans="1:22" ht="15.75" customHeight="1" x14ac:dyDescent="0.2">
      <c r="A1477" s="165"/>
      <c r="D1477" s="173"/>
      <c r="P1477" s="163"/>
      <c r="V1477" s="169"/>
    </row>
    <row r="1478" spans="1:22" ht="15.75" customHeight="1" x14ac:dyDescent="0.2">
      <c r="A1478" s="165"/>
      <c r="D1478" s="173"/>
      <c r="P1478" s="163"/>
      <c r="V1478" s="169"/>
    </row>
    <row r="1479" spans="1:22" ht="15.75" customHeight="1" x14ac:dyDescent="0.2">
      <c r="A1479" s="165"/>
      <c r="D1479" s="173"/>
      <c r="P1479" s="163"/>
      <c r="V1479" s="169"/>
    </row>
    <row r="1480" spans="1:22" ht="15.75" customHeight="1" x14ac:dyDescent="0.2">
      <c r="A1480" s="165"/>
      <c r="D1480" s="173"/>
      <c r="P1480" s="163"/>
      <c r="V1480" s="169"/>
    </row>
    <row r="1481" spans="1:22" ht="15.75" customHeight="1" x14ac:dyDescent="0.2">
      <c r="A1481" s="165"/>
      <c r="D1481" s="173"/>
      <c r="P1481" s="163"/>
      <c r="V1481" s="169"/>
    </row>
    <row r="1482" spans="1:22" ht="15.75" customHeight="1" x14ac:dyDescent="0.2">
      <c r="A1482" s="165"/>
      <c r="D1482" s="173"/>
      <c r="P1482" s="163"/>
      <c r="V1482" s="169"/>
    </row>
    <row r="1483" spans="1:22" ht="15.75" customHeight="1" x14ac:dyDescent="0.2">
      <c r="A1483" s="165"/>
      <c r="D1483" s="173"/>
      <c r="P1483" s="163"/>
      <c r="V1483" s="169"/>
    </row>
    <row r="1484" spans="1:22" ht="15.75" customHeight="1" x14ac:dyDescent="0.2">
      <c r="A1484" s="165"/>
      <c r="D1484" s="173"/>
      <c r="P1484" s="163"/>
      <c r="V1484" s="169"/>
    </row>
    <row r="1485" spans="1:22" ht="15.75" customHeight="1" x14ac:dyDescent="0.2">
      <c r="A1485" s="165"/>
      <c r="D1485" s="173"/>
      <c r="P1485" s="163"/>
      <c r="V1485" s="169"/>
    </row>
    <row r="1486" spans="1:22" ht="15.75" customHeight="1" x14ac:dyDescent="0.2">
      <c r="A1486" s="165"/>
      <c r="D1486" s="173"/>
      <c r="P1486" s="163"/>
      <c r="V1486" s="169"/>
    </row>
    <row r="1487" spans="1:22" ht="15.75" customHeight="1" x14ac:dyDescent="0.2">
      <c r="A1487" s="165"/>
      <c r="D1487" s="173"/>
      <c r="P1487" s="163"/>
      <c r="V1487" s="169"/>
    </row>
    <row r="1488" spans="1:22" ht="15.75" customHeight="1" x14ac:dyDescent="0.2">
      <c r="A1488" s="165"/>
      <c r="D1488" s="173"/>
      <c r="P1488" s="163"/>
      <c r="V1488" s="169"/>
    </row>
    <row r="1489" spans="1:22" ht="15.75" customHeight="1" x14ac:dyDescent="0.2">
      <c r="A1489" s="165"/>
      <c r="D1489" s="173"/>
      <c r="P1489" s="163"/>
      <c r="V1489" s="169"/>
    </row>
    <row r="1490" spans="1:22" ht="15.75" customHeight="1" x14ac:dyDescent="0.2">
      <c r="A1490" s="165"/>
      <c r="D1490" s="173"/>
      <c r="P1490" s="163"/>
      <c r="V1490" s="169"/>
    </row>
    <row r="1491" spans="1:22" ht="15.75" customHeight="1" x14ac:dyDescent="0.2">
      <c r="A1491" s="165"/>
      <c r="D1491" s="173"/>
      <c r="P1491" s="163"/>
      <c r="V1491" s="169"/>
    </row>
    <row r="1492" spans="1:22" ht="15.75" customHeight="1" x14ac:dyDescent="0.2">
      <c r="A1492" s="165"/>
      <c r="D1492" s="173"/>
      <c r="P1492" s="163"/>
      <c r="V1492" s="169"/>
    </row>
    <row r="1493" spans="1:22" ht="15.75" customHeight="1" x14ac:dyDescent="0.2">
      <c r="A1493" s="165"/>
      <c r="D1493" s="173"/>
      <c r="P1493" s="163"/>
      <c r="V1493" s="169"/>
    </row>
    <row r="1494" spans="1:22" ht="15.75" customHeight="1" x14ac:dyDescent="0.2">
      <c r="A1494" s="165"/>
      <c r="D1494" s="173"/>
      <c r="P1494" s="163"/>
      <c r="V1494" s="169"/>
    </row>
    <row r="1495" spans="1:22" ht="15.75" customHeight="1" x14ac:dyDescent="0.2">
      <c r="A1495" s="165"/>
      <c r="D1495" s="173"/>
      <c r="P1495" s="163"/>
      <c r="V1495" s="169"/>
    </row>
    <row r="1496" spans="1:22" ht="15.75" customHeight="1" x14ac:dyDescent="0.2">
      <c r="A1496" s="165"/>
      <c r="D1496" s="173"/>
      <c r="P1496" s="163"/>
      <c r="V1496" s="169"/>
    </row>
    <row r="1497" spans="1:22" ht="15.75" customHeight="1" x14ac:dyDescent="0.2">
      <c r="A1497" s="165"/>
      <c r="D1497" s="173"/>
      <c r="P1497" s="163"/>
      <c r="V1497" s="169"/>
    </row>
    <row r="1498" spans="1:22" ht="15.75" customHeight="1" x14ac:dyDescent="0.2">
      <c r="A1498" s="165"/>
      <c r="D1498" s="173"/>
      <c r="P1498" s="163"/>
      <c r="V1498" s="169"/>
    </row>
    <row r="1499" spans="1:22" ht="15.75" customHeight="1" x14ac:dyDescent="0.2">
      <c r="A1499" s="165"/>
      <c r="D1499" s="173"/>
      <c r="P1499" s="163"/>
      <c r="V1499" s="169"/>
    </row>
    <row r="1500" spans="1:22" ht="15.75" customHeight="1" x14ac:dyDescent="0.2">
      <c r="A1500" s="165"/>
      <c r="D1500" s="173"/>
      <c r="P1500" s="163"/>
      <c r="V1500" s="169"/>
    </row>
    <row r="1501" spans="1:22" ht="15.75" customHeight="1" x14ac:dyDescent="0.2">
      <c r="A1501" s="165"/>
      <c r="D1501" s="173"/>
      <c r="P1501" s="163"/>
      <c r="V1501" s="169"/>
    </row>
    <row r="1502" spans="1:22" ht="15.75" customHeight="1" x14ac:dyDescent="0.2">
      <c r="A1502" s="165"/>
      <c r="D1502" s="173"/>
      <c r="P1502" s="163"/>
      <c r="V1502" s="169"/>
    </row>
    <row r="1503" spans="1:22" ht="15.75" customHeight="1" x14ac:dyDescent="0.2">
      <c r="A1503" s="165"/>
      <c r="D1503" s="173"/>
      <c r="P1503" s="163"/>
      <c r="V1503" s="169"/>
    </row>
    <row r="1504" spans="1:22" ht="15.75" customHeight="1" x14ac:dyDescent="0.2">
      <c r="A1504" s="165"/>
      <c r="D1504" s="173"/>
      <c r="P1504" s="163"/>
      <c r="V1504" s="169"/>
    </row>
    <row r="1505" spans="1:22" ht="15.75" customHeight="1" x14ac:dyDescent="0.2">
      <c r="A1505" s="165"/>
      <c r="D1505" s="173"/>
      <c r="P1505" s="163"/>
      <c r="V1505" s="169"/>
    </row>
    <row r="1506" spans="1:22" ht="15.75" customHeight="1" x14ac:dyDescent="0.2">
      <c r="A1506" s="165"/>
      <c r="D1506" s="173"/>
      <c r="P1506" s="163"/>
      <c r="V1506" s="169"/>
    </row>
    <row r="1507" spans="1:22" ht="15.75" customHeight="1" x14ac:dyDescent="0.2">
      <c r="A1507" s="165"/>
      <c r="D1507" s="173"/>
      <c r="P1507" s="163"/>
      <c r="V1507" s="169"/>
    </row>
    <row r="1508" spans="1:22" ht="15.75" customHeight="1" x14ac:dyDescent="0.2">
      <c r="A1508" s="165"/>
      <c r="D1508" s="173"/>
      <c r="P1508" s="163"/>
      <c r="V1508" s="169"/>
    </row>
    <row r="1509" spans="1:22" ht="15.75" customHeight="1" x14ac:dyDescent="0.2">
      <c r="A1509" s="165"/>
      <c r="D1509" s="173"/>
      <c r="P1509" s="163"/>
      <c r="V1509" s="169"/>
    </row>
    <row r="1510" spans="1:22" ht="15.75" customHeight="1" x14ac:dyDescent="0.2">
      <c r="A1510" s="165"/>
      <c r="D1510" s="173"/>
      <c r="P1510" s="163"/>
      <c r="V1510" s="169"/>
    </row>
    <row r="1511" spans="1:22" ht="15.75" customHeight="1" x14ac:dyDescent="0.2">
      <c r="A1511" s="165"/>
      <c r="D1511" s="173"/>
      <c r="P1511" s="163"/>
      <c r="V1511" s="169"/>
    </row>
    <row r="1512" spans="1:22" ht="15.75" customHeight="1" x14ac:dyDescent="0.2">
      <c r="A1512" s="165"/>
      <c r="D1512" s="173"/>
      <c r="P1512" s="163"/>
      <c r="V1512" s="169"/>
    </row>
    <row r="1513" spans="1:22" ht="15.75" customHeight="1" x14ac:dyDescent="0.2">
      <c r="A1513" s="165"/>
      <c r="D1513" s="173"/>
      <c r="P1513" s="163"/>
      <c r="V1513" s="169"/>
    </row>
    <row r="1514" spans="1:22" ht="15.75" customHeight="1" x14ac:dyDescent="0.2">
      <c r="A1514" s="165"/>
      <c r="D1514" s="173"/>
      <c r="P1514" s="163"/>
      <c r="V1514" s="169"/>
    </row>
    <row r="1515" spans="1:22" ht="15.75" customHeight="1" x14ac:dyDescent="0.2">
      <c r="A1515" s="165"/>
      <c r="D1515" s="173"/>
      <c r="P1515" s="163"/>
      <c r="V1515" s="169"/>
    </row>
    <row r="1516" spans="1:22" ht="15.75" customHeight="1" x14ac:dyDescent="0.2">
      <c r="A1516" s="165"/>
      <c r="D1516" s="173"/>
      <c r="P1516" s="163"/>
      <c r="V1516" s="169"/>
    </row>
    <row r="1517" spans="1:22" ht="15.75" customHeight="1" x14ac:dyDescent="0.2">
      <c r="A1517" s="165"/>
      <c r="D1517" s="173"/>
      <c r="P1517" s="163"/>
      <c r="V1517" s="169"/>
    </row>
    <row r="1518" spans="1:22" ht="15.75" customHeight="1" x14ac:dyDescent="0.2">
      <c r="A1518" s="165"/>
      <c r="D1518" s="173"/>
      <c r="P1518" s="163"/>
      <c r="V1518" s="169"/>
    </row>
    <row r="1519" spans="1:22" ht="15.75" customHeight="1" x14ac:dyDescent="0.2">
      <c r="A1519" s="165"/>
      <c r="D1519" s="173"/>
      <c r="P1519" s="163"/>
      <c r="V1519" s="169"/>
    </row>
    <row r="1520" spans="1:22" ht="15.75" customHeight="1" x14ac:dyDescent="0.2">
      <c r="A1520" s="165"/>
      <c r="D1520" s="173"/>
      <c r="P1520" s="163"/>
      <c r="V1520" s="169"/>
    </row>
    <row r="1521" spans="1:22" ht="15.75" customHeight="1" x14ac:dyDescent="0.2">
      <c r="A1521" s="165"/>
      <c r="D1521" s="173"/>
      <c r="P1521" s="163"/>
      <c r="V1521" s="169"/>
    </row>
    <row r="1522" spans="1:22" ht="15.75" customHeight="1" x14ac:dyDescent="0.2">
      <c r="A1522" s="165"/>
      <c r="D1522" s="173"/>
      <c r="P1522" s="163"/>
      <c r="V1522" s="169"/>
    </row>
    <row r="1523" spans="1:22" ht="15.75" customHeight="1" x14ac:dyDescent="0.2">
      <c r="A1523" s="165"/>
      <c r="D1523" s="173"/>
      <c r="P1523" s="163"/>
      <c r="V1523" s="169"/>
    </row>
    <row r="1524" spans="1:22" ht="15.75" customHeight="1" x14ac:dyDescent="0.2">
      <c r="A1524" s="165"/>
      <c r="D1524" s="173"/>
      <c r="P1524" s="163"/>
      <c r="V1524" s="169"/>
    </row>
    <row r="1525" spans="1:22" ht="15.75" customHeight="1" x14ac:dyDescent="0.2">
      <c r="A1525" s="165"/>
      <c r="D1525" s="173"/>
      <c r="P1525" s="163"/>
      <c r="V1525" s="169"/>
    </row>
    <row r="1526" spans="1:22" ht="15.75" customHeight="1" x14ac:dyDescent="0.2">
      <c r="A1526" s="165"/>
      <c r="D1526" s="173"/>
      <c r="P1526" s="163"/>
      <c r="V1526" s="169"/>
    </row>
    <row r="1527" spans="1:22" ht="15.75" customHeight="1" x14ac:dyDescent="0.2">
      <c r="A1527" s="165"/>
      <c r="D1527" s="173"/>
      <c r="P1527" s="163"/>
      <c r="V1527" s="169"/>
    </row>
    <row r="1528" spans="1:22" ht="15.75" customHeight="1" x14ac:dyDescent="0.2">
      <c r="A1528" s="165"/>
      <c r="D1528" s="173"/>
      <c r="P1528" s="163"/>
      <c r="V1528" s="169"/>
    </row>
    <row r="1529" spans="1:22" ht="15.75" customHeight="1" x14ac:dyDescent="0.2">
      <c r="A1529" s="165"/>
      <c r="D1529" s="173"/>
      <c r="P1529" s="163"/>
      <c r="V1529" s="169"/>
    </row>
    <row r="1530" spans="1:22" ht="15.75" customHeight="1" x14ac:dyDescent="0.2">
      <c r="A1530" s="165"/>
      <c r="D1530" s="173"/>
      <c r="P1530" s="163"/>
      <c r="V1530" s="169"/>
    </row>
    <row r="1531" spans="1:22" ht="15.75" customHeight="1" x14ac:dyDescent="0.2">
      <c r="A1531" s="165"/>
      <c r="D1531" s="173"/>
      <c r="P1531" s="163"/>
      <c r="V1531" s="169"/>
    </row>
    <row r="1532" spans="1:22" ht="15.75" customHeight="1" x14ac:dyDescent="0.2">
      <c r="A1532" s="165"/>
      <c r="D1532" s="173"/>
      <c r="P1532" s="163"/>
      <c r="V1532" s="169"/>
    </row>
    <row r="1533" spans="1:22" ht="15.75" customHeight="1" x14ac:dyDescent="0.2">
      <c r="A1533" s="165"/>
      <c r="D1533" s="173"/>
      <c r="P1533" s="163"/>
      <c r="V1533" s="169"/>
    </row>
    <row r="1534" spans="1:22" ht="15.75" customHeight="1" x14ac:dyDescent="0.2">
      <c r="A1534" s="165"/>
      <c r="D1534" s="173"/>
      <c r="P1534" s="163"/>
      <c r="V1534" s="169"/>
    </row>
    <row r="1535" spans="1:22" ht="15.75" customHeight="1" x14ac:dyDescent="0.2">
      <c r="A1535" s="165"/>
      <c r="D1535" s="173"/>
      <c r="P1535" s="163"/>
      <c r="V1535" s="169"/>
    </row>
    <row r="1536" spans="1:22" ht="15.75" customHeight="1" x14ac:dyDescent="0.2">
      <c r="A1536" s="165"/>
      <c r="D1536" s="173"/>
      <c r="P1536" s="163"/>
      <c r="V1536" s="169"/>
    </row>
    <row r="1537" spans="1:22" ht="15.75" customHeight="1" x14ac:dyDescent="0.2">
      <c r="A1537" s="165"/>
      <c r="D1537" s="173"/>
      <c r="P1537" s="163"/>
      <c r="V1537" s="169"/>
    </row>
    <row r="1538" spans="1:22" ht="15.75" customHeight="1" x14ac:dyDescent="0.2">
      <c r="A1538" s="165"/>
      <c r="D1538" s="173"/>
      <c r="P1538" s="163"/>
      <c r="V1538" s="169"/>
    </row>
    <row r="1539" spans="1:22" ht="15.75" customHeight="1" x14ac:dyDescent="0.2">
      <c r="A1539" s="165"/>
      <c r="D1539" s="173"/>
      <c r="P1539" s="163"/>
      <c r="V1539" s="169"/>
    </row>
    <row r="1540" spans="1:22" ht="15.75" customHeight="1" x14ac:dyDescent="0.2">
      <c r="A1540" s="165"/>
      <c r="D1540" s="173"/>
      <c r="P1540" s="163"/>
      <c r="V1540" s="169"/>
    </row>
    <row r="1541" spans="1:22" ht="15.75" customHeight="1" x14ac:dyDescent="0.2">
      <c r="A1541" s="165"/>
      <c r="D1541" s="173"/>
      <c r="P1541" s="163"/>
      <c r="V1541" s="169"/>
    </row>
    <row r="1542" spans="1:22" ht="15.75" customHeight="1" x14ac:dyDescent="0.2">
      <c r="A1542" s="165"/>
      <c r="D1542" s="173"/>
      <c r="P1542" s="163"/>
      <c r="V1542" s="169"/>
    </row>
    <row r="1543" spans="1:22" ht="15.75" customHeight="1" x14ac:dyDescent="0.2">
      <c r="A1543" s="165"/>
      <c r="D1543" s="173"/>
      <c r="P1543" s="163"/>
      <c r="V1543" s="169"/>
    </row>
    <row r="1544" spans="1:22" ht="15.75" customHeight="1" x14ac:dyDescent="0.2">
      <c r="A1544" s="165"/>
      <c r="D1544" s="173"/>
      <c r="P1544" s="163"/>
      <c r="V1544" s="169"/>
    </row>
    <row r="1545" spans="1:22" ht="15.75" customHeight="1" x14ac:dyDescent="0.2">
      <c r="A1545" s="165"/>
      <c r="D1545" s="173"/>
      <c r="P1545" s="163"/>
      <c r="V1545" s="169"/>
    </row>
    <row r="1546" spans="1:22" ht="15.75" customHeight="1" x14ac:dyDescent="0.2">
      <c r="A1546" s="165"/>
      <c r="D1546" s="173"/>
      <c r="P1546" s="163"/>
      <c r="V1546" s="169"/>
    </row>
    <row r="1547" spans="1:22" ht="15.75" customHeight="1" x14ac:dyDescent="0.2">
      <c r="A1547" s="165"/>
      <c r="D1547" s="173"/>
      <c r="P1547" s="163"/>
      <c r="V1547" s="169"/>
    </row>
    <row r="1548" spans="1:22" ht="15.75" customHeight="1" x14ac:dyDescent="0.2">
      <c r="A1548" s="165"/>
      <c r="D1548" s="173"/>
      <c r="P1548" s="163"/>
      <c r="V1548" s="169"/>
    </row>
    <row r="1549" spans="1:22" ht="15.75" customHeight="1" x14ac:dyDescent="0.2">
      <c r="A1549" s="165"/>
      <c r="D1549" s="173"/>
      <c r="P1549" s="163"/>
      <c r="V1549" s="169"/>
    </row>
    <row r="1550" spans="1:22" ht="15.75" customHeight="1" x14ac:dyDescent="0.2">
      <c r="A1550" s="165"/>
      <c r="D1550" s="173"/>
      <c r="P1550" s="163"/>
      <c r="V1550" s="169"/>
    </row>
    <row r="1551" spans="1:22" ht="15.75" customHeight="1" x14ac:dyDescent="0.2">
      <c r="A1551" s="165"/>
      <c r="D1551" s="173"/>
      <c r="P1551" s="163"/>
      <c r="V1551" s="169"/>
    </row>
    <row r="1552" spans="1:22" ht="15.75" customHeight="1" x14ac:dyDescent="0.2">
      <c r="A1552" s="165"/>
      <c r="D1552" s="173"/>
      <c r="P1552" s="163"/>
      <c r="V1552" s="169"/>
    </row>
    <row r="1553" spans="1:22" ht="15.75" customHeight="1" x14ac:dyDescent="0.2">
      <c r="A1553" s="165"/>
      <c r="D1553" s="173"/>
      <c r="P1553" s="163"/>
      <c r="V1553" s="169"/>
    </row>
    <row r="1554" spans="1:22" ht="15.75" customHeight="1" x14ac:dyDescent="0.2">
      <c r="A1554" s="165"/>
      <c r="D1554" s="173"/>
      <c r="P1554" s="163"/>
      <c r="V1554" s="169"/>
    </row>
    <row r="1555" spans="1:22" ht="15.75" customHeight="1" x14ac:dyDescent="0.2">
      <c r="A1555" s="165"/>
      <c r="D1555" s="173"/>
      <c r="P1555" s="163"/>
      <c r="V1555" s="169"/>
    </row>
    <row r="1556" spans="1:22" ht="15.75" customHeight="1" x14ac:dyDescent="0.2">
      <c r="A1556" s="165"/>
      <c r="D1556" s="173"/>
      <c r="P1556" s="163"/>
      <c r="V1556" s="169"/>
    </row>
    <row r="1557" spans="1:22" ht="15.75" customHeight="1" x14ac:dyDescent="0.2">
      <c r="A1557" s="165"/>
      <c r="D1557" s="173"/>
      <c r="P1557" s="163"/>
      <c r="V1557" s="169"/>
    </row>
    <row r="1558" spans="1:22" ht="15.75" customHeight="1" x14ac:dyDescent="0.2">
      <c r="A1558" s="165"/>
      <c r="D1558" s="173"/>
      <c r="P1558" s="163"/>
      <c r="V1558" s="169"/>
    </row>
    <row r="1559" spans="1:22" ht="15.75" customHeight="1" x14ac:dyDescent="0.2">
      <c r="A1559" s="165"/>
      <c r="D1559" s="173"/>
      <c r="P1559" s="163"/>
      <c r="V1559" s="169"/>
    </row>
    <row r="1560" spans="1:22" ht="15.75" customHeight="1" x14ac:dyDescent="0.2">
      <c r="A1560" s="165"/>
      <c r="D1560" s="173"/>
      <c r="P1560" s="163"/>
      <c r="V1560" s="169"/>
    </row>
    <row r="1561" spans="1:22" ht="15.75" customHeight="1" x14ac:dyDescent="0.2">
      <c r="A1561" s="165"/>
      <c r="D1561" s="173"/>
      <c r="P1561" s="163"/>
      <c r="V1561" s="169"/>
    </row>
    <row r="1562" spans="1:22" ht="15.75" customHeight="1" x14ac:dyDescent="0.2">
      <c r="A1562" s="165"/>
      <c r="D1562" s="173"/>
      <c r="P1562" s="163"/>
      <c r="V1562" s="169"/>
    </row>
    <row r="1563" spans="1:22" ht="15.75" customHeight="1" x14ac:dyDescent="0.2">
      <c r="A1563" s="165"/>
      <c r="D1563" s="173"/>
      <c r="P1563" s="163"/>
      <c r="V1563" s="169"/>
    </row>
    <row r="1564" spans="1:22" ht="15.75" customHeight="1" x14ac:dyDescent="0.2">
      <c r="A1564" s="165"/>
      <c r="D1564" s="173"/>
      <c r="P1564" s="163"/>
      <c r="V1564" s="169"/>
    </row>
    <row r="1565" spans="1:22" ht="15.75" customHeight="1" x14ac:dyDescent="0.2">
      <c r="A1565" s="165"/>
      <c r="D1565" s="173"/>
      <c r="P1565" s="163"/>
      <c r="V1565" s="169"/>
    </row>
    <row r="1566" spans="1:22" ht="15.75" customHeight="1" x14ac:dyDescent="0.2">
      <c r="A1566" s="165"/>
      <c r="D1566" s="173"/>
      <c r="P1566" s="163"/>
      <c r="V1566" s="169"/>
    </row>
    <row r="1567" spans="1:22" ht="15.75" customHeight="1" x14ac:dyDescent="0.2">
      <c r="A1567" s="165"/>
      <c r="D1567" s="173"/>
      <c r="P1567" s="163"/>
      <c r="V1567" s="169"/>
    </row>
    <row r="1568" spans="1:22" ht="15.75" customHeight="1" x14ac:dyDescent="0.2">
      <c r="A1568" s="165"/>
      <c r="D1568" s="173"/>
      <c r="P1568" s="163"/>
      <c r="V1568" s="169"/>
    </row>
    <row r="1569" spans="1:22" ht="15.75" customHeight="1" x14ac:dyDescent="0.2">
      <c r="A1569" s="165"/>
      <c r="D1569" s="173"/>
      <c r="P1569" s="163"/>
      <c r="V1569" s="169"/>
    </row>
    <row r="1570" spans="1:22" ht="15.75" customHeight="1" x14ac:dyDescent="0.2">
      <c r="A1570" s="165"/>
      <c r="D1570" s="173"/>
      <c r="P1570" s="163"/>
      <c r="V1570" s="169"/>
    </row>
    <row r="1571" spans="1:22" ht="15.75" customHeight="1" x14ac:dyDescent="0.2">
      <c r="A1571" s="165"/>
      <c r="D1571" s="173"/>
      <c r="P1571" s="163"/>
      <c r="V1571" s="169"/>
    </row>
    <row r="1572" spans="1:22" ht="15.75" customHeight="1" x14ac:dyDescent="0.2">
      <c r="A1572" s="165"/>
      <c r="D1572" s="173"/>
      <c r="P1572" s="163"/>
      <c r="V1572" s="169"/>
    </row>
    <row r="1573" spans="1:22" ht="15.75" customHeight="1" x14ac:dyDescent="0.2">
      <c r="A1573" s="165"/>
      <c r="D1573" s="173"/>
      <c r="P1573" s="163"/>
      <c r="V1573" s="169"/>
    </row>
    <row r="1574" spans="1:22" ht="15.75" customHeight="1" x14ac:dyDescent="0.2">
      <c r="A1574" s="165"/>
      <c r="D1574" s="173"/>
      <c r="P1574" s="163"/>
      <c r="V1574" s="169"/>
    </row>
    <row r="1575" spans="1:22" ht="15.75" customHeight="1" x14ac:dyDescent="0.2">
      <c r="A1575" s="165"/>
      <c r="D1575" s="173"/>
      <c r="P1575" s="163"/>
      <c r="V1575" s="169"/>
    </row>
    <row r="1576" spans="1:22" ht="15.75" customHeight="1" x14ac:dyDescent="0.2">
      <c r="A1576" s="165"/>
      <c r="D1576" s="173"/>
      <c r="P1576" s="163"/>
      <c r="V1576" s="169"/>
    </row>
    <row r="1577" spans="1:22" ht="15.75" customHeight="1" x14ac:dyDescent="0.2">
      <c r="A1577" s="165"/>
      <c r="D1577" s="173"/>
      <c r="P1577" s="163"/>
      <c r="V1577" s="169"/>
    </row>
    <row r="1578" spans="1:22" ht="15.75" customHeight="1" x14ac:dyDescent="0.2">
      <c r="A1578" s="165"/>
      <c r="D1578" s="173"/>
      <c r="P1578" s="163"/>
      <c r="V1578" s="169"/>
    </row>
    <row r="1579" spans="1:22" ht="15.75" customHeight="1" x14ac:dyDescent="0.2">
      <c r="A1579" s="165"/>
      <c r="D1579" s="173"/>
      <c r="P1579" s="163"/>
      <c r="V1579" s="169"/>
    </row>
    <row r="1580" spans="1:22" ht="15.75" customHeight="1" x14ac:dyDescent="0.2">
      <c r="A1580" s="165"/>
      <c r="D1580" s="173"/>
      <c r="P1580" s="163"/>
      <c r="V1580" s="169"/>
    </row>
    <row r="1581" spans="1:22" ht="15.75" customHeight="1" x14ac:dyDescent="0.2">
      <c r="A1581" s="165"/>
      <c r="D1581" s="173"/>
      <c r="P1581" s="163"/>
      <c r="V1581" s="169"/>
    </row>
    <row r="1582" spans="1:22" ht="15.75" customHeight="1" x14ac:dyDescent="0.2">
      <c r="A1582" s="165"/>
      <c r="D1582" s="173"/>
      <c r="P1582" s="163"/>
      <c r="V1582" s="169"/>
    </row>
    <row r="1583" spans="1:22" ht="15.75" customHeight="1" x14ac:dyDescent="0.2">
      <c r="A1583" s="165"/>
      <c r="D1583" s="173"/>
      <c r="P1583" s="163"/>
      <c r="V1583" s="169"/>
    </row>
    <row r="1584" spans="1:22" ht="15.75" customHeight="1" x14ac:dyDescent="0.2">
      <c r="A1584" s="165"/>
      <c r="D1584" s="173"/>
      <c r="P1584" s="163"/>
      <c r="V1584" s="169"/>
    </row>
    <row r="1585" spans="1:22" ht="15.75" customHeight="1" x14ac:dyDescent="0.2">
      <c r="A1585" s="165"/>
      <c r="D1585" s="173"/>
      <c r="P1585" s="163"/>
      <c r="V1585" s="169"/>
    </row>
    <row r="1586" spans="1:22" ht="15.75" customHeight="1" x14ac:dyDescent="0.2">
      <c r="A1586" s="165"/>
      <c r="D1586" s="173"/>
      <c r="P1586" s="163"/>
      <c r="V1586" s="169"/>
    </row>
    <row r="1587" spans="1:22" ht="15.75" customHeight="1" x14ac:dyDescent="0.2">
      <c r="A1587" s="165"/>
      <c r="D1587" s="173"/>
      <c r="P1587" s="163"/>
      <c r="V1587" s="169"/>
    </row>
    <row r="1588" spans="1:22" ht="15.75" customHeight="1" x14ac:dyDescent="0.2">
      <c r="A1588" s="165"/>
      <c r="D1588" s="173"/>
      <c r="P1588" s="163"/>
      <c r="V1588" s="169"/>
    </row>
    <row r="1589" spans="1:22" ht="15.75" customHeight="1" x14ac:dyDescent="0.2">
      <c r="A1589" s="165"/>
      <c r="D1589" s="173"/>
      <c r="P1589" s="163"/>
      <c r="V1589" s="169"/>
    </row>
    <row r="1590" spans="1:22" ht="15.75" customHeight="1" x14ac:dyDescent="0.2">
      <c r="A1590" s="165"/>
      <c r="D1590" s="173"/>
      <c r="P1590" s="163"/>
      <c r="V1590" s="169"/>
    </row>
    <row r="1591" spans="1:22" ht="15.75" customHeight="1" x14ac:dyDescent="0.2">
      <c r="A1591" s="165"/>
      <c r="D1591" s="173"/>
      <c r="P1591" s="163"/>
      <c r="V1591" s="169"/>
    </row>
    <row r="1592" spans="1:22" ht="15.75" customHeight="1" x14ac:dyDescent="0.2">
      <c r="A1592" s="165"/>
      <c r="D1592" s="173"/>
      <c r="P1592" s="163"/>
      <c r="V1592" s="169"/>
    </row>
    <row r="1593" spans="1:22" ht="15.75" customHeight="1" x14ac:dyDescent="0.2">
      <c r="A1593" s="165"/>
      <c r="D1593" s="173"/>
      <c r="P1593" s="163"/>
      <c r="V1593" s="169"/>
    </row>
    <row r="1594" spans="1:22" ht="15.75" customHeight="1" x14ac:dyDescent="0.2">
      <c r="A1594" s="165"/>
      <c r="D1594" s="173"/>
      <c r="P1594" s="163"/>
      <c r="V1594" s="169"/>
    </row>
    <row r="1595" spans="1:22" ht="15.75" customHeight="1" x14ac:dyDescent="0.2">
      <c r="A1595" s="165"/>
      <c r="D1595" s="173"/>
      <c r="P1595" s="163"/>
      <c r="V1595" s="169"/>
    </row>
    <row r="1596" spans="1:22" ht="15.75" customHeight="1" x14ac:dyDescent="0.2">
      <c r="A1596" s="165"/>
      <c r="D1596" s="173"/>
      <c r="P1596" s="163"/>
      <c r="V1596" s="169"/>
    </row>
    <row r="1597" spans="1:22" ht="15.75" customHeight="1" x14ac:dyDescent="0.2">
      <c r="A1597" s="165"/>
      <c r="D1597" s="173"/>
      <c r="P1597" s="163"/>
      <c r="V1597" s="169"/>
    </row>
    <row r="1598" spans="1:22" ht="15.75" customHeight="1" x14ac:dyDescent="0.2">
      <c r="A1598" s="165"/>
      <c r="D1598" s="173"/>
      <c r="P1598" s="163"/>
      <c r="V1598" s="169"/>
    </row>
    <row r="1599" spans="1:22" ht="15.75" customHeight="1" x14ac:dyDescent="0.2">
      <c r="A1599" s="165"/>
      <c r="D1599" s="173"/>
      <c r="P1599" s="163"/>
      <c r="V1599" s="169"/>
    </row>
    <row r="1600" spans="1:22" ht="15.75" customHeight="1" x14ac:dyDescent="0.2">
      <c r="A1600" s="165"/>
      <c r="D1600" s="173"/>
      <c r="P1600" s="163"/>
      <c r="V1600" s="169"/>
    </row>
    <row r="1601" spans="1:22" ht="15.75" customHeight="1" x14ac:dyDescent="0.2">
      <c r="A1601" s="165"/>
      <c r="D1601" s="173"/>
      <c r="P1601" s="163"/>
      <c r="V1601" s="169"/>
    </row>
    <row r="1602" spans="1:22" ht="15.75" customHeight="1" x14ac:dyDescent="0.2">
      <c r="A1602" s="165"/>
      <c r="D1602" s="173"/>
      <c r="P1602" s="163"/>
      <c r="V1602" s="169"/>
    </row>
    <row r="1603" spans="1:22" ht="15.75" customHeight="1" x14ac:dyDescent="0.2">
      <c r="A1603" s="165"/>
      <c r="D1603" s="173"/>
      <c r="P1603" s="163"/>
      <c r="V1603" s="169"/>
    </row>
    <row r="1604" spans="1:22" ht="15.75" customHeight="1" x14ac:dyDescent="0.2">
      <c r="A1604" s="165"/>
      <c r="D1604" s="173"/>
      <c r="P1604" s="163"/>
      <c r="V1604" s="169"/>
    </row>
    <row r="1605" spans="1:22" ht="15.75" customHeight="1" x14ac:dyDescent="0.2">
      <c r="A1605" s="165"/>
      <c r="D1605" s="173"/>
      <c r="P1605" s="163"/>
      <c r="V1605" s="169"/>
    </row>
    <row r="1606" spans="1:22" ht="15.75" customHeight="1" x14ac:dyDescent="0.2">
      <c r="A1606" s="165"/>
      <c r="D1606" s="173"/>
      <c r="P1606" s="163"/>
      <c r="V1606" s="169"/>
    </row>
    <row r="1607" spans="1:22" ht="15.75" customHeight="1" x14ac:dyDescent="0.2">
      <c r="A1607" s="165"/>
      <c r="D1607" s="173"/>
      <c r="P1607" s="163"/>
      <c r="V1607" s="169"/>
    </row>
    <row r="1608" spans="1:22" ht="15.75" customHeight="1" x14ac:dyDescent="0.2">
      <c r="A1608" s="165"/>
      <c r="D1608" s="173"/>
      <c r="P1608" s="163"/>
      <c r="V1608" s="169"/>
    </row>
    <row r="1609" spans="1:22" ht="15.75" customHeight="1" x14ac:dyDescent="0.2">
      <c r="A1609" s="165"/>
      <c r="D1609" s="173"/>
      <c r="P1609" s="163"/>
      <c r="V1609" s="169"/>
    </row>
    <row r="1610" spans="1:22" ht="15.75" customHeight="1" x14ac:dyDescent="0.2">
      <c r="A1610" s="165"/>
      <c r="D1610" s="173"/>
      <c r="P1610" s="163"/>
      <c r="V1610" s="169"/>
    </row>
    <row r="1611" spans="1:22" ht="15.75" customHeight="1" x14ac:dyDescent="0.2">
      <c r="A1611" s="165"/>
      <c r="D1611" s="173"/>
      <c r="P1611" s="163"/>
      <c r="V1611" s="169"/>
    </row>
    <row r="1612" spans="1:22" ht="15.75" customHeight="1" x14ac:dyDescent="0.2">
      <c r="A1612" s="165"/>
      <c r="D1612" s="173"/>
      <c r="P1612" s="163"/>
      <c r="V1612" s="169"/>
    </row>
    <row r="1613" spans="1:22" ht="15.75" customHeight="1" x14ac:dyDescent="0.2">
      <c r="A1613" s="165"/>
      <c r="D1613" s="173"/>
      <c r="P1613" s="163"/>
      <c r="V1613" s="169"/>
    </row>
    <row r="1614" spans="1:22" ht="15.75" customHeight="1" x14ac:dyDescent="0.2">
      <c r="A1614" s="165"/>
      <c r="D1614" s="173"/>
      <c r="P1614" s="163"/>
      <c r="V1614" s="169"/>
    </row>
    <row r="1615" spans="1:22" ht="15.75" customHeight="1" x14ac:dyDescent="0.2">
      <c r="A1615" s="165"/>
      <c r="D1615" s="173"/>
      <c r="P1615" s="163"/>
      <c r="V1615" s="169"/>
    </row>
    <row r="1616" spans="1:22" ht="15.75" customHeight="1" x14ac:dyDescent="0.2">
      <c r="A1616" s="165"/>
      <c r="D1616" s="173"/>
      <c r="P1616" s="163"/>
      <c r="V1616" s="169"/>
    </row>
    <row r="1617" spans="1:22" ht="15.75" customHeight="1" x14ac:dyDescent="0.2">
      <c r="A1617" s="165"/>
      <c r="D1617" s="173"/>
      <c r="P1617" s="163"/>
      <c r="V1617" s="169"/>
    </row>
    <row r="1618" spans="1:22" ht="15.75" customHeight="1" x14ac:dyDescent="0.2">
      <c r="A1618" s="165"/>
      <c r="D1618" s="173"/>
      <c r="P1618" s="163"/>
      <c r="V1618" s="169"/>
    </row>
    <row r="1619" spans="1:22" ht="15.75" customHeight="1" x14ac:dyDescent="0.2">
      <c r="A1619" s="165"/>
      <c r="D1619" s="173"/>
      <c r="P1619" s="163"/>
      <c r="V1619" s="169"/>
    </row>
    <row r="1620" spans="1:22" ht="15.75" customHeight="1" x14ac:dyDescent="0.2">
      <c r="A1620" s="165"/>
      <c r="D1620" s="173"/>
      <c r="P1620" s="163"/>
      <c r="V1620" s="169"/>
    </row>
    <row r="1621" spans="1:22" ht="15.75" customHeight="1" x14ac:dyDescent="0.2">
      <c r="A1621" s="165"/>
      <c r="D1621" s="173"/>
      <c r="P1621" s="163"/>
      <c r="V1621" s="169"/>
    </row>
    <row r="1622" spans="1:22" ht="15.75" customHeight="1" x14ac:dyDescent="0.2">
      <c r="A1622" s="165"/>
      <c r="D1622" s="173"/>
      <c r="P1622" s="163"/>
      <c r="V1622" s="169"/>
    </row>
    <row r="1623" spans="1:22" ht="15.75" customHeight="1" x14ac:dyDescent="0.2">
      <c r="A1623" s="165"/>
      <c r="D1623" s="173"/>
      <c r="P1623" s="163"/>
      <c r="V1623" s="169"/>
    </row>
    <row r="1624" spans="1:22" ht="15.75" customHeight="1" x14ac:dyDescent="0.2">
      <c r="A1624" s="165"/>
      <c r="D1624" s="173"/>
      <c r="P1624" s="163"/>
      <c r="V1624" s="169"/>
    </row>
    <row r="1625" spans="1:22" ht="15.75" customHeight="1" x14ac:dyDescent="0.2">
      <c r="A1625" s="165"/>
      <c r="D1625" s="173"/>
      <c r="P1625" s="163"/>
      <c r="V1625" s="169"/>
    </row>
    <row r="1626" spans="1:22" ht="15.75" customHeight="1" x14ac:dyDescent="0.2">
      <c r="A1626" s="165"/>
      <c r="D1626" s="173"/>
      <c r="P1626" s="163"/>
      <c r="V1626" s="169"/>
    </row>
    <row r="1627" spans="1:22" ht="15.75" customHeight="1" x14ac:dyDescent="0.2">
      <c r="A1627" s="165"/>
      <c r="D1627" s="173"/>
      <c r="P1627" s="163"/>
      <c r="V1627" s="169"/>
    </row>
    <row r="1628" spans="1:22" ht="15.75" customHeight="1" x14ac:dyDescent="0.2">
      <c r="A1628" s="165"/>
      <c r="D1628" s="173"/>
      <c r="P1628" s="163"/>
      <c r="V1628" s="169"/>
    </row>
    <row r="1629" spans="1:22" ht="15.75" customHeight="1" x14ac:dyDescent="0.2">
      <c r="A1629" s="165"/>
      <c r="D1629" s="173"/>
      <c r="P1629" s="163"/>
      <c r="V1629" s="169"/>
    </row>
    <row r="1630" spans="1:22" ht="15.75" customHeight="1" x14ac:dyDescent="0.2">
      <c r="A1630" s="165"/>
      <c r="D1630" s="173"/>
      <c r="P1630" s="163"/>
      <c r="V1630" s="169"/>
    </row>
    <row r="1631" spans="1:22" ht="15.75" customHeight="1" x14ac:dyDescent="0.2">
      <c r="A1631" s="165"/>
      <c r="D1631" s="173"/>
      <c r="P1631" s="163"/>
      <c r="V1631" s="169"/>
    </row>
    <row r="1632" spans="1:22" ht="15.75" customHeight="1" x14ac:dyDescent="0.2">
      <c r="A1632" s="165"/>
      <c r="D1632" s="173"/>
      <c r="P1632" s="163"/>
      <c r="V1632" s="169"/>
    </row>
    <row r="1633" spans="1:22" ht="15.75" customHeight="1" x14ac:dyDescent="0.2">
      <c r="A1633" s="165"/>
      <c r="D1633" s="173"/>
      <c r="P1633" s="163"/>
      <c r="V1633" s="169"/>
    </row>
    <row r="1634" spans="1:22" ht="15.75" customHeight="1" x14ac:dyDescent="0.2">
      <c r="A1634" s="165"/>
      <c r="D1634" s="173"/>
      <c r="P1634" s="163"/>
      <c r="V1634" s="169"/>
    </row>
    <row r="1635" spans="1:22" ht="15.75" customHeight="1" x14ac:dyDescent="0.2">
      <c r="A1635" s="165"/>
      <c r="D1635" s="173"/>
      <c r="P1635" s="163"/>
      <c r="V1635" s="169"/>
    </row>
    <row r="1636" spans="1:22" ht="15.75" customHeight="1" x14ac:dyDescent="0.2">
      <c r="A1636" s="165"/>
      <c r="D1636" s="173"/>
      <c r="P1636" s="163"/>
      <c r="V1636" s="169"/>
    </row>
    <row r="1637" spans="1:22" ht="15.75" customHeight="1" x14ac:dyDescent="0.2">
      <c r="A1637" s="165"/>
      <c r="D1637" s="173"/>
      <c r="P1637" s="163"/>
      <c r="V1637" s="169"/>
    </row>
    <row r="1638" spans="1:22" ht="15.75" customHeight="1" x14ac:dyDescent="0.2">
      <c r="A1638" s="165"/>
      <c r="D1638" s="173"/>
      <c r="P1638" s="163"/>
      <c r="V1638" s="169"/>
    </row>
    <row r="1639" spans="1:22" ht="15.75" customHeight="1" x14ac:dyDescent="0.2">
      <c r="A1639" s="165"/>
      <c r="D1639" s="173"/>
      <c r="P1639" s="163"/>
      <c r="V1639" s="169"/>
    </row>
    <row r="1640" spans="1:22" ht="15.75" customHeight="1" x14ac:dyDescent="0.2">
      <c r="A1640" s="165"/>
      <c r="D1640" s="173"/>
      <c r="P1640" s="163"/>
      <c r="V1640" s="169"/>
    </row>
    <row r="1641" spans="1:22" ht="15.75" customHeight="1" x14ac:dyDescent="0.2">
      <c r="A1641" s="165"/>
      <c r="D1641" s="173"/>
      <c r="P1641" s="163"/>
      <c r="V1641" s="169"/>
    </row>
    <row r="1642" spans="1:22" ht="15.75" customHeight="1" x14ac:dyDescent="0.2">
      <c r="A1642" s="165"/>
      <c r="D1642" s="173"/>
      <c r="P1642" s="163"/>
      <c r="V1642" s="169"/>
    </row>
    <row r="1643" spans="1:22" ht="15.75" customHeight="1" x14ac:dyDescent="0.2">
      <c r="A1643" s="165"/>
      <c r="D1643" s="173"/>
      <c r="P1643" s="163"/>
      <c r="V1643" s="169"/>
    </row>
    <row r="1644" spans="1:22" ht="15.75" customHeight="1" x14ac:dyDescent="0.2">
      <c r="A1644" s="165"/>
      <c r="D1644" s="173"/>
      <c r="P1644" s="163"/>
      <c r="V1644" s="169"/>
    </row>
    <row r="1645" spans="1:22" ht="15.75" customHeight="1" x14ac:dyDescent="0.2">
      <c r="A1645" s="165"/>
      <c r="D1645" s="173"/>
      <c r="P1645" s="163"/>
      <c r="V1645" s="169"/>
    </row>
    <row r="1646" spans="1:22" ht="15.75" customHeight="1" x14ac:dyDescent="0.2">
      <c r="A1646" s="165"/>
      <c r="D1646" s="173"/>
      <c r="P1646" s="163"/>
      <c r="V1646" s="169"/>
    </row>
    <row r="1647" spans="1:22" ht="15.75" customHeight="1" x14ac:dyDescent="0.2">
      <c r="A1647" s="165"/>
      <c r="D1647" s="173"/>
      <c r="P1647" s="163"/>
      <c r="V1647" s="169"/>
    </row>
    <row r="1648" spans="1:22" ht="15.75" customHeight="1" x14ac:dyDescent="0.2">
      <c r="A1648" s="165"/>
      <c r="D1648" s="173"/>
      <c r="P1648" s="163"/>
      <c r="V1648" s="169"/>
    </row>
    <row r="1649" spans="1:22" ht="15.75" customHeight="1" x14ac:dyDescent="0.2">
      <c r="A1649" s="165"/>
      <c r="D1649" s="173"/>
      <c r="P1649" s="163"/>
      <c r="V1649" s="169"/>
    </row>
    <row r="1650" spans="1:22" ht="15.75" customHeight="1" x14ac:dyDescent="0.2">
      <c r="A1650" s="165"/>
      <c r="D1650" s="173"/>
      <c r="P1650" s="163"/>
      <c r="V1650" s="169"/>
    </row>
    <row r="1651" spans="1:22" ht="15.75" customHeight="1" x14ac:dyDescent="0.2">
      <c r="A1651" s="165"/>
      <c r="D1651" s="173"/>
      <c r="P1651" s="163"/>
      <c r="V1651" s="169"/>
    </row>
    <row r="1652" spans="1:22" ht="15.75" customHeight="1" x14ac:dyDescent="0.2">
      <c r="A1652" s="165"/>
      <c r="D1652" s="173"/>
      <c r="P1652" s="163"/>
      <c r="V1652" s="169"/>
    </row>
    <row r="1653" spans="1:22" ht="15.75" customHeight="1" x14ac:dyDescent="0.2">
      <c r="A1653" s="165"/>
      <c r="D1653" s="173"/>
      <c r="P1653" s="163"/>
      <c r="V1653" s="169"/>
    </row>
    <row r="1654" spans="1:22" ht="15.75" customHeight="1" x14ac:dyDescent="0.2">
      <c r="A1654" s="165"/>
      <c r="D1654" s="173"/>
      <c r="P1654" s="163"/>
      <c r="V1654" s="169"/>
    </row>
    <row r="1655" spans="1:22" ht="15.75" customHeight="1" x14ac:dyDescent="0.2">
      <c r="A1655" s="165"/>
      <c r="D1655" s="173"/>
      <c r="P1655" s="163"/>
      <c r="V1655" s="169"/>
    </row>
    <row r="1656" spans="1:22" ht="15.75" customHeight="1" x14ac:dyDescent="0.2">
      <c r="A1656" s="165"/>
      <c r="D1656" s="173"/>
      <c r="P1656" s="163"/>
      <c r="V1656" s="169"/>
    </row>
    <row r="1657" spans="1:22" ht="15.75" customHeight="1" x14ac:dyDescent="0.2">
      <c r="A1657" s="165"/>
      <c r="D1657" s="173"/>
      <c r="P1657" s="163"/>
      <c r="V1657" s="169"/>
    </row>
    <row r="1658" spans="1:22" ht="15.75" customHeight="1" x14ac:dyDescent="0.2">
      <c r="A1658" s="165"/>
      <c r="D1658" s="173"/>
      <c r="P1658" s="163"/>
      <c r="V1658" s="169"/>
    </row>
    <row r="1659" spans="1:22" ht="15.75" customHeight="1" x14ac:dyDescent="0.2">
      <c r="A1659" s="165"/>
      <c r="D1659" s="173"/>
      <c r="P1659" s="163"/>
      <c r="V1659" s="169"/>
    </row>
    <row r="1660" spans="1:22" ht="15.75" customHeight="1" x14ac:dyDescent="0.2">
      <c r="A1660" s="165"/>
      <c r="D1660" s="173"/>
      <c r="P1660" s="163"/>
      <c r="V1660" s="169"/>
    </row>
    <row r="1661" spans="1:22" ht="15.75" customHeight="1" x14ac:dyDescent="0.2">
      <c r="A1661" s="165"/>
      <c r="D1661" s="173"/>
      <c r="P1661" s="163"/>
      <c r="V1661" s="169"/>
    </row>
    <row r="1662" spans="1:22" ht="15.75" customHeight="1" x14ac:dyDescent="0.2">
      <c r="A1662" s="165"/>
      <c r="D1662" s="173"/>
      <c r="P1662" s="163"/>
      <c r="V1662" s="169"/>
    </row>
    <row r="1663" spans="1:22" ht="15.75" customHeight="1" x14ac:dyDescent="0.2">
      <c r="A1663" s="165"/>
      <c r="D1663" s="173"/>
      <c r="P1663" s="163"/>
      <c r="V1663" s="169"/>
    </row>
    <row r="1664" spans="1:22" ht="15.75" customHeight="1" x14ac:dyDescent="0.2">
      <c r="A1664" s="165"/>
      <c r="D1664" s="173"/>
      <c r="P1664" s="163"/>
      <c r="V1664" s="169"/>
    </row>
    <row r="1665" spans="1:22" ht="15.75" customHeight="1" x14ac:dyDescent="0.2">
      <c r="A1665" s="165"/>
      <c r="D1665" s="173"/>
      <c r="P1665" s="163"/>
      <c r="V1665" s="169"/>
    </row>
    <row r="1666" spans="1:22" ht="15.75" customHeight="1" x14ac:dyDescent="0.2">
      <c r="A1666" s="165"/>
      <c r="D1666" s="173"/>
      <c r="P1666" s="163"/>
      <c r="V1666" s="169"/>
    </row>
    <row r="1667" spans="1:22" ht="15.75" customHeight="1" x14ac:dyDescent="0.2">
      <c r="A1667" s="165"/>
      <c r="D1667" s="173"/>
      <c r="P1667" s="163"/>
      <c r="V1667" s="169"/>
    </row>
    <row r="1668" spans="1:22" ht="15.75" customHeight="1" x14ac:dyDescent="0.2">
      <c r="A1668" s="165"/>
      <c r="D1668" s="173"/>
      <c r="P1668" s="163"/>
      <c r="V1668" s="169"/>
    </row>
    <row r="1669" spans="1:22" ht="15.75" customHeight="1" x14ac:dyDescent="0.2">
      <c r="A1669" s="165"/>
      <c r="D1669" s="173"/>
      <c r="P1669" s="163"/>
      <c r="V1669" s="169"/>
    </row>
    <row r="1670" spans="1:22" ht="15.75" customHeight="1" x14ac:dyDescent="0.2">
      <c r="A1670" s="165"/>
      <c r="D1670" s="173"/>
      <c r="P1670" s="163"/>
      <c r="V1670" s="169"/>
    </row>
    <row r="1671" spans="1:22" ht="15.75" customHeight="1" x14ac:dyDescent="0.2">
      <c r="A1671" s="165"/>
      <c r="D1671" s="173"/>
      <c r="P1671" s="163"/>
      <c r="V1671" s="169"/>
    </row>
    <row r="1672" spans="1:22" ht="15.75" customHeight="1" x14ac:dyDescent="0.2">
      <c r="A1672" s="165"/>
      <c r="D1672" s="173"/>
      <c r="P1672" s="163"/>
      <c r="V1672" s="169"/>
    </row>
    <row r="1673" spans="1:22" ht="15.75" customHeight="1" x14ac:dyDescent="0.2">
      <c r="A1673" s="165"/>
      <c r="D1673" s="173"/>
      <c r="P1673" s="163"/>
      <c r="V1673" s="169"/>
    </row>
    <row r="1674" spans="1:22" ht="15.75" customHeight="1" x14ac:dyDescent="0.2">
      <c r="A1674" s="165"/>
      <c r="D1674" s="173"/>
      <c r="P1674" s="163"/>
      <c r="V1674" s="169"/>
    </row>
    <row r="1675" spans="1:22" ht="15.75" customHeight="1" x14ac:dyDescent="0.2">
      <c r="A1675" s="165"/>
      <c r="D1675" s="173"/>
      <c r="P1675" s="163"/>
      <c r="V1675" s="169"/>
    </row>
    <row r="1676" spans="1:22" ht="15.75" customHeight="1" x14ac:dyDescent="0.2">
      <c r="A1676" s="165"/>
      <c r="D1676" s="173"/>
      <c r="P1676" s="163"/>
      <c r="V1676" s="169"/>
    </row>
    <row r="1677" spans="1:22" ht="15.75" customHeight="1" x14ac:dyDescent="0.2">
      <c r="A1677" s="165"/>
      <c r="D1677" s="173"/>
      <c r="P1677" s="163"/>
      <c r="V1677" s="169"/>
    </row>
    <row r="1678" spans="1:22" ht="15.75" customHeight="1" x14ac:dyDescent="0.2">
      <c r="A1678" s="165"/>
      <c r="D1678" s="173"/>
      <c r="P1678" s="163"/>
      <c r="V1678" s="169"/>
    </row>
    <row r="1679" spans="1:22" ht="15.75" customHeight="1" x14ac:dyDescent="0.2">
      <c r="A1679" s="165"/>
      <c r="D1679" s="173"/>
      <c r="P1679" s="163"/>
      <c r="V1679" s="169"/>
    </row>
    <row r="1680" spans="1:22" ht="15.75" customHeight="1" x14ac:dyDescent="0.2">
      <c r="A1680" s="165"/>
      <c r="D1680" s="173"/>
      <c r="P1680" s="163"/>
      <c r="V1680" s="169"/>
    </row>
    <row r="1681" spans="1:22" ht="15.75" customHeight="1" x14ac:dyDescent="0.2">
      <c r="A1681" s="165"/>
      <c r="D1681" s="173"/>
      <c r="P1681" s="163"/>
      <c r="V1681" s="169"/>
    </row>
    <row r="1682" spans="1:22" ht="15.75" customHeight="1" x14ac:dyDescent="0.2">
      <c r="A1682" s="165"/>
      <c r="D1682" s="173"/>
      <c r="P1682" s="163"/>
      <c r="V1682" s="169"/>
    </row>
    <row r="1683" spans="1:22" ht="15.75" customHeight="1" x14ac:dyDescent="0.2">
      <c r="A1683" s="165"/>
      <c r="D1683" s="173"/>
      <c r="P1683" s="163"/>
      <c r="V1683" s="169"/>
    </row>
    <row r="1684" spans="1:22" ht="15.75" customHeight="1" x14ac:dyDescent="0.2">
      <c r="A1684" s="165"/>
      <c r="D1684" s="173"/>
      <c r="P1684" s="163"/>
      <c r="V1684" s="169"/>
    </row>
    <row r="1685" spans="1:22" ht="15.75" customHeight="1" x14ac:dyDescent="0.2">
      <c r="A1685" s="165"/>
      <c r="D1685" s="173"/>
      <c r="P1685" s="163"/>
      <c r="V1685" s="169"/>
    </row>
    <row r="1686" spans="1:22" ht="15.75" customHeight="1" x14ac:dyDescent="0.2">
      <c r="A1686" s="165"/>
      <c r="D1686" s="173"/>
      <c r="P1686" s="163"/>
      <c r="V1686" s="169"/>
    </row>
    <row r="1687" spans="1:22" ht="15.75" customHeight="1" x14ac:dyDescent="0.2">
      <c r="A1687" s="165"/>
      <c r="D1687" s="173"/>
      <c r="P1687" s="163"/>
      <c r="V1687" s="169"/>
    </row>
    <row r="1688" spans="1:22" ht="15.75" customHeight="1" x14ac:dyDescent="0.2">
      <c r="A1688" s="165"/>
      <c r="D1688" s="173"/>
      <c r="P1688" s="163"/>
      <c r="V1688" s="169"/>
    </row>
    <row r="1689" spans="1:22" ht="15.75" customHeight="1" x14ac:dyDescent="0.2">
      <c r="A1689" s="165"/>
      <c r="D1689" s="173"/>
      <c r="P1689" s="163"/>
      <c r="V1689" s="169"/>
    </row>
    <row r="1690" spans="1:22" ht="15.75" customHeight="1" x14ac:dyDescent="0.2">
      <c r="A1690" s="165"/>
      <c r="D1690" s="173"/>
      <c r="P1690" s="163"/>
      <c r="V1690" s="169"/>
    </row>
    <row r="1691" spans="1:22" ht="15.75" customHeight="1" x14ac:dyDescent="0.2">
      <c r="A1691" s="165"/>
      <c r="D1691" s="173"/>
      <c r="P1691" s="163"/>
      <c r="V1691" s="169"/>
    </row>
    <row r="1692" spans="1:22" ht="15.75" customHeight="1" x14ac:dyDescent="0.2">
      <c r="A1692" s="165"/>
      <c r="D1692" s="173"/>
      <c r="P1692" s="163"/>
      <c r="V1692" s="169"/>
    </row>
    <row r="1693" spans="1:22" ht="15.75" customHeight="1" x14ac:dyDescent="0.2">
      <c r="A1693" s="165"/>
      <c r="D1693" s="173"/>
      <c r="P1693" s="163"/>
      <c r="V1693" s="169"/>
    </row>
    <row r="1694" spans="1:22" ht="15.75" customHeight="1" x14ac:dyDescent="0.2">
      <c r="A1694" s="165"/>
      <c r="D1694" s="173"/>
      <c r="P1694" s="163"/>
      <c r="V1694" s="169"/>
    </row>
    <row r="1695" spans="1:22" ht="15.75" customHeight="1" x14ac:dyDescent="0.2">
      <c r="A1695" s="165"/>
      <c r="D1695" s="173"/>
      <c r="P1695" s="163"/>
      <c r="V1695" s="169"/>
    </row>
    <row r="1696" spans="1:22" ht="15.75" customHeight="1" x14ac:dyDescent="0.2">
      <c r="A1696" s="165"/>
      <c r="D1696" s="173"/>
      <c r="P1696" s="163"/>
      <c r="V1696" s="169"/>
    </row>
    <row r="1697" spans="1:22" ht="15.75" customHeight="1" x14ac:dyDescent="0.2">
      <c r="A1697" s="165"/>
      <c r="D1697" s="173"/>
      <c r="P1697" s="163"/>
      <c r="V1697" s="169"/>
    </row>
    <row r="1698" spans="1:22" ht="15.75" customHeight="1" x14ac:dyDescent="0.2">
      <c r="A1698" s="165"/>
      <c r="D1698" s="173"/>
      <c r="P1698" s="163"/>
      <c r="V1698" s="169"/>
    </row>
    <row r="1699" spans="1:22" ht="15.75" customHeight="1" x14ac:dyDescent="0.2">
      <c r="A1699" s="165"/>
      <c r="D1699" s="173"/>
      <c r="P1699" s="163"/>
      <c r="V1699" s="169"/>
    </row>
    <row r="1700" spans="1:22" ht="15.75" customHeight="1" x14ac:dyDescent="0.2">
      <c r="A1700" s="165"/>
      <c r="D1700" s="173"/>
      <c r="P1700" s="163"/>
      <c r="V1700" s="169"/>
    </row>
    <row r="1701" spans="1:22" ht="15.75" customHeight="1" x14ac:dyDescent="0.2">
      <c r="A1701" s="165"/>
      <c r="D1701" s="173"/>
      <c r="P1701" s="163"/>
      <c r="V1701" s="169"/>
    </row>
    <row r="1702" spans="1:22" ht="15.75" customHeight="1" x14ac:dyDescent="0.2">
      <c r="A1702" s="165"/>
      <c r="D1702" s="173"/>
      <c r="P1702" s="163"/>
      <c r="V1702" s="169"/>
    </row>
    <row r="1703" spans="1:22" ht="15.75" customHeight="1" x14ac:dyDescent="0.2">
      <c r="A1703" s="165"/>
      <c r="D1703" s="173"/>
      <c r="P1703" s="163"/>
      <c r="V1703" s="169"/>
    </row>
    <row r="1704" spans="1:22" ht="15.75" customHeight="1" x14ac:dyDescent="0.2">
      <c r="A1704" s="165"/>
      <c r="D1704" s="173"/>
      <c r="P1704" s="163"/>
      <c r="V1704" s="169"/>
    </row>
    <row r="1705" spans="1:22" ht="15.75" customHeight="1" x14ac:dyDescent="0.2">
      <c r="A1705" s="165"/>
      <c r="D1705" s="173"/>
      <c r="P1705" s="163"/>
      <c r="V1705" s="169"/>
    </row>
    <row r="1706" spans="1:22" ht="15.75" customHeight="1" x14ac:dyDescent="0.2">
      <c r="A1706" s="165"/>
      <c r="D1706" s="173"/>
      <c r="P1706" s="163"/>
      <c r="V1706" s="169"/>
    </row>
    <row r="1707" spans="1:22" ht="15.75" customHeight="1" x14ac:dyDescent="0.2">
      <c r="A1707" s="165"/>
      <c r="D1707" s="173"/>
      <c r="P1707" s="163"/>
      <c r="V1707" s="169"/>
    </row>
    <row r="1708" spans="1:22" ht="15.75" customHeight="1" x14ac:dyDescent="0.2">
      <c r="A1708" s="165"/>
      <c r="D1708" s="173"/>
      <c r="P1708" s="163"/>
      <c r="V1708" s="169"/>
    </row>
    <row r="1709" spans="1:22" ht="15.75" customHeight="1" x14ac:dyDescent="0.2">
      <c r="A1709" s="165"/>
      <c r="D1709" s="173"/>
      <c r="P1709" s="163"/>
      <c r="V1709" s="169"/>
    </row>
    <row r="1710" spans="1:22" ht="15.75" customHeight="1" x14ac:dyDescent="0.2">
      <c r="A1710" s="165"/>
      <c r="D1710" s="173"/>
      <c r="P1710" s="163"/>
      <c r="V1710" s="169"/>
    </row>
    <row r="1711" spans="1:22" ht="15.75" customHeight="1" x14ac:dyDescent="0.2">
      <c r="A1711" s="165"/>
      <c r="D1711" s="173"/>
      <c r="P1711" s="163"/>
      <c r="V1711" s="169"/>
    </row>
    <row r="1712" spans="1:22" ht="15.75" customHeight="1" x14ac:dyDescent="0.2">
      <c r="A1712" s="165"/>
      <c r="D1712" s="173"/>
      <c r="P1712" s="163"/>
      <c r="V1712" s="169"/>
    </row>
    <row r="1713" spans="1:22" ht="15.75" customHeight="1" x14ac:dyDescent="0.2">
      <c r="A1713" s="165"/>
      <c r="D1713" s="173"/>
      <c r="P1713" s="163"/>
      <c r="V1713" s="169"/>
    </row>
    <row r="1714" spans="1:22" ht="15.75" customHeight="1" x14ac:dyDescent="0.2">
      <c r="A1714" s="165"/>
      <c r="D1714" s="173"/>
      <c r="P1714" s="163"/>
      <c r="V1714" s="169"/>
    </row>
    <row r="1715" spans="1:22" ht="15.75" customHeight="1" x14ac:dyDescent="0.2">
      <c r="A1715" s="165"/>
      <c r="D1715" s="173"/>
      <c r="P1715" s="163"/>
      <c r="V1715" s="169"/>
    </row>
    <row r="1716" spans="1:22" ht="15.75" customHeight="1" x14ac:dyDescent="0.2">
      <c r="A1716" s="165"/>
      <c r="D1716" s="173"/>
      <c r="P1716" s="163"/>
      <c r="V1716" s="169"/>
    </row>
    <row r="1717" spans="1:22" ht="15.75" customHeight="1" x14ac:dyDescent="0.2">
      <c r="A1717" s="165"/>
      <c r="D1717" s="173"/>
      <c r="P1717" s="163"/>
      <c r="V1717" s="169"/>
    </row>
    <row r="1718" spans="1:22" ht="15.75" customHeight="1" x14ac:dyDescent="0.2">
      <c r="A1718" s="165"/>
      <c r="D1718" s="173"/>
      <c r="P1718" s="163"/>
      <c r="V1718" s="169"/>
    </row>
    <row r="1719" spans="1:22" ht="15.75" customHeight="1" x14ac:dyDescent="0.2">
      <c r="A1719" s="165"/>
      <c r="D1719" s="173"/>
      <c r="P1719" s="163"/>
      <c r="V1719" s="169"/>
    </row>
    <row r="1720" spans="1:22" ht="15.75" customHeight="1" x14ac:dyDescent="0.2">
      <c r="A1720" s="165"/>
      <c r="D1720" s="173"/>
      <c r="P1720" s="163"/>
      <c r="V1720" s="169"/>
    </row>
    <row r="1721" spans="1:22" ht="15.75" customHeight="1" x14ac:dyDescent="0.2">
      <c r="A1721" s="165"/>
      <c r="D1721" s="173"/>
      <c r="P1721" s="163"/>
      <c r="V1721" s="169"/>
    </row>
    <row r="1722" spans="1:22" ht="15.75" customHeight="1" x14ac:dyDescent="0.2">
      <c r="A1722" s="165"/>
      <c r="D1722" s="173"/>
      <c r="P1722" s="163"/>
      <c r="V1722" s="169"/>
    </row>
    <row r="1723" spans="1:22" ht="15.75" customHeight="1" x14ac:dyDescent="0.2">
      <c r="A1723" s="165"/>
      <c r="D1723" s="173"/>
      <c r="P1723" s="163"/>
      <c r="V1723" s="169"/>
    </row>
    <row r="1724" spans="1:22" ht="15.75" customHeight="1" x14ac:dyDescent="0.2">
      <c r="A1724" s="165"/>
      <c r="D1724" s="173"/>
      <c r="P1724" s="163"/>
      <c r="V1724" s="169"/>
    </row>
    <row r="1725" spans="1:22" ht="15.75" customHeight="1" x14ac:dyDescent="0.2">
      <c r="A1725" s="165"/>
      <c r="D1725" s="173"/>
      <c r="P1725" s="163"/>
      <c r="V1725" s="169"/>
    </row>
    <row r="1726" spans="1:22" ht="15.75" customHeight="1" x14ac:dyDescent="0.2">
      <c r="A1726" s="165"/>
      <c r="D1726" s="173"/>
      <c r="P1726" s="163"/>
      <c r="V1726" s="169"/>
    </row>
    <row r="1727" spans="1:22" ht="15.75" customHeight="1" x14ac:dyDescent="0.2">
      <c r="A1727" s="165"/>
      <c r="D1727" s="173"/>
      <c r="P1727" s="163"/>
      <c r="V1727" s="169"/>
    </row>
    <row r="1728" spans="1:22" ht="15.75" customHeight="1" x14ac:dyDescent="0.2">
      <c r="A1728" s="165"/>
      <c r="D1728" s="173"/>
      <c r="P1728" s="163"/>
      <c r="V1728" s="169"/>
    </row>
    <row r="1729" spans="1:22" ht="15.75" customHeight="1" x14ac:dyDescent="0.2">
      <c r="A1729" s="165"/>
      <c r="D1729" s="173"/>
      <c r="P1729" s="163"/>
      <c r="V1729" s="169"/>
    </row>
    <row r="1730" spans="1:22" ht="15.75" customHeight="1" x14ac:dyDescent="0.2">
      <c r="A1730" s="165"/>
      <c r="D1730" s="173"/>
      <c r="P1730" s="163"/>
      <c r="V1730" s="169"/>
    </row>
    <row r="1731" spans="1:22" ht="15.75" customHeight="1" x14ac:dyDescent="0.2">
      <c r="A1731" s="165"/>
      <c r="D1731" s="173"/>
      <c r="P1731" s="163"/>
      <c r="V1731" s="169"/>
    </row>
    <row r="1732" spans="1:22" ht="15.75" customHeight="1" x14ac:dyDescent="0.2">
      <c r="A1732" s="165"/>
      <c r="D1732" s="173"/>
      <c r="P1732" s="163"/>
      <c r="V1732" s="169"/>
    </row>
    <row r="1733" spans="1:22" ht="15.75" customHeight="1" x14ac:dyDescent="0.2">
      <c r="A1733" s="165"/>
      <c r="D1733" s="173"/>
      <c r="P1733" s="163"/>
      <c r="V1733" s="169"/>
    </row>
    <row r="1734" spans="1:22" ht="15.75" customHeight="1" x14ac:dyDescent="0.2">
      <c r="A1734" s="165"/>
      <c r="D1734" s="173"/>
      <c r="P1734" s="163"/>
      <c r="V1734" s="169"/>
    </row>
    <row r="1735" spans="1:22" ht="15.75" customHeight="1" x14ac:dyDescent="0.2">
      <c r="A1735" s="165"/>
      <c r="D1735" s="173"/>
      <c r="P1735" s="163"/>
      <c r="V1735" s="169"/>
    </row>
    <row r="1736" spans="1:22" ht="15.75" customHeight="1" x14ac:dyDescent="0.2">
      <c r="A1736" s="165"/>
      <c r="D1736" s="173"/>
      <c r="P1736" s="163"/>
      <c r="V1736" s="169"/>
    </row>
    <row r="1737" spans="1:22" ht="15.75" customHeight="1" x14ac:dyDescent="0.2">
      <c r="A1737" s="165"/>
      <c r="D1737" s="173"/>
      <c r="P1737" s="163"/>
      <c r="V1737" s="169"/>
    </row>
    <row r="1738" spans="1:22" ht="15.75" customHeight="1" x14ac:dyDescent="0.2">
      <c r="A1738" s="165"/>
      <c r="D1738" s="173"/>
      <c r="P1738" s="163"/>
      <c r="V1738" s="169"/>
    </row>
    <row r="1739" spans="1:22" ht="15.75" customHeight="1" x14ac:dyDescent="0.2">
      <c r="A1739" s="165"/>
      <c r="D1739" s="173"/>
      <c r="P1739" s="163"/>
      <c r="V1739" s="169"/>
    </row>
    <row r="1740" spans="1:22" ht="15.75" customHeight="1" x14ac:dyDescent="0.2">
      <c r="A1740" s="165"/>
      <c r="D1740" s="173"/>
      <c r="P1740" s="163"/>
      <c r="V1740" s="169"/>
    </row>
    <row r="1741" spans="1:22" ht="15.75" customHeight="1" x14ac:dyDescent="0.2">
      <c r="A1741" s="165"/>
      <c r="D1741" s="173"/>
      <c r="P1741" s="163"/>
      <c r="V1741" s="169"/>
    </row>
    <row r="1742" spans="1:22" ht="15.75" customHeight="1" x14ac:dyDescent="0.2">
      <c r="A1742" s="165"/>
      <c r="D1742" s="173"/>
      <c r="P1742" s="163"/>
      <c r="V1742" s="169"/>
    </row>
    <row r="1743" spans="1:22" ht="15.75" customHeight="1" x14ac:dyDescent="0.2">
      <c r="A1743" s="165"/>
      <c r="D1743" s="173"/>
      <c r="P1743" s="163"/>
      <c r="V1743" s="169"/>
    </row>
    <row r="1744" spans="1:22" ht="15.75" customHeight="1" x14ac:dyDescent="0.2">
      <c r="A1744" s="165"/>
      <c r="D1744" s="173"/>
      <c r="P1744" s="163"/>
      <c r="V1744" s="169"/>
    </row>
    <row r="1745" spans="1:22" ht="15.75" customHeight="1" x14ac:dyDescent="0.2">
      <c r="A1745" s="165"/>
      <c r="D1745" s="173"/>
      <c r="P1745" s="163"/>
      <c r="V1745" s="169"/>
    </row>
    <row r="1746" spans="1:22" ht="15.75" customHeight="1" x14ac:dyDescent="0.2">
      <c r="A1746" s="165"/>
      <c r="D1746" s="173"/>
      <c r="P1746" s="163"/>
      <c r="V1746" s="169"/>
    </row>
    <row r="1747" spans="1:22" ht="15.75" customHeight="1" x14ac:dyDescent="0.2">
      <c r="A1747" s="165"/>
      <c r="D1747" s="173"/>
      <c r="P1747" s="163"/>
      <c r="V1747" s="169"/>
    </row>
    <row r="1748" spans="1:22" ht="15.75" customHeight="1" x14ac:dyDescent="0.2">
      <c r="A1748" s="165"/>
      <c r="D1748" s="173"/>
      <c r="P1748" s="163"/>
      <c r="V1748" s="169"/>
    </row>
    <row r="1749" spans="1:22" ht="15.75" customHeight="1" x14ac:dyDescent="0.2">
      <c r="A1749" s="165"/>
      <c r="D1749" s="173"/>
      <c r="P1749" s="163"/>
      <c r="V1749" s="169"/>
    </row>
    <row r="1750" spans="1:22" ht="15.75" customHeight="1" x14ac:dyDescent="0.2">
      <c r="A1750" s="165"/>
      <c r="D1750" s="173"/>
      <c r="P1750" s="163"/>
      <c r="V1750" s="169"/>
    </row>
    <row r="1751" spans="1:22" ht="15.75" customHeight="1" x14ac:dyDescent="0.2">
      <c r="A1751" s="165"/>
      <c r="D1751" s="173"/>
      <c r="P1751" s="163"/>
      <c r="V1751" s="169"/>
    </row>
    <row r="1752" spans="1:22" ht="15.75" customHeight="1" x14ac:dyDescent="0.2">
      <c r="A1752" s="165"/>
      <c r="D1752" s="173"/>
      <c r="P1752" s="163"/>
      <c r="V1752" s="169"/>
    </row>
    <row r="1753" spans="1:22" ht="15.75" customHeight="1" x14ac:dyDescent="0.2">
      <c r="A1753" s="165"/>
      <c r="D1753" s="173"/>
      <c r="P1753" s="163"/>
      <c r="V1753" s="169"/>
    </row>
    <row r="1754" spans="1:22" ht="15.75" customHeight="1" x14ac:dyDescent="0.2">
      <c r="A1754" s="165"/>
      <c r="D1754" s="173"/>
      <c r="P1754" s="163"/>
      <c r="V1754" s="169"/>
    </row>
    <row r="1755" spans="1:22" ht="15.75" customHeight="1" x14ac:dyDescent="0.2">
      <c r="A1755" s="165"/>
      <c r="D1755" s="173"/>
      <c r="P1755" s="163"/>
      <c r="V1755" s="169"/>
    </row>
    <row r="1756" spans="1:22" ht="15.75" customHeight="1" x14ac:dyDescent="0.2">
      <c r="A1756" s="165"/>
      <c r="D1756" s="173"/>
      <c r="P1756" s="163"/>
      <c r="V1756" s="169"/>
    </row>
    <row r="1757" spans="1:22" ht="15.75" customHeight="1" x14ac:dyDescent="0.2">
      <c r="A1757" s="165"/>
      <c r="D1757" s="173"/>
      <c r="P1757" s="163"/>
      <c r="V1757" s="169"/>
    </row>
    <row r="1758" spans="1:22" ht="15.75" customHeight="1" x14ac:dyDescent="0.2">
      <c r="A1758" s="165"/>
      <c r="D1758" s="173"/>
      <c r="P1758" s="163"/>
      <c r="V1758" s="169"/>
    </row>
    <row r="1759" spans="1:22" ht="15.75" customHeight="1" x14ac:dyDescent="0.2">
      <c r="A1759" s="165"/>
      <c r="D1759" s="173"/>
      <c r="P1759" s="163"/>
      <c r="V1759" s="169"/>
    </row>
    <row r="1760" spans="1:22" ht="15.75" customHeight="1" x14ac:dyDescent="0.2">
      <c r="A1760" s="165"/>
      <c r="D1760" s="173"/>
      <c r="P1760" s="163"/>
      <c r="V1760" s="169"/>
    </row>
    <row r="1761" spans="1:22" ht="15.75" customHeight="1" x14ac:dyDescent="0.2">
      <c r="A1761" s="165"/>
      <c r="D1761" s="173"/>
      <c r="P1761" s="163"/>
      <c r="V1761" s="169"/>
    </row>
    <row r="1762" spans="1:22" ht="15.75" customHeight="1" x14ac:dyDescent="0.2">
      <c r="A1762" s="165"/>
      <c r="D1762" s="173"/>
      <c r="P1762" s="163"/>
      <c r="V1762" s="169"/>
    </row>
    <row r="1763" spans="1:22" ht="15.75" customHeight="1" x14ac:dyDescent="0.2">
      <c r="A1763" s="165"/>
      <c r="D1763" s="173"/>
      <c r="P1763" s="163"/>
      <c r="V1763" s="169"/>
    </row>
    <row r="1764" spans="1:22" ht="15.75" customHeight="1" x14ac:dyDescent="0.2">
      <c r="A1764" s="165"/>
      <c r="D1764" s="173"/>
      <c r="P1764" s="163"/>
      <c r="V1764" s="169"/>
    </row>
    <row r="1765" spans="1:22" ht="15.75" customHeight="1" x14ac:dyDescent="0.2">
      <c r="A1765" s="165"/>
      <c r="D1765" s="173"/>
      <c r="P1765" s="163"/>
      <c r="V1765" s="169"/>
    </row>
    <row r="1766" spans="1:22" ht="15.75" customHeight="1" x14ac:dyDescent="0.2">
      <c r="A1766" s="165"/>
      <c r="D1766" s="173"/>
      <c r="P1766" s="163"/>
      <c r="V1766" s="169"/>
    </row>
    <row r="1767" spans="1:22" ht="15.75" customHeight="1" x14ac:dyDescent="0.2">
      <c r="A1767" s="165"/>
      <c r="D1767" s="173"/>
      <c r="P1767" s="163"/>
      <c r="V1767" s="169"/>
    </row>
    <row r="1768" spans="1:22" ht="15.75" customHeight="1" x14ac:dyDescent="0.2">
      <c r="A1768" s="165"/>
      <c r="D1768" s="173"/>
      <c r="P1768" s="163"/>
      <c r="V1768" s="169"/>
    </row>
    <row r="1769" spans="1:22" ht="15.75" customHeight="1" x14ac:dyDescent="0.2">
      <c r="A1769" s="165"/>
      <c r="D1769" s="173"/>
      <c r="P1769" s="163"/>
      <c r="V1769" s="169"/>
    </row>
    <row r="1770" spans="1:22" ht="15.75" customHeight="1" x14ac:dyDescent="0.2">
      <c r="A1770" s="165"/>
      <c r="D1770" s="173"/>
      <c r="P1770" s="163"/>
      <c r="V1770" s="169"/>
    </row>
    <row r="1771" spans="1:22" ht="15.75" customHeight="1" x14ac:dyDescent="0.2">
      <c r="A1771" s="165"/>
      <c r="D1771" s="173"/>
      <c r="P1771" s="163"/>
      <c r="V1771" s="169"/>
    </row>
    <row r="1772" spans="1:22" ht="15.75" customHeight="1" x14ac:dyDescent="0.2">
      <c r="A1772" s="165"/>
      <c r="D1772" s="173"/>
      <c r="P1772" s="163"/>
      <c r="V1772" s="169"/>
    </row>
    <row r="1773" spans="1:22" ht="15.75" customHeight="1" x14ac:dyDescent="0.2">
      <c r="A1773" s="165"/>
      <c r="D1773" s="173"/>
      <c r="P1773" s="163"/>
      <c r="V1773" s="169"/>
    </row>
    <row r="1774" spans="1:22" ht="15.75" customHeight="1" x14ac:dyDescent="0.2">
      <c r="A1774" s="165"/>
      <c r="D1774" s="173"/>
      <c r="P1774" s="163"/>
      <c r="V1774" s="169"/>
    </row>
    <row r="1775" spans="1:22" ht="15.75" customHeight="1" x14ac:dyDescent="0.2">
      <c r="A1775" s="165"/>
      <c r="D1775" s="173"/>
      <c r="P1775" s="163"/>
      <c r="V1775" s="169"/>
    </row>
    <row r="1776" spans="1:22" ht="15.75" customHeight="1" x14ac:dyDescent="0.2">
      <c r="A1776" s="165"/>
      <c r="D1776" s="173"/>
      <c r="P1776" s="163"/>
      <c r="V1776" s="169"/>
    </row>
    <row r="1777" spans="1:22" ht="15.75" customHeight="1" x14ac:dyDescent="0.2">
      <c r="A1777" s="165"/>
      <c r="D1777" s="173"/>
      <c r="P1777" s="163"/>
      <c r="V1777" s="169"/>
    </row>
    <row r="1778" spans="1:22" ht="15.75" customHeight="1" x14ac:dyDescent="0.2">
      <c r="A1778" s="165"/>
      <c r="D1778" s="173"/>
      <c r="P1778" s="163"/>
      <c r="V1778" s="169"/>
    </row>
    <row r="1779" spans="1:22" ht="15.75" customHeight="1" x14ac:dyDescent="0.2">
      <c r="A1779" s="165"/>
      <c r="D1779" s="173"/>
      <c r="P1779" s="163"/>
      <c r="V1779" s="169"/>
    </row>
    <row r="1780" spans="1:22" ht="15.75" customHeight="1" x14ac:dyDescent="0.2">
      <c r="A1780" s="165"/>
      <c r="D1780" s="173"/>
      <c r="P1780" s="163"/>
      <c r="V1780" s="169"/>
    </row>
    <row r="1781" spans="1:22" ht="15.75" customHeight="1" x14ac:dyDescent="0.2">
      <c r="A1781" s="165"/>
      <c r="D1781" s="173"/>
      <c r="P1781" s="163"/>
      <c r="V1781" s="169"/>
    </row>
    <row r="1782" spans="1:22" ht="15.75" customHeight="1" x14ac:dyDescent="0.2">
      <c r="A1782" s="165"/>
      <c r="D1782" s="173"/>
      <c r="P1782" s="163"/>
      <c r="V1782" s="169"/>
    </row>
    <row r="1783" spans="1:22" ht="15.75" customHeight="1" x14ac:dyDescent="0.2">
      <c r="A1783" s="165"/>
      <c r="D1783" s="173"/>
      <c r="P1783" s="163"/>
      <c r="V1783" s="169"/>
    </row>
    <row r="1784" spans="1:22" ht="15.75" customHeight="1" x14ac:dyDescent="0.2">
      <c r="A1784" s="165"/>
      <c r="D1784" s="173"/>
      <c r="P1784" s="163"/>
      <c r="V1784" s="169"/>
    </row>
    <row r="1785" spans="1:22" ht="15.75" customHeight="1" x14ac:dyDescent="0.2">
      <c r="A1785" s="165"/>
      <c r="D1785" s="173"/>
      <c r="P1785" s="163"/>
      <c r="V1785" s="169"/>
    </row>
    <row r="1786" spans="1:22" ht="15.75" customHeight="1" x14ac:dyDescent="0.2">
      <c r="A1786" s="165"/>
      <c r="D1786" s="173"/>
      <c r="P1786" s="163"/>
      <c r="V1786" s="169"/>
    </row>
    <row r="1787" spans="1:22" ht="15.75" customHeight="1" x14ac:dyDescent="0.2">
      <c r="A1787" s="165"/>
      <c r="D1787" s="173"/>
      <c r="P1787" s="163"/>
      <c r="V1787" s="169"/>
    </row>
    <row r="1788" spans="1:22" ht="15.75" customHeight="1" x14ac:dyDescent="0.2">
      <c r="A1788" s="165"/>
      <c r="D1788" s="173"/>
      <c r="P1788" s="163"/>
      <c r="V1788" s="169"/>
    </row>
    <row r="1789" spans="1:22" ht="15.75" customHeight="1" x14ac:dyDescent="0.2">
      <c r="A1789" s="165"/>
      <c r="D1789" s="173"/>
      <c r="P1789" s="163"/>
      <c r="V1789" s="169"/>
    </row>
    <row r="1790" spans="1:22" ht="15.75" customHeight="1" x14ac:dyDescent="0.2">
      <c r="A1790" s="165"/>
      <c r="D1790" s="173"/>
      <c r="P1790" s="163"/>
      <c r="V1790" s="169"/>
    </row>
    <row r="1791" spans="1:22" ht="15.75" customHeight="1" x14ac:dyDescent="0.2">
      <c r="A1791" s="165"/>
      <c r="D1791" s="173"/>
      <c r="P1791" s="163"/>
      <c r="V1791" s="169"/>
    </row>
    <row r="1792" spans="1:22" ht="15.75" customHeight="1" x14ac:dyDescent="0.2">
      <c r="A1792" s="165"/>
      <c r="D1792" s="173"/>
      <c r="P1792" s="163"/>
      <c r="V1792" s="169"/>
    </row>
    <row r="1793" spans="1:22" ht="15.75" customHeight="1" x14ac:dyDescent="0.2">
      <c r="A1793" s="165"/>
      <c r="D1793" s="173"/>
      <c r="P1793" s="163"/>
      <c r="V1793" s="169"/>
    </row>
    <row r="1794" spans="1:22" ht="15.75" customHeight="1" x14ac:dyDescent="0.2">
      <c r="A1794" s="165"/>
      <c r="D1794" s="173"/>
      <c r="P1794" s="163"/>
      <c r="V1794" s="169"/>
    </row>
    <row r="1795" spans="1:22" ht="15.75" customHeight="1" x14ac:dyDescent="0.2">
      <c r="A1795" s="165"/>
      <c r="D1795" s="173"/>
      <c r="P1795" s="163"/>
      <c r="V1795" s="169"/>
    </row>
    <row r="1796" spans="1:22" ht="15.75" customHeight="1" x14ac:dyDescent="0.2">
      <c r="A1796" s="165"/>
      <c r="D1796" s="173"/>
      <c r="P1796" s="163"/>
      <c r="V1796" s="169"/>
    </row>
    <row r="1797" spans="1:22" ht="15.75" customHeight="1" x14ac:dyDescent="0.2">
      <c r="A1797" s="165"/>
      <c r="D1797" s="173"/>
      <c r="P1797" s="163"/>
      <c r="V1797" s="169"/>
    </row>
    <row r="1798" spans="1:22" ht="15.75" customHeight="1" x14ac:dyDescent="0.2">
      <c r="A1798" s="165"/>
      <c r="D1798" s="173"/>
      <c r="P1798" s="163"/>
      <c r="V1798" s="169"/>
    </row>
    <row r="1799" spans="1:22" ht="15.75" customHeight="1" x14ac:dyDescent="0.2">
      <c r="A1799" s="165"/>
      <c r="D1799" s="173"/>
      <c r="P1799" s="163"/>
      <c r="V1799" s="169"/>
    </row>
    <row r="1800" spans="1:22" ht="15.75" customHeight="1" x14ac:dyDescent="0.2">
      <c r="A1800" s="165"/>
      <c r="D1800" s="173"/>
      <c r="P1800" s="163"/>
      <c r="V1800" s="169"/>
    </row>
    <row r="1801" spans="1:22" ht="15.75" customHeight="1" x14ac:dyDescent="0.2">
      <c r="A1801" s="165"/>
      <c r="D1801" s="173"/>
      <c r="P1801" s="163"/>
      <c r="V1801" s="169"/>
    </row>
    <row r="1802" spans="1:22" ht="15.75" customHeight="1" x14ac:dyDescent="0.2">
      <c r="A1802" s="165"/>
      <c r="D1802" s="173"/>
      <c r="P1802" s="163"/>
      <c r="V1802" s="169"/>
    </row>
    <row r="1803" spans="1:22" ht="15.75" customHeight="1" x14ac:dyDescent="0.2">
      <c r="A1803" s="165"/>
      <c r="D1803" s="173"/>
      <c r="P1803" s="163"/>
      <c r="V1803" s="169"/>
    </row>
    <row r="1804" spans="1:22" ht="15.75" customHeight="1" x14ac:dyDescent="0.2">
      <c r="A1804" s="165"/>
      <c r="D1804" s="173"/>
      <c r="P1804" s="163"/>
      <c r="V1804" s="169"/>
    </row>
    <row r="1805" spans="1:22" ht="15.75" customHeight="1" x14ac:dyDescent="0.2">
      <c r="A1805" s="165"/>
      <c r="D1805" s="173"/>
      <c r="P1805" s="163"/>
      <c r="V1805" s="169"/>
    </row>
    <row r="1806" spans="1:22" ht="15.75" customHeight="1" x14ac:dyDescent="0.2">
      <c r="A1806" s="165"/>
      <c r="D1806" s="173"/>
      <c r="P1806" s="163"/>
      <c r="V1806" s="169"/>
    </row>
    <row r="1807" spans="1:22" ht="15.75" customHeight="1" x14ac:dyDescent="0.2">
      <c r="A1807" s="165"/>
      <c r="D1807" s="173"/>
      <c r="P1807" s="163"/>
      <c r="V1807" s="169"/>
    </row>
    <row r="1808" spans="1:22" ht="15.75" customHeight="1" x14ac:dyDescent="0.2">
      <c r="A1808" s="165"/>
      <c r="D1808" s="173"/>
      <c r="P1808" s="163"/>
      <c r="V1808" s="169"/>
    </row>
    <row r="1809" spans="1:22" ht="15.75" customHeight="1" x14ac:dyDescent="0.2">
      <c r="A1809" s="165"/>
      <c r="D1809" s="173"/>
      <c r="P1809" s="163"/>
      <c r="V1809" s="169"/>
    </row>
    <row r="1810" spans="1:22" ht="15.75" customHeight="1" x14ac:dyDescent="0.2">
      <c r="A1810" s="165"/>
      <c r="D1810" s="173"/>
      <c r="P1810" s="163"/>
      <c r="V1810" s="169"/>
    </row>
    <row r="1811" spans="1:22" ht="15.75" customHeight="1" x14ac:dyDescent="0.2">
      <c r="A1811" s="165"/>
      <c r="D1811" s="173"/>
      <c r="P1811" s="163"/>
      <c r="V1811" s="169"/>
    </row>
    <row r="1812" spans="1:22" ht="15.75" customHeight="1" x14ac:dyDescent="0.2">
      <c r="A1812" s="165"/>
      <c r="D1812" s="173"/>
      <c r="P1812" s="163"/>
      <c r="V1812" s="169"/>
    </row>
    <row r="1813" spans="1:22" ht="15.75" customHeight="1" x14ac:dyDescent="0.2">
      <c r="A1813" s="165"/>
      <c r="D1813" s="173"/>
      <c r="P1813" s="163"/>
      <c r="V1813" s="169"/>
    </row>
    <row r="1814" spans="1:22" ht="15.75" customHeight="1" x14ac:dyDescent="0.2">
      <c r="A1814" s="165"/>
      <c r="D1814" s="173"/>
      <c r="P1814" s="163"/>
      <c r="V1814" s="169"/>
    </row>
    <row r="1815" spans="1:22" ht="15.75" customHeight="1" x14ac:dyDescent="0.2">
      <c r="A1815" s="165"/>
      <c r="D1815" s="173"/>
      <c r="P1815" s="163"/>
      <c r="V1815" s="169"/>
    </row>
    <row r="1816" spans="1:22" ht="15.75" customHeight="1" x14ac:dyDescent="0.2">
      <c r="A1816" s="165"/>
      <c r="D1816" s="173"/>
      <c r="P1816" s="163"/>
      <c r="V1816" s="169"/>
    </row>
    <row r="1817" spans="1:22" ht="15.75" customHeight="1" x14ac:dyDescent="0.2">
      <c r="A1817" s="165"/>
      <c r="D1817" s="173"/>
      <c r="P1817" s="163"/>
      <c r="V1817" s="169"/>
    </row>
    <row r="1818" spans="1:22" ht="15.75" customHeight="1" x14ac:dyDescent="0.2">
      <c r="A1818" s="165"/>
      <c r="D1818" s="173"/>
      <c r="P1818" s="163"/>
      <c r="V1818" s="169"/>
    </row>
    <row r="1819" spans="1:22" ht="15.75" customHeight="1" x14ac:dyDescent="0.2">
      <c r="A1819" s="165"/>
      <c r="D1819" s="173"/>
      <c r="P1819" s="163"/>
      <c r="V1819" s="169"/>
    </row>
    <row r="1820" spans="1:22" ht="15.75" customHeight="1" x14ac:dyDescent="0.2">
      <c r="A1820" s="165"/>
      <c r="D1820" s="173"/>
      <c r="P1820" s="163"/>
      <c r="V1820" s="169"/>
    </row>
    <row r="1821" spans="1:22" ht="15.75" customHeight="1" x14ac:dyDescent="0.2">
      <c r="A1821" s="165"/>
      <c r="D1821" s="173"/>
      <c r="P1821" s="163"/>
      <c r="V1821" s="169"/>
    </row>
    <row r="1822" spans="1:22" ht="15.75" customHeight="1" x14ac:dyDescent="0.2">
      <c r="A1822" s="165"/>
      <c r="D1822" s="173"/>
      <c r="P1822" s="163"/>
      <c r="V1822" s="169"/>
    </row>
    <row r="1823" spans="1:22" ht="15.75" customHeight="1" x14ac:dyDescent="0.2">
      <c r="A1823" s="165"/>
      <c r="D1823" s="173"/>
      <c r="P1823" s="163"/>
      <c r="V1823" s="169"/>
    </row>
    <row r="1824" spans="1:22" ht="15.75" customHeight="1" x14ac:dyDescent="0.2">
      <c r="A1824" s="165"/>
      <c r="D1824" s="173"/>
      <c r="P1824" s="163"/>
      <c r="V1824" s="169"/>
    </row>
    <row r="1825" spans="1:22" ht="15.75" customHeight="1" x14ac:dyDescent="0.2">
      <c r="A1825" s="165"/>
      <c r="D1825" s="173"/>
      <c r="P1825" s="163"/>
      <c r="V1825" s="169"/>
    </row>
    <row r="1826" spans="1:22" ht="15.75" customHeight="1" x14ac:dyDescent="0.2">
      <c r="A1826" s="165"/>
      <c r="D1826" s="173"/>
      <c r="P1826" s="163"/>
      <c r="V1826" s="169"/>
    </row>
    <row r="1827" spans="1:22" ht="15.75" customHeight="1" x14ac:dyDescent="0.2">
      <c r="A1827" s="165"/>
      <c r="D1827" s="173"/>
      <c r="P1827" s="163"/>
      <c r="V1827" s="169"/>
    </row>
    <row r="1828" spans="1:22" ht="15.75" customHeight="1" x14ac:dyDescent="0.2">
      <c r="A1828" s="165"/>
      <c r="D1828" s="173"/>
      <c r="P1828" s="163"/>
      <c r="V1828" s="169"/>
    </row>
    <row r="1829" spans="1:22" ht="15.75" customHeight="1" x14ac:dyDescent="0.2">
      <c r="A1829" s="165"/>
      <c r="D1829" s="173"/>
      <c r="P1829" s="163"/>
      <c r="V1829" s="169"/>
    </row>
    <row r="1830" spans="1:22" ht="15.75" customHeight="1" x14ac:dyDescent="0.2">
      <c r="A1830" s="165"/>
      <c r="D1830" s="173"/>
      <c r="P1830" s="163"/>
      <c r="V1830" s="169"/>
    </row>
    <row r="1831" spans="1:22" ht="15.75" customHeight="1" x14ac:dyDescent="0.2">
      <c r="A1831" s="165"/>
      <c r="D1831" s="173"/>
      <c r="P1831" s="163"/>
      <c r="V1831" s="169"/>
    </row>
    <row r="1832" spans="1:22" ht="15.75" customHeight="1" x14ac:dyDescent="0.2">
      <c r="A1832" s="165"/>
      <c r="D1832" s="173"/>
      <c r="P1832" s="163"/>
      <c r="V1832" s="169"/>
    </row>
    <row r="1833" spans="1:22" ht="15.75" customHeight="1" x14ac:dyDescent="0.2">
      <c r="A1833" s="165"/>
      <c r="D1833" s="173"/>
      <c r="P1833" s="163"/>
      <c r="V1833" s="169"/>
    </row>
    <row r="1834" spans="1:22" ht="15.75" customHeight="1" x14ac:dyDescent="0.2">
      <c r="A1834" s="165"/>
      <c r="D1834" s="173"/>
      <c r="P1834" s="163"/>
      <c r="V1834" s="169"/>
    </row>
    <row r="1835" spans="1:22" ht="15.75" customHeight="1" x14ac:dyDescent="0.2">
      <c r="A1835" s="165"/>
      <c r="D1835" s="173"/>
      <c r="P1835" s="163"/>
      <c r="V1835" s="169"/>
    </row>
    <row r="1836" spans="1:22" ht="15.75" customHeight="1" x14ac:dyDescent="0.2">
      <c r="A1836" s="165"/>
      <c r="D1836" s="173"/>
      <c r="P1836" s="163"/>
      <c r="V1836" s="169"/>
    </row>
    <row r="1837" spans="1:22" ht="15.75" customHeight="1" x14ac:dyDescent="0.2">
      <c r="A1837" s="165"/>
      <c r="D1837" s="173"/>
      <c r="P1837" s="163"/>
      <c r="V1837" s="169"/>
    </row>
    <row r="1838" spans="1:22" ht="15.75" customHeight="1" x14ac:dyDescent="0.2">
      <c r="A1838" s="165"/>
      <c r="D1838" s="173"/>
      <c r="P1838" s="163"/>
      <c r="V1838" s="169"/>
    </row>
    <row r="1839" spans="1:22" ht="15.75" customHeight="1" x14ac:dyDescent="0.2">
      <c r="A1839" s="165"/>
      <c r="D1839" s="173"/>
      <c r="P1839" s="163"/>
      <c r="V1839" s="169"/>
    </row>
    <row r="1840" spans="1:22" ht="15.75" customHeight="1" x14ac:dyDescent="0.2">
      <c r="A1840" s="165"/>
      <c r="D1840" s="173"/>
      <c r="P1840" s="163"/>
      <c r="V1840" s="169"/>
    </row>
    <row r="1841" spans="1:22" ht="15.75" customHeight="1" x14ac:dyDescent="0.2">
      <c r="A1841" s="165"/>
      <c r="D1841" s="173"/>
      <c r="P1841" s="163"/>
      <c r="V1841" s="169"/>
    </row>
    <row r="1842" spans="1:22" ht="15.75" customHeight="1" x14ac:dyDescent="0.2">
      <c r="A1842" s="165"/>
      <c r="D1842" s="173"/>
      <c r="P1842" s="163"/>
      <c r="V1842" s="169"/>
    </row>
    <row r="1843" spans="1:22" ht="15.75" customHeight="1" x14ac:dyDescent="0.2">
      <c r="A1843" s="165"/>
      <c r="D1843" s="173"/>
      <c r="P1843" s="163"/>
      <c r="V1843" s="169"/>
    </row>
    <row r="1844" spans="1:22" ht="15.75" customHeight="1" x14ac:dyDescent="0.2">
      <c r="A1844" s="165"/>
      <c r="D1844" s="173"/>
      <c r="P1844" s="163"/>
      <c r="V1844" s="169"/>
    </row>
    <row r="1845" spans="1:22" ht="15.75" customHeight="1" x14ac:dyDescent="0.2">
      <c r="A1845" s="165"/>
      <c r="D1845" s="173"/>
      <c r="P1845" s="163"/>
      <c r="V1845" s="169"/>
    </row>
    <row r="1846" spans="1:22" ht="15.75" customHeight="1" x14ac:dyDescent="0.2">
      <c r="A1846" s="165"/>
      <c r="D1846" s="173"/>
      <c r="P1846" s="163"/>
      <c r="V1846" s="169"/>
    </row>
    <row r="1847" spans="1:22" ht="15.75" customHeight="1" x14ac:dyDescent="0.2">
      <c r="A1847" s="165"/>
      <c r="D1847" s="173"/>
      <c r="P1847" s="163"/>
      <c r="V1847" s="169"/>
    </row>
    <row r="1848" spans="1:22" ht="15.75" customHeight="1" x14ac:dyDescent="0.2">
      <c r="A1848" s="165"/>
      <c r="D1848" s="173"/>
      <c r="P1848" s="163"/>
      <c r="V1848" s="169"/>
    </row>
    <row r="1849" spans="1:22" ht="15.75" customHeight="1" x14ac:dyDescent="0.2">
      <c r="A1849" s="165"/>
      <c r="D1849" s="173"/>
      <c r="P1849" s="163"/>
      <c r="V1849" s="169"/>
    </row>
    <row r="1850" spans="1:22" ht="15.75" customHeight="1" x14ac:dyDescent="0.2">
      <c r="A1850" s="165"/>
      <c r="D1850" s="173"/>
      <c r="P1850" s="163"/>
      <c r="V1850" s="169"/>
    </row>
    <row r="1851" spans="1:22" ht="15.75" customHeight="1" x14ac:dyDescent="0.2">
      <c r="A1851" s="165"/>
      <c r="D1851" s="173"/>
      <c r="P1851" s="163"/>
      <c r="V1851" s="169"/>
    </row>
    <row r="1852" spans="1:22" ht="15.75" customHeight="1" x14ac:dyDescent="0.2">
      <c r="A1852" s="165"/>
      <c r="D1852" s="173"/>
      <c r="P1852" s="163"/>
      <c r="V1852" s="169"/>
    </row>
    <row r="1853" spans="1:22" ht="15.75" customHeight="1" x14ac:dyDescent="0.2">
      <c r="A1853" s="165"/>
      <c r="D1853" s="173"/>
      <c r="P1853" s="163"/>
      <c r="V1853" s="169"/>
    </row>
    <row r="1854" spans="1:22" ht="15.75" customHeight="1" x14ac:dyDescent="0.2">
      <c r="A1854" s="165"/>
      <c r="D1854" s="173"/>
      <c r="P1854" s="163"/>
      <c r="V1854" s="169"/>
    </row>
    <row r="1855" spans="1:22" ht="15.75" customHeight="1" x14ac:dyDescent="0.2">
      <c r="A1855" s="165"/>
      <c r="D1855" s="173"/>
      <c r="P1855" s="163"/>
      <c r="V1855" s="169"/>
    </row>
    <row r="1856" spans="1:22" ht="15.75" customHeight="1" x14ac:dyDescent="0.2">
      <c r="A1856" s="165"/>
      <c r="D1856" s="173"/>
      <c r="P1856" s="163"/>
      <c r="V1856" s="169"/>
    </row>
    <row r="1857" spans="1:22" ht="15.75" customHeight="1" x14ac:dyDescent="0.2">
      <c r="A1857" s="165"/>
      <c r="D1857" s="173"/>
      <c r="P1857" s="163"/>
      <c r="V1857" s="169"/>
    </row>
    <row r="1858" spans="1:22" ht="15.75" customHeight="1" x14ac:dyDescent="0.2">
      <c r="A1858" s="165"/>
      <c r="D1858" s="173"/>
      <c r="P1858" s="163"/>
      <c r="V1858" s="169"/>
    </row>
    <row r="1859" spans="1:22" ht="15.75" customHeight="1" x14ac:dyDescent="0.2">
      <c r="A1859" s="165"/>
      <c r="D1859" s="173"/>
      <c r="P1859" s="163"/>
      <c r="V1859" s="169"/>
    </row>
    <row r="1860" spans="1:22" ht="15.75" customHeight="1" x14ac:dyDescent="0.2">
      <c r="A1860" s="165"/>
      <c r="D1860" s="173"/>
      <c r="P1860" s="163"/>
      <c r="V1860" s="169"/>
    </row>
    <row r="1861" spans="1:22" ht="15.75" customHeight="1" x14ac:dyDescent="0.2">
      <c r="A1861" s="165"/>
      <c r="D1861" s="173"/>
      <c r="P1861" s="163"/>
      <c r="V1861" s="169"/>
    </row>
    <row r="1862" spans="1:22" ht="15.75" customHeight="1" x14ac:dyDescent="0.2">
      <c r="A1862" s="165"/>
      <c r="D1862" s="173"/>
      <c r="P1862" s="163"/>
      <c r="V1862" s="169"/>
    </row>
    <row r="1863" spans="1:22" ht="15.75" customHeight="1" x14ac:dyDescent="0.2">
      <c r="A1863" s="165"/>
      <c r="D1863" s="173"/>
      <c r="P1863" s="163"/>
      <c r="V1863" s="169"/>
    </row>
    <row r="1864" spans="1:22" ht="15.75" customHeight="1" x14ac:dyDescent="0.2">
      <c r="A1864" s="165"/>
      <c r="D1864" s="173"/>
      <c r="P1864" s="163"/>
      <c r="V1864" s="169"/>
    </row>
    <row r="1865" spans="1:22" ht="15.75" customHeight="1" x14ac:dyDescent="0.2">
      <c r="A1865" s="165"/>
      <c r="D1865" s="173"/>
      <c r="P1865" s="163"/>
      <c r="V1865" s="169"/>
    </row>
    <row r="1866" spans="1:22" ht="15.75" customHeight="1" x14ac:dyDescent="0.2">
      <c r="A1866" s="165"/>
      <c r="D1866" s="173"/>
      <c r="P1866" s="163"/>
      <c r="V1866" s="169"/>
    </row>
    <row r="1867" spans="1:22" ht="15.75" customHeight="1" x14ac:dyDescent="0.2">
      <c r="A1867" s="165"/>
      <c r="D1867" s="173"/>
      <c r="P1867" s="163"/>
      <c r="V1867" s="169"/>
    </row>
    <row r="1868" spans="1:22" ht="15.75" customHeight="1" x14ac:dyDescent="0.2">
      <c r="A1868" s="165"/>
      <c r="D1868" s="173"/>
      <c r="P1868" s="163"/>
      <c r="V1868" s="169"/>
    </row>
    <row r="1869" spans="1:22" ht="15.75" customHeight="1" x14ac:dyDescent="0.2">
      <c r="A1869" s="165"/>
      <c r="D1869" s="173"/>
      <c r="P1869" s="163"/>
      <c r="V1869" s="169"/>
    </row>
    <row r="1870" spans="1:22" ht="15.75" customHeight="1" x14ac:dyDescent="0.2">
      <c r="A1870" s="165"/>
      <c r="D1870" s="173"/>
      <c r="P1870" s="163"/>
      <c r="V1870" s="169"/>
    </row>
    <row r="1871" spans="1:22" ht="15.75" customHeight="1" x14ac:dyDescent="0.2">
      <c r="A1871" s="165"/>
      <c r="D1871" s="173"/>
      <c r="P1871" s="163"/>
      <c r="V1871" s="169"/>
    </row>
    <row r="1872" spans="1:22" ht="15.75" customHeight="1" x14ac:dyDescent="0.2">
      <c r="A1872" s="165"/>
      <c r="D1872" s="173"/>
      <c r="P1872" s="163"/>
      <c r="V1872" s="169"/>
    </row>
    <row r="1873" spans="1:22" ht="15.75" customHeight="1" x14ac:dyDescent="0.2">
      <c r="A1873" s="165"/>
      <c r="D1873" s="173"/>
      <c r="P1873" s="163"/>
      <c r="V1873" s="169"/>
    </row>
    <row r="1874" spans="1:22" ht="15.75" customHeight="1" x14ac:dyDescent="0.2">
      <c r="A1874" s="165"/>
      <c r="D1874" s="173"/>
      <c r="P1874" s="163"/>
      <c r="V1874" s="169"/>
    </row>
    <row r="1875" spans="1:22" ht="15.75" customHeight="1" x14ac:dyDescent="0.2">
      <c r="A1875" s="165"/>
      <c r="D1875" s="173"/>
      <c r="P1875" s="163"/>
      <c r="V1875" s="169"/>
    </row>
    <row r="1876" spans="1:22" ht="15.75" customHeight="1" x14ac:dyDescent="0.2">
      <c r="A1876" s="165"/>
      <c r="D1876" s="173"/>
      <c r="P1876" s="163"/>
      <c r="V1876" s="169"/>
    </row>
    <row r="1877" spans="1:22" ht="15.75" customHeight="1" x14ac:dyDescent="0.2">
      <c r="A1877" s="165"/>
      <c r="D1877" s="173"/>
      <c r="P1877" s="163"/>
      <c r="V1877" s="169"/>
    </row>
    <row r="1878" spans="1:22" ht="15.75" customHeight="1" x14ac:dyDescent="0.2">
      <c r="A1878" s="165"/>
      <c r="D1878" s="173"/>
      <c r="P1878" s="163"/>
      <c r="V1878" s="169"/>
    </row>
    <row r="1879" spans="1:22" ht="15.75" customHeight="1" x14ac:dyDescent="0.2">
      <c r="A1879" s="165"/>
      <c r="D1879" s="173"/>
      <c r="P1879" s="163"/>
      <c r="V1879" s="169"/>
    </row>
    <row r="1880" spans="1:22" ht="15.75" customHeight="1" x14ac:dyDescent="0.2">
      <c r="A1880" s="165"/>
      <c r="D1880" s="173"/>
      <c r="P1880" s="163"/>
      <c r="V1880" s="169"/>
    </row>
    <row r="1881" spans="1:22" ht="15.75" customHeight="1" x14ac:dyDescent="0.2">
      <c r="A1881" s="165"/>
      <c r="D1881" s="173"/>
      <c r="P1881" s="163"/>
      <c r="V1881" s="169"/>
    </row>
    <row r="1882" spans="1:22" ht="15.75" customHeight="1" x14ac:dyDescent="0.2">
      <c r="A1882" s="165"/>
      <c r="D1882" s="173"/>
      <c r="P1882" s="163"/>
      <c r="V1882" s="169"/>
    </row>
    <row r="1883" spans="1:22" ht="15.75" customHeight="1" x14ac:dyDescent="0.2">
      <c r="A1883" s="165"/>
      <c r="D1883" s="173"/>
      <c r="P1883" s="163"/>
      <c r="V1883" s="169"/>
    </row>
    <row r="1884" spans="1:22" ht="15.75" customHeight="1" x14ac:dyDescent="0.2">
      <c r="A1884" s="165"/>
      <c r="D1884" s="173"/>
      <c r="P1884" s="163"/>
      <c r="V1884" s="169"/>
    </row>
    <row r="1885" spans="1:22" ht="15.75" customHeight="1" x14ac:dyDescent="0.2">
      <c r="A1885" s="165"/>
      <c r="D1885" s="173"/>
      <c r="P1885" s="163"/>
      <c r="V1885" s="169"/>
    </row>
    <row r="1886" spans="1:22" ht="15.75" customHeight="1" x14ac:dyDescent="0.2">
      <c r="A1886" s="165"/>
      <c r="D1886" s="173"/>
      <c r="P1886" s="163"/>
      <c r="V1886" s="169"/>
    </row>
    <row r="1887" spans="1:22" ht="15.75" customHeight="1" x14ac:dyDescent="0.2">
      <c r="A1887" s="165"/>
      <c r="D1887" s="173"/>
      <c r="P1887" s="163"/>
      <c r="V1887" s="169"/>
    </row>
    <row r="1888" spans="1:22" ht="15.75" customHeight="1" x14ac:dyDescent="0.2">
      <c r="A1888" s="165"/>
      <c r="D1888" s="173"/>
      <c r="P1888" s="163"/>
      <c r="V1888" s="169"/>
    </row>
    <row r="1889" spans="1:22" ht="15.75" customHeight="1" x14ac:dyDescent="0.2">
      <c r="A1889" s="165"/>
      <c r="D1889" s="173"/>
      <c r="P1889" s="163"/>
      <c r="V1889" s="169"/>
    </row>
    <row r="1890" spans="1:22" ht="15.75" customHeight="1" x14ac:dyDescent="0.2">
      <c r="A1890" s="165"/>
      <c r="D1890" s="173"/>
      <c r="P1890" s="163"/>
      <c r="V1890" s="169"/>
    </row>
    <row r="1891" spans="1:22" ht="15.75" customHeight="1" x14ac:dyDescent="0.2">
      <c r="A1891" s="165"/>
      <c r="D1891" s="173"/>
      <c r="P1891" s="163"/>
      <c r="V1891" s="169"/>
    </row>
    <row r="1892" spans="1:22" ht="15.75" customHeight="1" x14ac:dyDescent="0.2">
      <c r="A1892" s="165"/>
      <c r="D1892" s="173"/>
      <c r="P1892" s="163"/>
      <c r="V1892" s="169"/>
    </row>
    <row r="1893" spans="1:22" ht="15.75" customHeight="1" x14ac:dyDescent="0.2">
      <c r="A1893" s="165"/>
      <c r="D1893" s="173"/>
      <c r="P1893" s="163"/>
      <c r="V1893" s="169"/>
    </row>
    <row r="1894" spans="1:22" ht="15.75" customHeight="1" x14ac:dyDescent="0.2">
      <c r="A1894" s="165"/>
      <c r="D1894" s="173"/>
      <c r="P1894" s="163"/>
      <c r="V1894" s="169"/>
    </row>
    <row r="1895" spans="1:22" ht="15.75" customHeight="1" x14ac:dyDescent="0.2">
      <c r="A1895" s="165"/>
      <c r="D1895" s="173"/>
      <c r="P1895" s="163"/>
      <c r="V1895" s="169"/>
    </row>
    <row r="1896" spans="1:22" ht="15.75" customHeight="1" x14ac:dyDescent="0.2">
      <c r="A1896" s="165"/>
      <c r="D1896" s="173"/>
      <c r="P1896" s="163"/>
      <c r="V1896" s="169"/>
    </row>
    <row r="1897" spans="1:22" ht="15.75" customHeight="1" x14ac:dyDescent="0.2">
      <c r="A1897" s="165"/>
      <c r="D1897" s="173"/>
      <c r="P1897" s="163"/>
      <c r="V1897" s="169"/>
    </row>
    <row r="1898" spans="1:22" ht="15.75" customHeight="1" x14ac:dyDescent="0.2">
      <c r="A1898" s="165"/>
      <c r="D1898" s="173"/>
      <c r="P1898" s="163"/>
      <c r="V1898" s="169"/>
    </row>
    <row r="1899" spans="1:22" ht="15.75" customHeight="1" x14ac:dyDescent="0.2">
      <c r="A1899" s="165"/>
      <c r="D1899" s="173"/>
      <c r="P1899" s="163"/>
      <c r="V1899" s="169"/>
    </row>
    <row r="1900" spans="1:22" ht="15.75" customHeight="1" x14ac:dyDescent="0.2">
      <c r="A1900" s="165"/>
      <c r="D1900" s="173"/>
      <c r="P1900" s="163"/>
      <c r="V1900" s="169"/>
    </row>
    <row r="1901" spans="1:22" ht="15.75" customHeight="1" x14ac:dyDescent="0.2">
      <c r="A1901" s="165"/>
      <c r="D1901" s="173"/>
      <c r="P1901" s="163"/>
      <c r="V1901" s="169"/>
    </row>
    <row r="1902" spans="1:22" ht="15.75" customHeight="1" x14ac:dyDescent="0.2">
      <c r="A1902" s="165"/>
      <c r="D1902" s="173"/>
      <c r="P1902" s="163"/>
      <c r="V1902" s="169"/>
    </row>
    <row r="1903" spans="1:22" ht="15.75" customHeight="1" x14ac:dyDescent="0.2">
      <c r="A1903" s="165"/>
      <c r="D1903" s="173"/>
      <c r="P1903" s="163"/>
      <c r="V1903" s="169"/>
    </row>
    <row r="1904" spans="1:22" ht="15.75" customHeight="1" x14ac:dyDescent="0.2">
      <c r="A1904" s="165"/>
      <c r="D1904" s="173"/>
      <c r="P1904" s="163"/>
      <c r="V1904" s="169"/>
    </row>
    <row r="1905" spans="1:22" ht="15.75" customHeight="1" x14ac:dyDescent="0.2">
      <c r="A1905" s="165"/>
      <c r="D1905" s="173"/>
      <c r="P1905" s="163"/>
      <c r="V1905" s="169"/>
    </row>
    <row r="1906" spans="1:22" ht="15.75" customHeight="1" x14ac:dyDescent="0.2">
      <c r="A1906" s="165"/>
      <c r="D1906" s="173"/>
      <c r="P1906" s="163"/>
      <c r="V1906" s="169"/>
    </row>
    <row r="1907" spans="1:22" ht="15.75" customHeight="1" x14ac:dyDescent="0.2">
      <c r="A1907" s="165"/>
      <c r="D1907" s="173"/>
      <c r="P1907" s="163"/>
      <c r="V1907" s="169"/>
    </row>
    <row r="1908" spans="1:22" ht="15.75" customHeight="1" x14ac:dyDescent="0.2">
      <c r="A1908" s="165"/>
      <c r="D1908" s="173"/>
      <c r="P1908" s="163"/>
      <c r="V1908" s="169"/>
    </row>
    <row r="1909" spans="1:22" ht="15.75" customHeight="1" x14ac:dyDescent="0.2">
      <c r="A1909" s="165"/>
      <c r="D1909" s="173"/>
      <c r="P1909" s="163"/>
      <c r="V1909" s="169"/>
    </row>
    <row r="1910" spans="1:22" ht="15.75" customHeight="1" x14ac:dyDescent="0.2">
      <c r="A1910" s="165"/>
      <c r="D1910" s="173"/>
      <c r="P1910" s="163"/>
      <c r="V1910" s="169"/>
    </row>
    <row r="1911" spans="1:22" ht="15.75" customHeight="1" x14ac:dyDescent="0.2">
      <c r="A1911" s="165"/>
      <c r="D1911" s="173"/>
      <c r="P1911" s="163"/>
      <c r="V1911" s="169"/>
    </row>
    <row r="1912" spans="1:22" ht="15.75" customHeight="1" x14ac:dyDescent="0.2">
      <c r="A1912" s="165"/>
      <c r="D1912" s="173"/>
      <c r="P1912" s="163"/>
      <c r="V1912" s="169"/>
    </row>
    <row r="1913" spans="1:22" ht="15.75" customHeight="1" x14ac:dyDescent="0.2">
      <c r="A1913" s="165"/>
      <c r="D1913" s="173"/>
      <c r="P1913" s="163"/>
      <c r="V1913" s="169"/>
    </row>
    <row r="1914" spans="1:22" ht="15.75" customHeight="1" x14ac:dyDescent="0.2">
      <c r="A1914" s="165"/>
      <c r="D1914" s="173"/>
      <c r="P1914" s="163"/>
      <c r="V1914" s="169"/>
    </row>
    <row r="1915" spans="1:22" ht="15.75" customHeight="1" x14ac:dyDescent="0.2">
      <c r="A1915" s="165"/>
      <c r="D1915" s="173"/>
      <c r="P1915" s="163"/>
      <c r="V1915" s="169"/>
    </row>
    <row r="1916" spans="1:22" ht="15.75" customHeight="1" x14ac:dyDescent="0.2">
      <c r="A1916" s="165"/>
      <c r="D1916" s="173"/>
      <c r="P1916" s="163"/>
      <c r="V1916" s="169"/>
    </row>
    <row r="1917" spans="1:22" ht="15.75" customHeight="1" x14ac:dyDescent="0.2">
      <c r="A1917" s="165"/>
      <c r="D1917" s="173"/>
      <c r="P1917" s="163"/>
      <c r="V1917" s="169"/>
    </row>
    <row r="1918" spans="1:22" ht="15.75" customHeight="1" x14ac:dyDescent="0.2">
      <c r="A1918" s="165"/>
      <c r="D1918" s="173"/>
      <c r="P1918" s="163"/>
      <c r="V1918" s="169"/>
    </row>
    <row r="1919" spans="1:22" ht="15.75" customHeight="1" x14ac:dyDescent="0.2">
      <c r="A1919" s="165"/>
      <c r="D1919" s="173"/>
      <c r="P1919" s="163"/>
      <c r="V1919" s="169"/>
    </row>
    <row r="1920" spans="1:22" ht="15.75" customHeight="1" x14ac:dyDescent="0.2">
      <c r="A1920" s="165"/>
      <c r="D1920" s="173"/>
      <c r="P1920" s="163"/>
      <c r="V1920" s="169"/>
    </row>
    <row r="1921" spans="1:22" ht="15.75" customHeight="1" x14ac:dyDescent="0.2">
      <c r="A1921" s="165"/>
      <c r="D1921" s="173"/>
      <c r="P1921" s="163"/>
      <c r="V1921" s="169"/>
    </row>
    <row r="1922" spans="1:22" ht="15.75" customHeight="1" x14ac:dyDescent="0.2">
      <c r="A1922" s="165"/>
      <c r="D1922" s="173"/>
      <c r="P1922" s="163"/>
      <c r="V1922" s="169"/>
    </row>
  </sheetData>
  <mergeCells count="54">
    <mergeCell ref="AF857:AI857"/>
    <mergeCell ref="AE881:AF881"/>
    <mergeCell ref="AF883:AI883"/>
    <mergeCell ref="AF884:AI884"/>
    <mergeCell ref="AF889:AI889"/>
    <mergeCell ref="AF897:AI897"/>
    <mergeCell ref="AF850:AI850"/>
    <mergeCell ref="AF851:AI851"/>
    <mergeCell ref="AF853:AI853"/>
    <mergeCell ref="AF854:AI854"/>
    <mergeCell ref="AF855:AI855"/>
    <mergeCell ref="AF856:AI856"/>
    <mergeCell ref="AF810:AI810"/>
    <mergeCell ref="AF812:AI812"/>
    <mergeCell ref="AF819:AI819"/>
    <mergeCell ref="AF836:AI836"/>
    <mergeCell ref="AF848:AI848"/>
    <mergeCell ref="AF849:AI849"/>
    <mergeCell ref="AF780:AI780"/>
    <mergeCell ref="AF783:AI783"/>
    <mergeCell ref="AF795:AI795"/>
    <mergeCell ref="AF799:AI799"/>
    <mergeCell ref="AF806:AI806"/>
    <mergeCell ref="AF809:AI809"/>
    <mergeCell ref="AF754:AI754"/>
    <mergeCell ref="AE760:AF760"/>
    <mergeCell ref="AF762:AI762"/>
    <mergeCell ref="AF763:AI763"/>
    <mergeCell ref="AF769:AI769"/>
    <mergeCell ref="AE773:AI773"/>
    <mergeCell ref="AE746:AF746"/>
    <mergeCell ref="AE747:AF747"/>
    <mergeCell ref="AE748:AF748"/>
    <mergeCell ref="AE749:AF749"/>
    <mergeCell ref="AF752:AI752"/>
    <mergeCell ref="AF753:AI753"/>
    <mergeCell ref="AE740:AF740"/>
    <mergeCell ref="AE741:AF741"/>
    <mergeCell ref="AE742:AF742"/>
    <mergeCell ref="AE743:AF743"/>
    <mergeCell ref="AE744:AF744"/>
    <mergeCell ref="AE745:AF745"/>
    <mergeCell ref="AF686:AI686"/>
    <mergeCell ref="AF693:AI693"/>
    <mergeCell ref="AG696:AI696"/>
    <mergeCell ref="AF715:AI715"/>
    <mergeCell ref="AF716:AI716"/>
    <mergeCell ref="AF730:AI730"/>
    <mergeCell ref="AF280:AI280"/>
    <mergeCell ref="AF299:AI299"/>
    <mergeCell ref="AF346:AI346"/>
    <mergeCell ref="AF396:AI396"/>
    <mergeCell ref="AF498:AI498"/>
    <mergeCell ref="AF679:AI679"/>
  </mergeCells>
  <conditionalFormatting sqref="A29:A674 B639:B674 A676:A690 B676:B679 A692:A1922 B694:B703 C699:C700 B705 B719:B735 B737 B756 B770 A1:A27">
    <cfRule type="expression" dxfId="1" priority="1">
      <formula>"countif(A:A,A1)&gt;1"</formula>
    </cfRule>
  </conditionalFormatting>
  <conditionalFormatting sqref="AC945:AC1922 AC1:AC910">
    <cfRule type="cellIs" dxfId="0" priority="2" operator="equal">
      <formula>0</formula>
    </cfRule>
  </conditionalFormatting>
  <hyperlinks>
    <hyperlink ref="AE2" r:id="rId1" xr:uid="{BF07FF26-ACF7-3D48-8B04-BDFFF71CE831}"/>
    <hyperlink ref="AE3" r:id="rId2" xr:uid="{200BBD4A-1F5A-2149-B68D-0BAD1FB6E43A}"/>
    <hyperlink ref="AE4" r:id="rId3" xr:uid="{3668EC0B-D6DE-F64C-AC32-4B4889A1664A}"/>
    <hyperlink ref="AE5" r:id="rId4" xr:uid="{1832D1B0-04A4-EC44-82DC-E18F368A1214}"/>
    <hyperlink ref="AE6" r:id="rId5" xr:uid="{E2109C8F-94AD-2E40-AA07-C3D224EF5B22}"/>
    <hyperlink ref="AE7" r:id="rId6" xr:uid="{ED23D28D-D1AF-594F-AAA0-FA6538AA3039}"/>
    <hyperlink ref="AE8" r:id="rId7" xr:uid="{603AD42E-B79B-494E-9EEB-E25E44E50DF4}"/>
    <hyperlink ref="AE9" r:id="rId8" xr:uid="{4C1A9A12-EDD9-744F-B8E0-5543DB3D7C62}"/>
    <hyperlink ref="AE10" r:id="rId9" xr:uid="{5166BB6A-9344-B145-8BC9-FCEE82D060C4}"/>
    <hyperlink ref="AE11" r:id="rId10" xr:uid="{5FA3B25D-4AE6-9A4B-87B4-AE3CC8A15B89}"/>
    <hyperlink ref="AE12" r:id="rId11" xr:uid="{08D9A3CD-8ADA-8C4E-989F-BF362441B4BE}"/>
    <hyperlink ref="AE13" r:id="rId12" xr:uid="{6E383EAB-115A-0746-AA50-A424D8F01021}"/>
    <hyperlink ref="AE14" r:id="rId13" xr:uid="{22FCBCBE-C0AF-6C48-9BF9-B4355DF1AA83}"/>
    <hyperlink ref="AE15" r:id="rId14" xr:uid="{73FDA4BD-4157-644F-9800-2AE396D4224F}"/>
    <hyperlink ref="AE16" r:id="rId15" xr:uid="{DC247186-F782-1F46-A14D-1D778BA6C1A6}"/>
    <hyperlink ref="AE17" r:id="rId16" xr:uid="{0E0462EE-A121-4243-9C5E-A6D7C28784C4}"/>
    <hyperlink ref="AE18" r:id="rId17" xr:uid="{A2A916AE-B3D0-B84B-B3E5-557FDCB4F1B0}"/>
    <hyperlink ref="AE19" r:id="rId18" xr:uid="{16D90300-D627-3641-96E1-6FB4E5C198F3}"/>
    <hyperlink ref="AE20" r:id="rId19" xr:uid="{26C7A0A6-4157-7249-BA74-EE87C7F148F3}"/>
    <hyperlink ref="AE21" r:id="rId20" xr:uid="{8BD2E153-C7B0-B34A-964C-DF006860993E}"/>
    <hyperlink ref="AE22" r:id="rId21" xr:uid="{406CD210-0FFB-9240-9036-F20FF974591B}"/>
    <hyperlink ref="AE23" r:id="rId22" xr:uid="{FA29B05E-284A-B247-B3CC-1CB949C4F361}"/>
    <hyperlink ref="AE24" r:id="rId23" xr:uid="{54747B31-32D5-C946-BFCF-2366B60D92BC}"/>
    <hyperlink ref="AE25" r:id="rId24" xr:uid="{2FCFE1CB-497D-4143-B2EA-A7867BA40CEB}"/>
    <hyperlink ref="AE26" r:id="rId25" xr:uid="{6F64049D-4DC5-8E40-AC44-C2F6AACC69FE}"/>
    <hyperlink ref="AE27" r:id="rId26" xr:uid="{102C7A5B-99E7-664D-A6DE-1552BE7C31FA}"/>
    <hyperlink ref="AE28" r:id="rId27" xr:uid="{26DB0902-29FF-5F41-B95B-0391ACDEBF29}"/>
    <hyperlink ref="AE29" r:id="rId28" xr:uid="{B4747522-01E1-8A4F-95CD-DEEFF1ADB70F}"/>
    <hyperlink ref="AE30" r:id="rId29" xr:uid="{FA90A778-A114-B845-9474-BA75AD3E6F0B}"/>
    <hyperlink ref="AE31" r:id="rId30" xr:uid="{AD1C7ECA-59CF-6549-AC85-DD4BB4D74EEB}"/>
    <hyperlink ref="AE32" r:id="rId31" xr:uid="{449724F7-591C-8C4B-9CAE-726177568A1D}"/>
    <hyperlink ref="AE33" r:id="rId32" xr:uid="{1E62AAB2-42FB-BF48-858B-5C2F6BE5C50E}"/>
    <hyperlink ref="AE34" r:id="rId33" xr:uid="{88E4788E-CBC5-9747-9D55-1A30A39B41BC}"/>
    <hyperlink ref="AE35" r:id="rId34" xr:uid="{17AA3911-3E38-7D41-BD9B-925924069713}"/>
    <hyperlink ref="AE36" r:id="rId35" xr:uid="{0054BB35-B50F-384F-9145-60FDEF9873ED}"/>
    <hyperlink ref="AE37" r:id="rId36" xr:uid="{C2325427-E59E-C640-AFB8-FD720DD2FE4C}"/>
    <hyperlink ref="AE38" r:id="rId37" xr:uid="{C0C984F7-8BCD-A64B-95BA-B538A2560F98}"/>
    <hyperlink ref="AE39" r:id="rId38" xr:uid="{726E608B-B2D9-A544-889A-CA58C69E9943}"/>
    <hyperlink ref="AE40" r:id="rId39" xr:uid="{AEA4B0FA-FCE6-BC49-8C32-7EA50BD0CEE1}"/>
    <hyperlink ref="AE41" r:id="rId40" xr:uid="{C4E514D2-51A9-444C-A600-9E4992616FE4}"/>
    <hyperlink ref="AE42" r:id="rId41" xr:uid="{CFA035D5-DE2D-1B45-A75B-ADF9D154EE09}"/>
    <hyperlink ref="AE43" r:id="rId42" xr:uid="{21EC2FE9-C28C-914C-AF0A-91E8F2A2F32B}"/>
    <hyperlink ref="AE44" r:id="rId43" xr:uid="{C02D9E55-8D16-6341-B8EF-0376997D3953}"/>
    <hyperlink ref="AE45" r:id="rId44" xr:uid="{435010B2-7271-7448-ACD0-01D3974A9948}"/>
    <hyperlink ref="AE46" r:id="rId45" xr:uid="{99CB92C4-CB00-604D-BC76-8AA227106642}"/>
    <hyperlink ref="AE47" r:id="rId46" xr:uid="{FC27FCE9-F278-424C-88C8-4AE37F280437}"/>
    <hyperlink ref="AE48" r:id="rId47" xr:uid="{C2681090-F556-0648-80A6-B3BF40CD4FC4}"/>
    <hyperlink ref="AE49" r:id="rId48" xr:uid="{4F65DB03-F395-644E-813A-38BBDA220249}"/>
    <hyperlink ref="AE50" r:id="rId49" xr:uid="{3F8AC721-E384-B347-AE17-6DE0F81A07F8}"/>
    <hyperlink ref="AE51" r:id="rId50" xr:uid="{33FBB4FC-B631-7B4C-8A83-EEB41C5D6B5D}"/>
    <hyperlink ref="AE52" r:id="rId51" xr:uid="{8AB34D34-BA3F-A341-A565-ED472C04D8AE}"/>
    <hyperlink ref="AE53" r:id="rId52" xr:uid="{A266B691-8D7A-FC4E-8852-05993B65FE3D}"/>
    <hyperlink ref="AE54" r:id="rId53" xr:uid="{E1EB7630-1D63-3440-BE7E-7D8250EB44FF}"/>
    <hyperlink ref="AE55" r:id="rId54" xr:uid="{3014414D-EB3E-164A-93C4-563255FECF6A}"/>
    <hyperlink ref="AE56" r:id="rId55" xr:uid="{E13622E4-9A45-6446-AEB9-3387D7A989AF}"/>
    <hyperlink ref="AE57" r:id="rId56" xr:uid="{FD4C73B5-5B7C-3D4F-9120-3327EEA0132A}"/>
    <hyperlink ref="AE58" r:id="rId57" xr:uid="{B57EE91D-8F2C-C445-9241-65B7498B8280}"/>
    <hyperlink ref="AE59" r:id="rId58" location="v=onepage&amp;q=shinbundang%20line%20construction%20cost%2011690&amp;f=false" xr:uid="{095A004D-1AD6-8E4D-ABB3-230E19CCB016}"/>
    <hyperlink ref="AE60" r:id="rId59" xr:uid="{4F29EE83-9CE8-9C4D-98C7-0DB0B8B20398}"/>
    <hyperlink ref="AE61" r:id="rId60" xr:uid="{291B9D36-93B0-704F-9725-E03CCE2C31FF}"/>
    <hyperlink ref="AE62" r:id="rId61" xr:uid="{75FFA797-990B-4247-A1F5-08B13E9FBC6E}"/>
    <hyperlink ref="AE63" r:id="rId62" xr:uid="{8879DDCF-BDFB-434A-8D88-0F938B955D2B}"/>
    <hyperlink ref="AE64" r:id="rId63" xr:uid="{9854CF49-00FC-FA4A-A7D7-F0B14BD6F462}"/>
    <hyperlink ref="AE65" r:id="rId64" xr:uid="{20EBA38C-26C9-BE45-ADA9-214AFEF778AF}"/>
    <hyperlink ref="AE66" r:id="rId65" xr:uid="{DE6AA82B-CC97-4742-9B33-8E5AF288D048}"/>
    <hyperlink ref="AE67" r:id="rId66" xr:uid="{7FABC2F8-227B-6247-90A6-50E9719C428B}"/>
    <hyperlink ref="AE68" r:id="rId67" xr:uid="{71F4B32A-6942-5143-BBEE-A57E7F30C057}"/>
    <hyperlink ref="AE69" r:id="rId68" xr:uid="{81A8324A-D97C-BC4A-B9E7-AC53894DEECF}"/>
    <hyperlink ref="AE70" r:id="rId69" xr:uid="{D0BC8B49-3EA9-7040-B972-9D3D23440708}"/>
    <hyperlink ref="AE71" r:id="rId70" xr:uid="{063A14F4-06F0-BD4D-8CE9-1003C6C020DE}"/>
    <hyperlink ref="AE72" r:id="rId71" xr:uid="{49930118-95BC-1F42-ABD8-3B2A17536361}"/>
    <hyperlink ref="AE73" r:id="rId72" xr:uid="{9E8C6C57-7A76-C64E-9AEA-4DBF414AB3A4}"/>
    <hyperlink ref="AE74" r:id="rId73" xr:uid="{753D6824-B1FA-F348-8DDD-5621CAFCD242}"/>
    <hyperlink ref="AE75" r:id="rId74" xr:uid="{B801D258-8467-0C44-9AD9-49AE4EB5568F}"/>
    <hyperlink ref="AE76" r:id="rId75" xr:uid="{0C91C026-E7C1-014A-A03B-E26BDC68FEAE}"/>
    <hyperlink ref="AE77" r:id="rId76" xr:uid="{0ECB1151-8492-FF49-BC4A-BAA7A372C6F0}"/>
    <hyperlink ref="AE78" r:id="rId77" xr:uid="{0F3BD1F4-A157-4B41-A296-6B1405E6FCE7}"/>
    <hyperlink ref="AE79" r:id="rId78" xr:uid="{5B20B72B-ACFB-E248-BA87-7D51868131B1}"/>
    <hyperlink ref="AE80" r:id="rId79" xr:uid="{D08B7806-3588-9F41-A488-1F106DDCCBB3}"/>
    <hyperlink ref="AE81" r:id="rId80" xr:uid="{434652FD-8816-8E4A-BE8D-F955C4D1402A}"/>
    <hyperlink ref="AE82" r:id="rId81" xr:uid="{17EE185B-ECAA-2649-A1F0-89A14E8A348F}"/>
    <hyperlink ref="AE83" r:id="rId82" xr:uid="{294FB4B5-0129-384B-B75D-708894AD85A4}"/>
    <hyperlink ref="AE84" r:id="rId83" xr:uid="{CBCBC953-5727-3C4A-BF2F-921BC7BCA728}"/>
    <hyperlink ref="AE85" r:id="rId84" xr:uid="{D9A9B2D6-72C5-5345-BFE7-8265149ACEF6}"/>
    <hyperlink ref="AE86" r:id="rId85" xr:uid="{1B62D396-9BD0-DF42-8AFC-5049B5C53FB7}"/>
    <hyperlink ref="AE87" r:id="rId86" xr:uid="{9655FB6B-6FF3-9D41-AFAB-249BF7B8408D}"/>
    <hyperlink ref="AE88" r:id="rId87" xr:uid="{7A5C8DC4-CEDF-6940-B13F-AF4BBE6140DC}"/>
    <hyperlink ref="AE89" r:id="rId88" xr:uid="{C09C9871-4ACC-FD43-ABBB-00EFB681F15C}"/>
    <hyperlink ref="AE90" r:id="rId89" xr:uid="{58BC549F-FBF8-5145-A57C-B7EDDE8B1E9F}"/>
    <hyperlink ref="AE91" r:id="rId90" xr:uid="{F9C7E761-A6AF-FE4F-9925-D6114DF53120}"/>
    <hyperlink ref="AE92" r:id="rId91" xr:uid="{2ABAE7B5-893A-6A43-AFE3-5F86E664FAAE}"/>
    <hyperlink ref="AE93" r:id="rId92" xr:uid="{C62D2CD0-346C-0247-857C-BB8150E90DB8}"/>
    <hyperlink ref="AE94" r:id="rId93" xr:uid="{50F6851F-C3F2-5542-AA29-C299C3BAB5D6}"/>
    <hyperlink ref="AE95" r:id="rId94" xr:uid="{E945BCAF-64E8-1B45-9B01-00D4954F5DC0}"/>
    <hyperlink ref="AE96" r:id="rId95" xr:uid="{41D15245-4B49-BD45-BAD4-7803775A95C2}"/>
    <hyperlink ref="AE97" r:id="rId96" xr:uid="{2292C9B2-B244-0245-8DF0-0E00E05F7B93}"/>
    <hyperlink ref="AE98" r:id="rId97" xr:uid="{5E35677F-8FD0-A24F-B5B6-65CA530085A9}"/>
    <hyperlink ref="AE99" r:id="rId98" xr:uid="{B91E3028-31CB-3E45-9A4A-2835A8851E77}"/>
    <hyperlink ref="AE100" r:id="rId99" xr:uid="{2DCF624E-2FE8-3145-97BB-141002920113}"/>
    <hyperlink ref="AE101" r:id="rId100" xr:uid="{042E1BAA-BB1D-654D-91D2-B2F1869AA97C}"/>
    <hyperlink ref="AE103" r:id="rId101" xr:uid="{BBB52CA0-83E1-B444-A618-377EC4E1EE7D}"/>
    <hyperlink ref="AE104" r:id="rId102" xr:uid="{CDFDF805-6A57-884B-80A4-50E5F4C8AB7F}"/>
    <hyperlink ref="AE105" r:id="rId103" xr:uid="{1B8B0168-062D-404C-A848-BC536EA14223}"/>
    <hyperlink ref="AE106" r:id="rId104" xr:uid="{1784F78F-9D4C-E346-B9E9-44265D3F8511}"/>
    <hyperlink ref="AE107" r:id="rId105" xr:uid="{3D293168-6C2B-7542-A48D-3F2C916BB718}"/>
    <hyperlink ref="AE108" r:id="rId106" xr:uid="{AC549502-A032-9F45-A97E-ECE9F20088BF}"/>
    <hyperlink ref="AE109" r:id="rId107" xr:uid="{EE5F4B22-CAA6-E143-B57A-D6AE78BA8ACE}"/>
    <hyperlink ref="AE110" r:id="rId108" xr:uid="{8D1D15A6-E098-6541-81D4-A7C3C9D8C358}"/>
    <hyperlink ref="AE111" r:id="rId109" xr:uid="{5EB7BE23-FBD7-9C4E-95A4-06F60C994434}"/>
    <hyperlink ref="AE112" r:id="rId110" xr:uid="{45511E4B-0389-E14E-8CAF-AB651607DFD2}"/>
    <hyperlink ref="AE113" r:id="rId111" xr:uid="{B4888BDC-C393-1D40-916A-EAB4CA4539B9}"/>
    <hyperlink ref="AE114" r:id="rId112" xr:uid="{30C51658-E18A-3D42-ABFE-883332F6629F}"/>
    <hyperlink ref="AE115" r:id="rId113" xr:uid="{3867AAEC-DFED-044C-83CD-B236DEB73A5B}"/>
    <hyperlink ref="AE116" r:id="rId114" xr:uid="{5F3AD2D1-F860-F04B-A665-1227554B590C}"/>
    <hyperlink ref="AE117" r:id="rId115" xr:uid="{07F54A44-6B91-354A-8F17-DC9F84E20475}"/>
    <hyperlink ref="AE118" r:id="rId116" xr:uid="{E933B7BD-E172-2444-9A56-01C172157DDE}"/>
    <hyperlink ref="AE119" r:id="rId117" xr:uid="{71EF21C5-B5F9-0E48-BA3C-B99934256124}"/>
    <hyperlink ref="AE120" r:id="rId118" xr:uid="{495CA5F2-C962-2D4F-BFF7-81888F2CA9DE}"/>
    <hyperlink ref="AE121" r:id="rId119" xr:uid="{86531343-0489-854D-AB39-538830A8710B}"/>
    <hyperlink ref="AE122" r:id="rId120" xr:uid="{E139DE85-2008-504A-989B-B848529E3498}"/>
    <hyperlink ref="AE123" r:id="rId121" xr:uid="{9C07B505-5DCB-D149-B2FB-3DD7DBFAB30F}"/>
    <hyperlink ref="AE124" r:id="rId122" xr:uid="{82A35FEE-9B01-8A41-BB66-C23D06FC82E4}"/>
    <hyperlink ref="AE125" r:id="rId123" xr:uid="{00E3F8AF-7034-8C4C-891C-077113DA1EC7}"/>
    <hyperlink ref="AE126" r:id="rId124" xr:uid="{96037533-C9EB-7E44-9512-C108B712D4A5}"/>
    <hyperlink ref="AE127" r:id="rId125" xr:uid="{F6B32243-1FD9-144E-84E5-454AEBAD1CCE}"/>
    <hyperlink ref="AE128" r:id="rId126" xr:uid="{6121704B-ACEF-8747-8108-52947EF465BF}"/>
    <hyperlink ref="AE129" r:id="rId127" xr:uid="{F45739C3-D191-2C43-9861-1D707A1F62F0}"/>
    <hyperlink ref="AE130" r:id="rId128" xr:uid="{D9ED499F-E2ED-BD4C-B3F9-A2E63E95391A}"/>
    <hyperlink ref="AE131" r:id="rId129" xr:uid="{7FE398D2-FF5C-7546-98FD-DF7DB0CC77A5}"/>
    <hyperlink ref="AE132" r:id="rId130" xr:uid="{0ABF1603-7C13-9A48-ACFC-929D777331AC}"/>
    <hyperlink ref="AE133" r:id="rId131" xr:uid="{1EABB6C7-FB81-0843-A4F1-B030D1C4C75E}"/>
    <hyperlink ref="AE134" r:id="rId132" xr:uid="{82B8FFE5-45A1-7E4D-8449-5014115B71AE}"/>
    <hyperlink ref="AE135" r:id="rId133" xr:uid="{D5B4C50B-91F7-914B-B903-265A7053ACBF}"/>
    <hyperlink ref="AE136" r:id="rId134" xr:uid="{1281F810-5464-014B-BAD1-AB83884F53EE}"/>
    <hyperlink ref="AE137" r:id="rId135" xr:uid="{12150C48-423B-1742-8C69-C4932B095A1E}"/>
    <hyperlink ref="AE138" r:id="rId136" xr:uid="{B71E26C2-A326-FA4A-8393-CD21D0F3F240}"/>
    <hyperlink ref="AE139" r:id="rId137" xr:uid="{4784FF9D-B8FB-E14C-A93F-176A691B5AAC}"/>
    <hyperlink ref="AE140" r:id="rId138" xr:uid="{B9A26B62-599A-C04E-BCF1-865D7CFA28F8}"/>
    <hyperlink ref="AE141" r:id="rId139" xr:uid="{96BE7F00-A579-F54D-AD20-1F633A29C755}"/>
    <hyperlink ref="AE142" r:id="rId140" xr:uid="{A020E4D1-9C2F-4D4A-A21D-916A3AE258F4}"/>
    <hyperlink ref="AE143" r:id="rId141" xr:uid="{C7E133E2-B07F-C148-8258-2234A6285863}"/>
    <hyperlink ref="AE145" r:id="rId142" xr:uid="{68F70B18-B9F8-084E-A3F0-AAE0998BE51A}"/>
    <hyperlink ref="AE146" r:id="rId143" xr:uid="{A5BC7693-46B4-A746-B208-529EC4DBCC0F}"/>
    <hyperlink ref="AE147" r:id="rId144" xr:uid="{3325BE98-CE50-9A4C-88F3-67AF9C7C04DA}"/>
    <hyperlink ref="AE148" r:id="rId145" xr:uid="{CE1E9D82-C2C5-2D46-9FD6-BB06FB18606B}"/>
    <hyperlink ref="AE149" r:id="rId146" xr:uid="{7753F096-F3A2-5D42-B19A-75A0071AC8EA}"/>
    <hyperlink ref="AE150" r:id="rId147" xr:uid="{AD629A76-AC28-E348-B6C5-F97B6C6089BE}"/>
    <hyperlink ref="AE151" r:id="rId148" xr:uid="{41433A79-A403-E54E-BDBB-17A48CAF63B7}"/>
    <hyperlink ref="AE152" r:id="rId149" xr:uid="{9401A55B-EE94-894D-A539-A3C457A3451B}"/>
    <hyperlink ref="AE153" r:id="rId150" xr:uid="{0A282A78-4891-064B-872F-4595A2532F1F}"/>
    <hyperlink ref="AE154" r:id="rId151" xr:uid="{15110CB1-40B6-CA44-8188-7757A664E978}"/>
    <hyperlink ref="AE155" r:id="rId152" xr:uid="{6F453830-21E5-6242-955A-3E0193231275}"/>
    <hyperlink ref="AE156" r:id="rId153" xr:uid="{EFBC8D4B-B3B7-3445-A2EB-FB03E61CD2B7}"/>
    <hyperlink ref="AE157" r:id="rId154" xr:uid="{36FBEFE2-F380-B942-BDEC-B5353D0B3B2D}"/>
    <hyperlink ref="AE158" r:id="rId155" xr:uid="{27AE8D97-C731-F74B-A4C7-96837A979F39}"/>
    <hyperlink ref="AE159" r:id="rId156" xr:uid="{5D9513D4-2073-CA4B-A941-06786F526567}"/>
    <hyperlink ref="AE160" r:id="rId157" xr:uid="{9DEC530C-B561-A640-A227-8C6E8568F50C}"/>
    <hyperlink ref="AE161" r:id="rId158" xr:uid="{C00BF224-840F-A04B-BC32-1C21B0E9BCDB}"/>
    <hyperlink ref="AE162" r:id="rId159" xr:uid="{EE072A37-0170-F345-A3C5-2F89063A9C3B}"/>
    <hyperlink ref="AE163" r:id="rId160" xr:uid="{A0266D0B-5DED-5A4A-965B-F1877D6D3481}"/>
    <hyperlink ref="AE164" r:id="rId161" xr:uid="{64D04570-5140-9443-BE3F-D6F1D29DC735}"/>
    <hyperlink ref="AE165" r:id="rId162" xr:uid="{FC66A78E-586A-9A4A-A458-7F14ED353009}"/>
    <hyperlink ref="AE166" r:id="rId163" xr:uid="{750932F6-1A54-F845-BCC1-D7D2869892BC}"/>
    <hyperlink ref="AE167" r:id="rId164" xr:uid="{6DAF3943-4636-A649-BA22-DB27FAA04A0D}"/>
    <hyperlink ref="AE168" r:id="rId165" xr:uid="{67BDFCA1-5FD1-354E-8649-FBC5C4FA005E}"/>
    <hyperlink ref="AE169" r:id="rId166" xr:uid="{105557F1-C0DC-3D42-816E-478DFF29B310}"/>
    <hyperlink ref="AE170" r:id="rId167" xr:uid="{9822F29A-87EB-2B4B-8465-4015B2CCB49A}"/>
    <hyperlink ref="AE171" r:id="rId168" xr:uid="{5001453E-CCF5-F54F-A5E7-BE18EBD17A80}"/>
    <hyperlink ref="AE172" r:id="rId169" xr:uid="{805A258B-79B8-D140-81B7-60C940024726}"/>
    <hyperlink ref="AE173" r:id="rId170" xr:uid="{673E45AF-DF79-9D47-A3EC-6A2B84D0E7DF}"/>
    <hyperlink ref="AE174" r:id="rId171" xr:uid="{BFB2BF68-12D1-344E-B5E7-25F49B0B4B07}"/>
    <hyperlink ref="AE175" r:id="rId172" xr:uid="{8B4EB427-D9B4-EC49-BD00-3F6B6733B36E}"/>
    <hyperlink ref="AE176" r:id="rId173" xr:uid="{C0420834-15B6-EA41-8384-0B76376165E8}"/>
    <hyperlink ref="AE177" r:id="rId174" xr:uid="{20A3ACC1-ED19-FC4E-B1EB-8AB69F48FE69}"/>
    <hyperlink ref="AE178" r:id="rId175" xr:uid="{7CA075B1-F03D-7B46-8D3F-5C1DBE38B065}"/>
    <hyperlink ref="AE179" r:id="rId176" xr:uid="{F17239D6-9704-784D-8E6F-D91AC6504932}"/>
    <hyperlink ref="AE180" r:id="rId177" xr:uid="{07755C46-54D7-6C4F-8B1D-5680BA923199}"/>
    <hyperlink ref="AE181" r:id="rId178" xr:uid="{F3B7DCCB-9CE4-DC48-99A4-44C1E9BDC094}"/>
    <hyperlink ref="AE182" r:id="rId179" xr:uid="{B9B662C4-D32E-4240-8A5B-027DBC2CD718}"/>
    <hyperlink ref="AE183" r:id="rId180" xr:uid="{0C01E5B4-1368-D44B-AD15-EB2768F31224}"/>
    <hyperlink ref="AE184" r:id="rId181" xr:uid="{86C5C88A-3B46-FE49-8B6F-25CB04EB779F}"/>
    <hyperlink ref="AE185" r:id="rId182" xr:uid="{B43D37C2-D40B-B94D-8206-30CEF0B71A78}"/>
    <hyperlink ref="AE186" r:id="rId183" xr:uid="{66961AB1-0CCC-EF4F-8710-7A3170BD943E}"/>
    <hyperlink ref="AE187" r:id="rId184" xr:uid="{6183DAFA-4319-CE4B-A6D3-F39B5E51DB80}"/>
    <hyperlink ref="AE188" r:id="rId185" xr:uid="{01589163-BA87-C143-817D-719F61B7925D}"/>
    <hyperlink ref="AE189" r:id="rId186" xr:uid="{8F0A4E54-2828-9D4D-8A8F-348FBD095B41}"/>
    <hyperlink ref="AE190" r:id="rId187" xr:uid="{F52ECC5E-965B-774B-9853-3D94D586AF87}"/>
    <hyperlink ref="AE191" r:id="rId188" xr:uid="{260DD574-0E25-B049-A30C-C174DBA167A9}"/>
    <hyperlink ref="AE192" r:id="rId189" xr:uid="{6BEFE9A8-EEAD-F149-8956-D97C501CEC0C}"/>
    <hyperlink ref="AE193" r:id="rId190" xr:uid="{A8E79E32-A960-8A42-B083-418CEBA8C568}"/>
    <hyperlink ref="AE194" r:id="rId191" xr:uid="{B2BB5CDB-94D2-8745-95FF-CFF88336505B}"/>
    <hyperlink ref="AE195" r:id="rId192" xr:uid="{F7BB8771-038F-774F-B5AD-DB8A5B4A6E52}"/>
    <hyperlink ref="AE196" r:id="rId193" xr:uid="{00546BC0-340C-9743-BDB2-EFADEC08E049}"/>
    <hyperlink ref="AE197" r:id="rId194" xr:uid="{9305FE95-45CB-1D44-B3CB-5B1603E93EA3}"/>
    <hyperlink ref="AE198" r:id="rId195" xr:uid="{F6ED7AFF-2974-404D-A242-BFEE4C509671}"/>
    <hyperlink ref="AE199" r:id="rId196" xr:uid="{F49FD4D2-2BC5-E545-9F62-CEEFD99058BF}"/>
    <hyperlink ref="AE200" r:id="rId197" xr:uid="{F3AA0D3E-A5BE-914C-8D4A-172C63262857}"/>
    <hyperlink ref="AE201" r:id="rId198" xr:uid="{D51B4F67-054A-4741-AF49-380272C379B2}"/>
    <hyperlink ref="AE202" r:id="rId199" xr:uid="{DCB24FA5-65A2-754E-886E-8C010453F0CE}"/>
    <hyperlink ref="AE203" r:id="rId200" xr:uid="{D7C3C165-BC44-3546-8132-C77B5EA60837}"/>
    <hyperlink ref="AE204" r:id="rId201" xr:uid="{7AD51398-1C90-D74A-BCA3-A67C6DC24E56}"/>
    <hyperlink ref="AE205" r:id="rId202" xr:uid="{B84BFBAD-F54D-2340-8971-5B2AC379C8CE}"/>
    <hyperlink ref="AE206" r:id="rId203" xr:uid="{C7898B31-7470-914D-A85F-F204B32A95ED}"/>
    <hyperlink ref="AE207" r:id="rId204" xr:uid="{DB4A6F24-5582-7E4F-B65A-06BF5F9A354A}"/>
    <hyperlink ref="AE208" r:id="rId205" xr:uid="{27633314-C96A-C540-9956-F3BEA77869E4}"/>
    <hyperlink ref="AE209" r:id="rId206" xr:uid="{33A943AD-9CF7-3249-B890-0FAC357C0ADE}"/>
    <hyperlink ref="AE210" r:id="rId207" xr:uid="{52813EE1-577A-8548-9B2D-E6453FE1165B}"/>
    <hyperlink ref="AE211" r:id="rId208" xr:uid="{93E1BC27-499E-CC46-9274-660477AF3B5B}"/>
    <hyperlink ref="AE212" r:id="rId209" xr:uid="{EE6900A3-0098-B142-B43C-E6E3A915A4BD}"/>
    <hyperlink ref="AE213" r:id="rId210" xr:uid="{E0EA3A09-1905-FE41-84D5-D20EC3AEA229}"/>
    <hyperlink ref="AE214" r:id="rId211" xr:uid="{6B22B5ED-1D03-C944-81D1-B668238B6882}"/>
    <hyperlink ref="AE215" r:id="rId212" xr:uid="{80149885-272E-8941-B890-CCEAB5EB3FAE}"/>
    <hyperlink ref="AE216" r:id="rId213" xr:uid="{9A5E97BC-3F19-244C-9376-8523A90EBC4A}"/>
    <hyperlink ref="AE217" r:id="rId214" xr:uid="{4C340576-664A-B34E-8144-20C232A8C3AE}"/>
    <hyperlink ref="AE218" r:id="rId215" xr:uid="{7DB550E9-5B8C-A34E-96C4-0C63C93FED40}"/>
    <hyperlink ref="AE219" r:id="rId216" xr:uid="{42D2F0D4-9425-7244-B5EA-ED44A5F4A719}"/>
    <hyperlink ref="AE220" r:id="rId217" xr:uid="{C1D66EDA-F2A4-A841-A929-0A6D8AA142F9}"/>
    <hyperlink ref="AE221" r:id="rId218" xr:uid="{06EC5C4E-E633-8247-9BA9-DD9CF2D93B14}"/>
    <hyperlink ref="AE222" r:id="rId219" xr:uid="{E08CFA82-A452-154C-A74D-E6483563ABDF}"/>
    <hyperlink ref="AE223" r:id="rId220" xr:uid="{1C5C5D8B-2A4F-9C41-8C56-072267F25922}"/>
    <hyperlink ref="AE224" r:id="rId221" xr:uid="{547AC3C0-C045-5A4F-9922-009FCF342B3F}"/>
    <hyperlink ref="AE225" r:id="rId222" xr:uid="{0F7826EB-9BA2-CE4D-8A4B-ADC0B9FD1FE6}"/>
    <hyperlink ref="AE226" r:id="rId223" xr:uid="{B91A04D6-A0C9-6E40-A4B6-D4441D8616C8}"/>
    <hyperlink ref="AE227" r:id="rId224" xr:uid="{C60997EF-2583-5B41-BAC9-1F22296C7E00}"/>
    <hyperlink ref="AE228" r:id="rId225" xr:uid="{ECE79577-CD77-CC4E-916C-98172F2EFB8E}"/>
    <hyperlink ref="AE229" r:id="rId226" xr:uid="{D21991FE-2167-CB40-831F-648E6D89534D}"/>
    <hyperlink ref="AE230" r:id="rId227" xr:uid="{571A6996-6F3E-9241-A812-D06A13F5127E}"/>
    <hyperlink ref="AE231" r:id="rId228" xr:uid="{6BC5F48C-D8BD-444A-9E32-7925D51FD66D}"/>
    <hyperlink ref="AE232" r:id="rId229" xr:uid="{2DD250A8-AE80-EA4D-B554-5AAC1F843D0B}"/>
    <hyperlink ref="AE233" r:id="rId230" xr:uid="{EFDCBDCF-AF61-3546-99B0-8AB74F4F8F1E}"/>
    <hyperlink ref="AE234" r:id="rId231" xr:uid="{28CDCDAF-1473-0544-8A01-8CE22CD12C11}"/>
    <hyperlink ref="AE235" r:id="rId232" xr:uid="{7DF8DAE8-DB59-F44A-AE98-C464B95287C8}"/>
    <hyperlink ref="AE236" r:id="rId233" xr:uid="{AEDC6F72-D212-4847-B2B1-C74CCC6B59F5}"/>
    <hyperlink ref="AE237" r:id="rId234" xr:uid="{17DC8CC1-465D-9F43-AF87-2573103637D2}"/>
    <hyperlink ref="AE238" r:id="rId235" xr:uid="{1516E5CD-9C0E-A645-BC5D-ED8EA2A481EA}"/>
    <hyperlink ref="AE239" r:id="rId236" xr:uid="{0FC7E1FD-4132-1545-B2C4-463B4DC832F6}"/>
    <hyperlink ref="AE240" r:id="rId237" xr:uid="{A1560638-ACC4-674E-9A3F-8C28DE67D16C}"/>
    <hyperlink ref="AE241" r:id="rId238" xr:uid="{84AE226E-2286-8B42-98D9-EB7BF6B93FA2}"/>
    <hyperlink ref="AE242" r:id="rId239" xr:uid="{18205412-CACC-6F45-B17C-4D215D7D59BC}"/>
    <hyperlink ref="AE243" r:id="rId240" xr:uid="{DA8A65BC-2372-0E48-8450-C605D7D06F64}"/>
    <hyperlink ref="AE244" r:id="rId241" xr:uid="{FFAE49CC-B5E8-8A4A-AC94-3707982C00E4}"/>
    <hyperlink ref="AE245" r:id="rId242" xr:uid="{2345F05A-355F-7D44-B8B5-1179CECBCD73}"/>
    <hyperlink ref="AE247" r:id="rId243" xr:uid="{3749586A-A919-8043-97C8-723640A7D312}"/>
    <hyperlink ref="AE248" r:id="rId244" xr:uid="{16C39E29-EDED-9841-9482-010D579B021B}"/>
    <hyperlink ref="AE249" r:id="rId245" xr:uid="{B35CBEE3-4395-6849-8E8F-FB2A0506DD25}"/>
    <hyperlink ref="AE250" r:id="rId246" xr:uid="{493410A6-C6FA-9A40-8425-280515BCFB2B}"/>
    <hyperlink ref="AE251" r:id="rId247" xr:uid="{7F034379-52BE-774B-9B29-7858CBE7B0D6}"/>
    <hyperlink ref="AE252" r:id="rId248" xr:uid="{D44E3601-D71E-F444-8CCD-5CE8D1C74065}"/>
    <hyperlink ref="AE254" r:id="rId249" xr:uid="{81BA40AB-29C9-C24A-B5CD-70D58A7D0C89}"/>
    <hyperlink ref="AE255" r:id="rId250" xr:uid="{97AD8CCC-4B58-D741-8C65-B9B58BC96177}"/>
    <hyperlink ref="AE256" r:id="rId251" xr:uid="{15ABB187-8DF2-EF44-A21D-1AD1FAC132F8}"/>
    <hyperlink ref="AE259" r:id="rId252" xr:uid="{ADB4F986-C99E-0A41-B630-F80C16C4E0AC}"/>
    <hyperlink ref="AE260" r:id="rId253" xr:uid="{0A1A97E0-E583-1D40-B74E-5D4044C62F80}"/>
    <hyperlink ref="AE261" r:id="rId254" location="%E4%BA%8C%E6%9C%9F%E5%B7%A5%E7%A8%8B" xr:uid="{F9BC4A61-700D-2249-8DC1-419BD22B1624}"/>
    <hyperlink ref="AE262" r:id="rId255" xr:uid="{18DA93DF-B34C-794A-B87F-B28399B11AED}"/>
    <hyperlink ref="AE263" r:id="rId256" xr:uid="{47543928-F9F0-844D-8B74-4151DACCDA9D}"/>
    <hyperlink ref="AE264" r:id="rId257" xr:uid="{C6F826A5-495E-6340-B770-C5ADF278E247}"/>
    <hyperlink ref="AE265" r:id="rId258" xr:uid="{912AEC68-71B1-594D-8E08-2679DC3EAA58}"/>
    <hyperlink ref="AE266" r:id="rId259" xr:uid="{9F68FBE6-6EF3-254B-8ABE-F4534BE3F4F6}"/>
    <hyperlink ref="AE267" r:id="rId260" xr:uid="{5CBE9684-C2D9-1640-B943-74FD845B6DFB}"/>
    <hyperlink ref="AE268" r:id="rId261" xr:uid="{5626EDDD-EA79-384D-B907-117020E7ABF6}"/>
    <hyperlink ref="AE269" r:id="rId262" xr:uid="{4A65B000-4BB5-8242-9A2B-A9EEE157BE57}"/>
    <hyperlink ref="AE270" r:id="rId263" xr:uid="{E01C6751-6A52-3F4B-B3CF-5410EAF47E06}"/>
    <hyperlink ref="AE271" r:id="rId264" xr:uid="{6C7E73A0-8792-0B4D-B8EE-4A18D9973508}"/>
    <hyperlink ref="AE272" r:id="rId265" xr:uid="{AECD25FE-06E6-B749-AF04-728716BC4E66}"/>
    <hyperlink ref="AE273" r:id="rId266" xr:uid="{9CE4F191-5F1D-0C45-8B55-502247C72E1E}"/>
    <hyperlink ref="AE274" r:id="rId267" xr:uid="{BFBEB6F1-D725-9F45-AFA8-0729DFAE55E2}"/>
    <hyperlink ref="AE275" r:id="rId268" xr:uid="{E09139B2-4FA5-9941-BB13-D39AB3278767}"/>
    <hyperlink ref="AE276" r:id="rId269" xr:uid="{116AC05A-339C-C847-8CCD-486EB504CF90}"/>
    <hyperlink ref="AE277" r:id="rId270" xr:uid="{48663C01-BC32-364F-A4B1-4570282E4BE3}"/>
    <hyperlink ref="AE278" r:id="rId271" xr:uid="{32690A46-D183-7B49-8C37-42D0134EDB64}"/>
    <hyperlink ref="AE279" r:id="rId272" xr:uid="{02D6BEB1-0332-DB40-81E8-78B49CBD0C08}"/>
    <hyperlink ref="AE280" r:id="rId273" xr:uid="{302F82BC-9F6A-B547-B744-A6E8E3E4E489}"/>
    <hyperlink ref="AF280" r:id="rId274" xr:uid="{DCBC1047-6B1A-924D-A8F8-B4705C2EE3A0}"/>
    <hyperlink ref="AE281" r:id="rId275" xr:uid="{D363DD91-9E9B-844B-B3DC-61F410679D79}"/>
    <hyperlink ref="AE282" r:id="rId276" xr:uid="{ED0696A4-2B8D-DC4C-865E-521D2539220F}"/>
    <hyperlink ref="AE283" r:id="rId277" xr:uid="{F926302D-C506-5A4C-A4EE-C506E85AD8EB}"/>
    <hyperlink ref="AE284" r:id="rId278" xr:uid="{7A20DD3E-D0F8-9643-B823-123B5877F399}"/>
    <hyperlink ref="AE285" r:id="rId279" xr:uid="{486C8731-CEDC-8845-9651-701B1DBC0482}"/>
    <hyperlink ref="AE286" r:id="rId280" xr:uid="{C41B2578-C71E-864C-9CE6-D79C46B77972}"/>
    <hyperlink ref="AE287" r:id="rId281" xr:uid="{464B129E-36B7-BA4A-93CD-4D72857AE5BD}"/>
    <hyperlink ref="AE288" r:id="rId282" xr:uid="{5D6F29A8-5361-8D4D-A760-87EB5620E967}"/>
    <hyperlink ref="AE289" r:id="rId283" xr:uid="{07450D59-7748-5D4C-BF33-3CFE17F36CBB}"/>
    <hyperlink ref="AE291" r:id="rId284" xr:uid="{CA51B407-3960-474F-899F-E635346A39EC}"/>
    <hyperlink ref="AE292" r:id="rId285" xr:uid="{E6470CB4-21FF-3C4A-8480-1B5EC290AC18}"/>
    <hyperlink ref="AE293" r:id="rId286" xr:uid="{6326C0A6-927B-FB4C-AC4D-AA967B2B66A9}"/>
    <hyperlink ref="AE294" r:id="rId287" xr:uid="{4756DDAE-6198-4D46-B731-D0C7F1A956A5}"/>
    <hyperlink ref="AE295" r:id="rId288" xr:uid="{54D4E6C1-7537-A244-B2CB-427BC3E37118}"/>
    <hyperlink ref="AE296" r:id="rId289" xr:uid="{1EF52903-1D1B-C34A-A905-92CF046E06D9}"/>
    <hyperlink ref="AE297" r:id="rId290" xr:uid="{2CFCF819-C3DE-6B4A-A1B8-C9B7B6C6DE1B}"/>
    <hyperlink ref="AE298" r:id="rId291" xr:uid="{0924AC2D-C257-6242-A9A5-8280BFD0B98B}"/>
    <hyperlink ref="AE299" r:id="rId292" xr:uid="{AAE90D74-6D52-9649-931B-A564DE99BAB9}"/>
    <hyperlink ref="AF299" r:id="rId293" location="2647" xr:uid="{A28B9BD8-FCA3-B74A-9868-95FF387C5BD6}"/>
    <hyperlink ref="AE301" r:id="rId294" xr:uid="{E1AF71E5-7400-6447-8ACB-3405E98756C9}"/>
    <hyperlink ref="AE305" r:id="rId295" xr:uid="{A974E7C2-014E-A84B-96E6-ACEFC0981E58}"/>
    <hyperlink ref="AE306" r:id="rId296" xr:uid="{A2A3B4E5-4AAB-B74C-A0A4-84550D403CE9}"/>
    <hyperlink ref="AE307" r:id="rId297" xr:uid="{38958C12-497C-434D-8359-159E0407C7B2}"/>
    <hyperlink ref="AE308" r:id="rId298" xr:uid="{B5554DD2-80D2-5E45-ADC8-92F95B138A96}"/>
    <hyperlink ref="AE309" r:id="rId299" xr:uid="{92772BA8-1B2A-E44D-AC15-13A5F2471DEB}"/>
    <hyperlink ref="AE310" r:id="rId300" xr:uid="{FD6289E7-0D30-5844-A3DC-EEE6290BC8BB}"/>
    <hyperlink ref="AE311" r:id="rId301" xr:uid="{63C9FF42-1A6A-DC4E-BD3F-9540D5B1A40F}"/>
    <hyperlink ref="AE312" r:id="rId302" xr:uid="{D4EB12BA-7FF9-AC45-8438-5764FD336767}"/>
    <hyperlink ref="AE313" r:id="rId303" xr:uid="{7DDA10CF-7367-DB46-A9BA-9F6421AE89B0}"/>
    <hyperlink ref="AE314" r:id="rId304" xr:uid="{E3471AB0-A2EA-F347-83BA-303A7C244D62}"/>
    <hyperlink ref="AE316" r:id="rId305" xr:uid="{1801FB67-4DB8-764F-8057-83C8595A5DEB}"/>
    <hyperlink ref="AE319" r:id="rId306" xr:uid="{3061BACD-E69D-B944-87E2-3A8F17EE55A1}"/>
    <hyperlink ref="AE320" r:id="rId307" xr:uid="{0C5EA96F-4570-704A-A2F6-5554918FFCF5}"/>
    <hyperlink ref="AE321" r:id="rId308" xr:uid="{8FFBE7CA-0C2C-0341-B964-4D128E3609E1}"/>
    <hyperlink ref="AE322" r:id="rId309" xr:uid="{97C41A47-C13C-EB46-896C-22AD400707C0}"/>
    <hyperlink ref="AE324" r:id="rId310" xr:uid="{6C689169-8C47-FE4C-9016-A4E7FDB39E31}"/>
    <hyperlink ref="AE325" r:id="rId311" xr:uid="{42504D9D-C890-4945-87CD-78CE98E81020}"/>
    <hyperlink ref="AE326" r:id="rId312" xr:uid="{AB2622BB-AF4D-114B-B9BE-5ABF58B69EC4}"/>
    <hyperlink ref="AE327" r:id="rId313" xr:uid="{F4095B5C-0EA5-F145-A57E-EC6E0FF1E22A}"/>
    <hyperlink ref="AE328" r:id="rId314" location="%E4%B8%89%E6%9C%9F%E5%8F%8A%E5%9B%9B%E6%9C%9F%E5%B7%A5%E7%A8%8B" xr:uid="{54ED0836-6C2E-854F-91A1-660E18264962}"/>
    <hyperlink ref="AE329" r:id="rId315" xr:uid="{BA9F2DE4-4286-224D-BE9E-4678B6A66607}"/>
    <hyperlink ref="AE330" r:id="rId316" xr:uid="{A8394C6A-46DB-7049-B993-1F283F17B24D}"/>
    <hyperlink ref="AE331" r:id="rId317" xr:uid="{5D659737-1363-9D41-900A-DEEFB4ECA369}"/>
    <hyperlink ref="AE332" r:id="rId318" xr:uid="{F2DB0CCC-5D24-924A-85C8-562D80529B52}"/>
    <hyperlink ref="AE334" r:id="rId319" xr:uid="{1546D344-5532-2C4F-9283-0CBE03BCD960}"/>
    <hyperlink ref="AE335" r:id="rId320" xr:uid="{3950B50B-0A94-584D-8846-1E788C016FFA}"/>
    <hyperlink ref="AE336" r:id="rId321" xr:uid="{8D2C366D-057E-5042-A690-E39F53445800}"/>
    <hyperlink ref="AE337" r:id="rId322" xr:uid="{E4A51E32-2277-AB45-90F6-D9A2954165E3}"/>
    <hyperlink ref="AE338" r:id="rId323" xr:uid="{C6DDE0CA-FE41-6047-BADA-CC6C8C984FF1}"/>
    <hyperlink ref="AE339" r:id="rId324" xr:uid="{CB0253F8-4D8E-6241-8BD3-F9D2C3E20C10}"/>
    <hyperlink ref="AE340" r:id="rId325" xr:uid="{92DD60CA-A286-1D4C-9C2A-E02BB9B271BE}"/>
    <hyperlink ref="AE341" r:id="rId326" xr:uid="{C6D2CFD6-546A-E942-861A-F976F155C8A3}"/>
    <hyperlink ref="AE342" r:id="rId327" xr:uid="{0D599E8E-AF62-3447-9B93-7BE35244A4D8}"/>
    <hyperlink ref="AE343" r:id="rId328" xr:uid="{57CCD47A-9748-CC49-A83F-177C97BA0258}"/>
    <hyperlink ref="AE344" r:id="rId329" xr:uid="{0737AD79-26F6-3A4D-A7ED-9DF37E10D51C}"/>
    <hyperlink ref="AE345" r:id="rId330" xr:uid="{1FE7154E-B85D-AB44-BBF6-79E78AFD1F15}"/>
    <hyperlink ref="AE346" r:id="rId331" xr:uid="{B79143C5-6057-214B-97E1-704B6C56BDD2}"/>
    <hyperlink ref="AF346" r:id="rId332" xr:uid="{0BB99012-6266-AE45-8D77-5A52DAD98D7B}"/>
    <hyperlink ref="AE347" r:id="rId333" xr:uid="{B08D6F84-109D-3248-8000-322288503D44}"/>
    <hyperlink ref="AE348" r:id="rId334" xr:uid="{FB0CC63F-1B9A-5843-BCEC-CF5D22BBF98A}"/>
    <hyperlink ref="AE349" r:id="rId335" xr:uid="{857C2C0D-EF64-6642-B430-B3D29FB58D44}"/>
    <hyperlink ref="AE350" r:id="rId336" xr:uid="{820D5E00-F836-8047-BE53-FC2F2065B562}"/>
    <hyperlink ref="AE351" r:id="rId337" xr:uid="{3AAA7552-6ABE-0B47-8C9E-EEDC788C2BBE}"/>
    <hyperlink ref="AE352" r:id="rId338" xr:uid="{0E05FAAA-9C49-B846-90D6-85F64F9C3360}"/>
    <hyperlink ref="AE353" r:id="rId339" xr:uid="{B2BD1CF5-D07C-9E48-8012-587EB2BF909F}"/>
    <hyperlink ref="AE354" r:id="rId340" xr:uid="{70B2B522-6E6C-DB44-BB35-BB6AEAE4D91E}"/>
    <hyperlink ref="AE355" r:id="rId341" xr:uid="{F44A094C-159F-864B-87DD-89880BECF180}"/>
    <hyperlink ref="AE356" r:id="rId342" xr:uid="{4EE5D39B-C112-AD43-A7A8-C9BBDB676212}"/>
    <hyperlink ref="AE357" r:id="rId343" xr:uid="{A6917DF6-5BF0-EE41-908B-409371DA9A9B}"/>
    <hyperlink ref="AE358" r:id="rId344" xr:uid="{80E987C9-8CEB-6E49-94A8-F436BE412230}"/>
    <hyperlink ref="AE359" r:id="rId345" xr:uid="{8E92614F-9F5E-394F-AEF1-6B25C071A3FC}"/>
    <hyperlink ref="AE360" r:id="rId346" xr:uid="{351627DB-5043-2048-AAE5-74E5FD463092}"/>
    <hyperlink ref="AE361" r:id="rId347" xr:uid="{9157B062-4C28-CA47-96E9-E061CF895722}"/>
    <hyperlink ref="AE362" r:id="rId348" xr:uid="{789001D7-948D-A345-A1E4-7FDE22947807}"/>
    <hyperlink ref="AE363" r:id="rId349" xr:uid="{CFF1D527-E6C6-F94B-8A0A-6D349A653B43}"/>
    <hyperlink ref="AE364" r:id="rId350" xr:uid="{666FE246-F8A1-BC49-8109-C3DAA1EC3AD7}"/>
    <hyperlink ref="AE365" r:id="rId351" xr:uid="{B56D014D-75D4-2E44-81E3-D27BE10F4E96}"/>
    <hyperlink ref="AE366" r:id="rId352" xr:uid="{19675BBE-0706-7149-8188-D81EE94E5920}"/>
    <hyperlink ref="AE367" r:id="rId353" xr:uid="{B89C719E-0825-5D40-A9DF-B6919621F575}"/>
    <hyperlink ref="AE368" r:id="rId354" xr:uid="{7F00F995-5046-9E42-8263-4E77AF74593D}"/>
    <hyperlink ref="AE369" r:id="rId355" xr:uid="{24C20F3B-5889-3345-875C-1F819FCD4217}"/>
    <hyperlink ref="AE370" r:id="rId356" xr:uid="{8439CF25-9D94-EA4E-80C1-4DE1A4B6B430}"/>
    <hyperlink ref="AE371" r:id="rId357" xr:uid="{09E8E9C9-BFD0-7442-BFDD-A04AD496D68C}"/>
    <hyperlink ref="AE372" r:id="rId358" xr:uid="{B64B61EF-7C7E-C94B-BB80-A2FF73F1D105}"/>
    <hyperlink ref="AE373" r:id="rId359" xr:uid="{1D49A421-B4D3-9949-8541-8459BD181686}"/>
    <hyperlink ref="AE374" r:id="rId360" xr:uid="{2CE61AB0-A87C-8947-BD79-8DE382DB7914}"/>
    <hyperlink ref="AE375" r:id="rId361" xr:uid="{799C5D27-1FE1-0A42-9255-906553EAF29B}"/>
    <hyperlink ref="AE376" r:id="rId362" xr:uid="{66AEC46C-8C8F-BA4B-95B9-01EEDBA35882}"/>
    <hyperlink ref="AE377" r:id="rId363" xr:uid="{37E2189D-698D-004C-B00F-3EEDD95D91C3}"/>
    <hyperlink ref="AE379" r:id="rId364" xr:uid="{69764CE7-8E8B-374B-BEFB-870440FEB3D7}"/>
    <hyperlink ref="AE380" r:id="rId365" xr:uid="{7B08079C-973D-3145-872C-633B5B5261FB}"/>
    <hyperlink ref="AE381" r:id="rId366" xr:uid="{BD0FCFA1-155A-D946-BD88-E67E6F629CCC}"/>
    <hyperlink ref="AE382" r:id="rId367" xr:uid="{68DEFAD5-F1CA-2E47-826C-4BFA2E0D5C9C}"/>
    <hyperlink ref="AE383" r:id="rId368" xr:uid="{2C2FC4F1-EF0F-944F-A8F1-56D728AB8399}"/>
    <hyperlink ref="AE384" r:id="rId369" xr:uid="{3B317261-328A-4748-B7BE-6B7DD6A8169D}"/>
    <hyperlink ref="AE385" r:id="rId370" xr:uid="{B9260849-0C3E-0844-AF47-421A603D2594}"/>
    <hyperlink ref="AE386" r:id="rId371" xr:uid="{9ADDC886-95F6-C746-B1C4-7DBFA66586B5}"/>
    <hyperlink ref="AE387" r:id="rId372" xr:uid="{863C9ACF-8BCE-B54F-9D11-23861BD65001}"/>
    <hyperlink ref="AE388" r:id="rId373" xr:uid="{289F9935-A886-3441-B9DB-2BAEED896955}"/>
    <hyperlink ref="AE389" r:id="rId374" xr:uid="{04F3F5EB-DE89-5A4E-8ACF-DF934EE6B2CC}"/>
    <hyperlink ref="AE390" r:id="rId375" xr:uid="{63688617-3AEC-9241-97F6-DDD6DC7BC532}"/>
    <hyperlink ref="AE391" r:id="rId376" xr:uid="{E4E1D6E5-4AD3-6D4A-915E-A120516CB4C8}"/>
    <hyperlink ref="AE392" r:id="rId377" xr:uid="{89CCEA81-41AC-894B-BCBD-A5DABD5B17B2}"/>
    <hyperlink ref="AE393" r:id="rId378" xr:uid="{954F92A0-7DBA-7241-BC77-3DC4E4967165}"/>
    <hyperlink ref="AE394" r:id="rId379" xr:uid="{612F092C-8A1C-CE43-B631-F19E2A9CCA53}"/>
    <hyperlink ref="AE395" r:id="rId380" xr:uid="{C7F2382E-C0F0-624E-94C4-4EB7AB12C7A9}"/>
    <hyperlink ref="AE396" r:id="rId381" xr:uid="{8910E3C2-1F53-BA45-ABB2-E61969A911F1}"/>
    <hyperlink ref="AF396" r:id="rId382" xr:uid="{B34B6E51-0B9B-1C47-8EC1-A28E7D20A173}"/>
    <hyperlink ref="AE397" r:id="rId383" xr:uid="{3079B1B9-796E-004F-854B-F960EC5420F6}"/>
    <hyperlink ref="AE398" r:id="rId384" xr:uid="{87C30C5B-72E9-E946-8A59-88CD1160048B}"/>
    <hyperlink ref="AE399" r:id="rId385" xr:uid="{7504C2F7-E815-8149-BCF4-8ABE7810C010}"/>
    <hyperlink ref="AE400" r:id="rId386" xr:uid="{11343E67-DE6B-BA44-A4A7-8F2056FB9218}"/>
    <hyperlink ref="AE401" r:id="rId387" location="reference-[2]-15957490-wrap" xr:uid="{497C373C-3DF6-7943-832B-583C52533187}"/>
    <hyperlink ref="AE402" r:id="rId388" xr:uid="{56590EF3-4142-9944-BDE4-FA529CE38EF4}"/>
    <hyperlink ref="AE403" r:id="rId389" xr:uid="{C1A003D8-9094-2C4B-8660-C766ED919457}"/>
    <hyperlink ref="AE404" r:id="rId390" xr:uid="{03E61835-A275-9747-A452-EA1EAB67194E}"/>
    <hyperlink ref="AE405" r:id="rId391" xr:uid="{2C4E57B4-8732-1B41-9CD8-A9D10336CD30}"/>
    <hyperlink ref="AE406" r:id="rId392" xr:uid="{21A807DF-988B-1F49-87B9-25FC1EF1D7B5}"/>
    <hyperlink ref="AE407" r:id="rId393" xr:uid="{AA74087F-BD75-2841-94DD-40DF282C6405}"/>
    <hyperlink ref="AE408" r:id="rId394" xr:uid="{6D1BC6FB-A3B8-414F-94C6-C6E5AA5B6BA8}"/>
    <hyperlink ref="AE409" r:id="rId395" xr:uid="{D26688F4-B986-844F-91C6-6642CA73659E}"/>
    <hyperlink ref="AE410" r:id="rId396" xr:uid="{FFF81C36-DAB8-124F-A875-424205CCB535}"/>
    <hyperlink ref="AE411" r:id="rId397" xr:uid="{266C34C0-1B12-6849-A263-09C9124CB663}"/>
    <hyperlink ref="AE412" r:id="rId398" xr:uid="{1CE769B9-57E7-3B4E-A9FA-C71BFA2970FD}"/>
    <hyperlink ref="AE413" r:id="rId399" xr:uid="{B260225C-3FDD-DE4E-878D-4F2191A661BE}"/>
    <hyperlink ref="AE414" r:id="rId400" xr:uid="{A658B274-881E-0F40-B982-82E840E67BC5}"/>
    <hyperlink ref="AE415" r:id="rId401" xr:uid="{AEE82D85-86E0-0C48-86FA-253644C91780}"/>
    <hyperlink ref="AE416" r:id="rId402" xr:uid="{6CFFCC58-55EB-8C46-824A-0B616A06F89B}"/>
    <hyperlink ref="AE419" r:id="rId403" xr:uid="{DE384DB0-36BB-1C49-B3FD-459B3C47B42E}"/>
    <hyperlink ref="AE420" r:id="rId404" xr:uid="{2C92CEBA-6894-5848-8286-0DFA02D3CE2E}"/>
    <hyperlink ref="AE421" r:id="rId405" xr:uid="{42BF94FD-BCBB-3C46-A870-A9F3F6564AF0}"/>
    <hyperlink ref="AE422" r:id="rId406" xr:uid="{F6D29ABD-A9F8-3046-9A53-5DCAB29B88D9}"/>
    <hyperlink ref="AE423" r:id="rId407" xr:uid="{FB151526-C768-FD46-A137-0F4780F04092}"/>
    <hyperlink ref="AE424" r:id="rId408" xr:uid="{94289BA7-0773-2A4B-B0A1-36CF9E1DF68F}"/>
    <hyperlink ref="AE425" r:id="rId409" xr:uid="{D57C53D6-20E4-9747-8995-A52DA3B214A3}"/>
    <hyperlink ref="AE426" r:id="rId410" xr:uid="{D6D163E6-8172-F54E-9EDD-F7303CB80834}"/>
    <hyperlink ref="AE427" r:id="rId411" xr:uid="{087B9E3C-A4D0-084A-B1FE-836E0C9FE517}"/>
    <hyperlink ref="AE428" r:id="rId412" xr:uid="{F5EEF516-5F63-AD4C-819F-17E149792FDC}"/>
    <hyperlink ref="AE430" r:id="rId413" xr:uid="{74527DE0-FEE6-7D4C-8BBC-2A4791D609F0}"/>
    <hyperlink ref="AE431" r:id="rId414" xr:uid="{9638B225-82F2-7E4F-B44A-62DF6CDE0CB5}"/>
    <hyperlink ref="AE432" r:id="rId415" xr:uid="{BEAD4952-9C41-D44A-B1A4-3962387A9684}"/>
    <hyperlink ref="AE433" r:id="rId416" xr:uid="{4B4BACC0-345A-2E44-80C8-60E38D20F0C4}"/>
    <hyperlink ref="AE434" r:id="rId417" xr:uid="{95E8462C-8D02-3441-A767-66189141344B}"/>
    <hyperlink ref="AE435" r:id="rId418" xr:uid="{D7CC8DD9-DCBB-7949-8168-E2325A9447CC}"/>
    <hyperlink ref="AE436" r:id="rId419" xr:uid="{C7D5BE82-2E3F-B34F-B062-05064C7514A2}"/>
    <hyperlink ref="AE437" r:id="rId420" xr:uid="{942144E2-7233-834E-BDBA-438B05933C9E}"/>
    <hyperlink ref="AE438" r:id="rId421" xr:uid="{60F34E73-B389-2D49-BEDE-752BB56B0B63}"/>
    <hyperlink ref="AE439" r:id="rId422" xr:uid="{FC3B57D0-2398-7447-AEA1-1BB31CFEF1F7}"/>
    <hyperlink ref="AE440" r:id="rId423" xr:uid="{252F1A90-2BA1-1243-A2FB-8A4FB447652C}"/>
    <hyperlink ref="AE441" r:id="rId424" xr:uid="{BCC43F30-3E26-F94D-A9E4-AD8245D6FCD7}"/>
    <hyperlink ref="AE442" r:id="rId425" xr:uid="{EF161D18-1319-6145-B809-93D62701C0FA}"/>
    <hyperlink ref="AE443" r:id="rId426" xr:uid="{86B6E081-087B-C846-BEAD-82F0D69F63FF}"/>
    <hyperlink ref="AE444" r:id="rId427" xr:uid="{484933BE-3657-B04F-9D4B-13509D319D76}"/>
    <hyperlink ref="AE445" r:id="rId428" xr:uid="{36708DBE-173D-0349-AEA9-E01BD17982FF}"/>
    <hyperlink ref="AE446" r:id="rId429" xr:uid="{E2596D6C-8C2D-A347-83AE-9DE84A5EAAF8}"/>
    <hyperlink ref="AE447" r:id="rId430" xr:uid="{AAED794B-D6E0-7C4A-8A19-B020E637302C}"/>
    <hyperlink ref="AE448" r:id="rId431" xr:uid="{3F30B8B5-C537-5746-B5EE-DAE55C9A0838}"/>
    <hyperlink ref="AE449" r:id="rId432" xr:uid="{67F5173F-C3C6-5D48-8F6D-562A0389DA47}"/>
    <hyperlink ref="AE450" r:id="rId433" xr:uid="{810CCDB3-6F8A-5746-9BF9-D9D38C8E88F8}"/>
    <hyperlink ref="AE451" r:id="rId434" xr:uid="{3BB0C3C5-DE02-B043-9B85-B7F443E483DC}"/>
    <hyperlink ref="AE452" r:id="rId435" xr:uid="{4D6B3B8E-6A11-6549-96B7-92415A1E66F5}"/>
    <hyperlink ref="AE453" r:id="rId436" xr:uid="{5E99F790-627D-1D4A-9EB2-E885A6D67D7C}"/>
    <hyperlink ref="AE454" r:id="rId437" xr:uid="{7F236333-4A62-DF4C-A49D-E99878BD295E}"/>
    <hyperlink ref="AE455" r:id="rId438" xr:uid="{AAB22D3C-CE83-2944-8447-36004D62EDF5}"/>
    <hyperlink ref="AE456" r:id="rId439" xr:uid="{9FCFC972-6887-6745-BE60-7AC6718391BE}"/>
    <hyperlink ref="AE457" r:id="rId440" xr:uid="{A7366B35-21CC-A24E-B507-00C9CF1A90E7}"/>
    <hyperlink ref="AE458" r:id="rId441" xr:uid="{91E0898F-96D9-4547-A946-4AD063ED5F6D}"/>
    <hyperlink ref="AE459" r:id="rId442" xr:uid="{198210E7-1791-744F-8EB6-70FF1D3C059E}"/>
    <hyperlink ref="AE460" r:id="rId443" xr:uid="{F19CCBA6-0D44-8744-8004-77FC87FDE99D}"/>
    <hyperlink ref="AE461" r:id="rId444" xr:uid="{A99A8297-3FF1-444C-BC5C-4319053C8172}"/>
    <hyperlink ref="AE462" r:id="rId445" xr:uid="{CAA95761-CCD2-524A-AA02-8AC56B76AE1F}"/>
    <hyperlink ref="AE463" r:id="rId446" xr:uid="{D0A60151-66FD-3E4A-951A-262B85B5FB26}"/>
    <hyperlink ref="AE464" r:id="rId447" xr:uid="{97F17DC1-74EC-2445-B9F6-265BC34C1388}"/>
    <hyperlink ref="AE465" r:id="rId448" xr:uid="{55BDCA57-7555-A14A-8952-0F11A46AB286}"/>
    <hyperlink ref="AE466" r:id="rId449" xr:uid="{2558691C-F8E8-404E-9344-B58C24734F4F}"/>
    <hyperlink ref="AE467" r:id="rId450" xr:uid="{469D7910-CFA2-9545-888C-B1754E294A47}"/>
    <hyperlink ref="AE468" r:id="rId451" xr:uid="{33B5400B-7CD3-7541-8C9D-C69E0EC38FE1}"/>
    <hyperlink ref="AE469" r:id="rId452" xr:uid="{39467158-880B-DA4F-BB0C-BAEEB90E80F4}"/>
    <hyperlink ref="AE470" r:id="rId453" xr:uid="{9CC47C01-8694-634E-9E4E-C0EEF2CBAEC6}"/>
    <hyperlink ref="AE471" r:id="rId454" xr:uid="{351998F2-24F7-3041-B71C-38862456A8CE}"/>
    <hyperlink ref="AE472" r:id="rId455" xr:uid="{1A7D27FE-DE27-F944-B39C-BA29FE6D31EA}"/>
    <hyperlink ref="AE473" r:id="rId456" xr:uid="{D7306C95-A86C-1E40-BB56-6E77F2C5A44D}"/>
    <hyperlink ref="AE474" r:id="rId457" xr:uid="{8E729269-6087-FE42-B22E-91E5EBC90422}"/>
    <hyperlink ref="AE475" r:id="rId458" xr:uid="{461EA371-85CA-6F41-8826-E43C84529043}"/>
    <hyperlink ref="AE476" r:id="rId459" xr:uid="{ACE55187-499B-B244-B7A0-5D52A288BBD4}"/>
    <hyperlink ref="AE477" r:id="rId460" xr:uid="{023C73CA-B96A-8A47-AF09-92DB36900527}"/>
    <hyperlink ref="AE478" r:id="rId461" xr:uid="{F3614C3B-8552-C745-973E-BF9424FB45DC}"/>
    <hyperlink ref="AE479" r:id="rId462" xr:uid="{5891CD8B-C5A9-DF47-98E0-B2832E1F90B0}"/>
    <hyperlink ref="AE480" r:id="rId463" xr:uid="{E8D7CD3E-2023-E14E-A667-FECCFC35EF6C}"/>
    <hyperlink ref="AE481" r:id="rId464" xr:uid="{DF0BF752-FBDC-4D49-A56B-0DAB02FAFAE6}"/>
    <hyperlink ref="AE482" r:id="rId465" xr:uid="{F3B2490D-4BDD-584F-938D-BDAE509FD2ED}"/>
    <hyperlink ref="AE483" r:id="rId466" xr:uid="{6EBA619E-0D4D-2146-B989-EA344C469D8C}"/>
    <hyperlink ref="AE484" r:id="rId467" xr:uid="{7567EC61-03DA-B34F-A606-123C81C93E4B}"/>
    <hyperlink ref="AE485" r:id="rId468" xr:uid="{8ECE6DE2-7EAC-314E-9014-BCEF633B99A6}"/>
    <hyperlink ref="AE486" r:id="rId469" xr:uid="{EAEAC208-D990-7E43-A5D9-7682E71DEA80}"/>
    <hyperlink ref="AE487" r:id="rId470" xr:uid="{5ED990E6-4936-DF46-BCF7-A1BCFFC96F6B}"/>
    <hyperlink ref="AE488" r:id="rId471" xr:uid="{59E42986-5265-2D41-9BC2-2474140A9A3D}"/>
    <hyperlink ref="AF488" r:id="rId472" xr:uid="{71475ABE-2736-2B45-8981-5C0BBDC27510}"/>
    <hyperlink ref="AE489" r:id="rId473" xr:uid="{DD3588F6-39D7-5241-8E4F-0DFAB1C3C361}"/>
    <hyperlink ref="AE490" r:id="rId474" xr:uid="{3B5E2CDD-DDDC-7E44-B649-230223006A7F}"/>
    <hyperlink ref="AE491" r:id="rId475" xr:uid="{93010D70-64B5-324A-A73F-F8255A346B11}"/>
    <hyperlink ref="AE492" r:id="rId476" location="一期工程" xr:uid="{9265F5E8-27EF-9847-A587-F5144DB79113}"/>
    <hyperlink ref="AE493" r:id="rId477" xr:uid="{D7E07F9F-9116-6143-AFB2-E223DE781464}"/>
    <hyperlink ref="AE494" r:id="rId478" xr:uid="{BB2C72A7-004A-454D-A41E-0935E5FCB98E}"/>
    <hyperlink ref="AE495" r:id="rId479" xr:uid="{444A2D80-57E0-834B-A982-A832C8FD5C60}"/>
    <hyperlink ref="AE496" r:id="rId480" xr:uid="{C1847C88-F323-F84F-8A34-858126D76735}"/>
    <hyperlink ref="AE497" r:id="rId481" xr:uid="{0833AB25-F13E-C046-B255-B0CD8AC12381}"/>
    <hyperlink ref="AE498" r:id="rId482" xr:uid="{126B6D3C-18E1-2D4B-9760-ACD65EAB1B85}"/>
    <hyperlink ref="AF498" r:id="rId483" xr:uid="{3793E743-18D2-7348-8ABC-B7F19FD4952F}"/>
    <hyperlink ref="AE499" r:id="rId484" xr:uid="{F517FADE-63C2-024C-81B5-405A2673519F}"/>
    <hyperlink ref="AE500" r:id="rId485" xr:uid="{D33337E4-A7F3-E14F-B259-C19918C1544D}"/>
    <hyperlink ref="AE501" r:id="rId486" xr:uid="{A3975032-835D-BD42-A38B-2740D61BBC87}"/>
    <hyperlink ref="AE502" r:id="rId487" location="cite_note-4" xr:uid="{05DB1E2A-1C7B-AC4D-9A37-91B6417D7D34}"/>
    <hyperlink ref="AE503" r:id="rId488" xr:uid="{96A78A89-C662-1246-AAA8-B529410EFA62}"/>
    <hyperlink ref="AE504" r:id="rId489" xr:uid="{045D12E4-ABDC-554B-AA65-EC47CE65D0BF}"/>
    <hyperlink ref="AE505" r:id="rId490" xr:uid="{762DB9F2-968D-3D4E-B497-4C3001569693}"/>
    <hyperlink ref="AE506" r:id="rId491" xr:uid="{B800079A-AD77-F94E-AE8A-BEBD94B62ADD}"/>
    <hyperlink ref="AE507" r:id="rId492" location="%E4%BA%8C%E6%9C%9F%E5%B7%A5%E7%A8%8B" xr:uid="{7A63E959-5E63-B84D-84B2-48370AB0CF98}"/>
    <hyperlink ref="AE508" r:id="rId493" xr:uid="{A8685802-BC5F-C949-8067-0DE28B5EB25C}"/>
    <hyperlink ref="AE509" r:id="rId494" xr:uid="{6F82BF99-CA6A-B64D-8C98-5049D4C5A0BA}"/>
    <hyperlink ref="AE510" r:id="rId495" xr:uid="{E0CCE5A0-22B0-104A-BC12-50E5638D22C8}"/>
    <hyperlink ref="AE511" r:id="rId496" xr:uid="{E8EE26A2-BE03-6542-8B06-F3D6199FC67E}"/>
    <hyperlink ref="AE512" r:id="rId497" xr:uid="{EE5D7C13-F639-E844-B425-50DA49570E55}"/>
    <hyperlink ref="AE513" r:id="rId498" xr:uid="{A46E17B5-B6BA-D44A-9AF1-C54FAF18CDE6}"/>
    <hyperlink ref="AE514" r:id="rId499" xr:uid="{416BCE93-A2B8-0C40-8EF0-18B7B1F49564}"/>
    <hyperlink ref="AE515" r:id="rId500" xr:uid="{6CDC615A-6625-5F49-BF09-9046B65A2CFA}"/>
    <hyperlink ref="AE516" r:id="rId501" xr:uid="{7EB9C71C-86BC-B44C-A9BA-79332CAE705A}"/>
    <hyperlink ref="AE517" r:id="rId502" xr:uid="{95399CBC-CD20-CF49-B18B-60661EF56CD0}"/>
    <hyperlink ref="AE518" r:id="rId503" xr:uid="{7D55A109-4342-6F40-8031-5F3C923492A1}"/>
    <hyperlink ref="AE519" r:id="rId504" xr:uid="{5A7D08D2-D8BD-D54C-BF71-918AC9806BE4}"/>
    <hyperlink ref="AE520" r:id="rId505" xr:uid="{D9F239C3-F5AB-8044-AF90-EE8F55A5FB24}"/>
    <hyperlink ref="AE521" r:id="rId506" xr:uid="{612442B1-26C3-C54B-ADCB-8C6AE93C22AE}"/>
    <hyperlink ref="AE524" r:id="rId507" xr:uid="{240F861E-5CF9-504D-B0C3-44F5F17C8A3B}"/>
    <hyperlink ref="AE525" r:id="rId508" xr:uid="{AC9CD7A7-3DCB-204D-A40F-BE6C3EA12216}"/>
    <hyperlink ref="AE526" r:id="rId509" xr:uid="{1894AF7E-66C2-594F-8AA8-1BAAA96DFF33}"/>
    <hyperlink ref="AE527" r:id="rId510" xr:uid="{B7611FBF-93C6-DF42-AEE8-5AF44F861433}"/>
    <hyperlink ref="AE529" r:id="rId511" xr:uid="{65E86B8A-6559-D741-BA17-8FD915642019}"/>
    <hyperlink ref="AE530" r:id="rId512" xr:uid="{35D643A0-11D9-0145-A606-58FE33CE9BB4}"/>
    <hyperlink ref="AE531" r:id="rId513" xr:uid="{E7C5E688-8D95-1544-933C-881B66346FAF}"/>
    <hyperlink ref="AE532" r:id="rId514" xr:uid="{0349D01E-8708-D24E-8600-85230BA2011F}"/>
    <hyperlink ref="AE535" r:id="rId515" xr:uid="{9ACA80F5-DFF2-FF4B-BAC0-59DB3698E8F5}"/>
    <hyperlink ref="AE539" r:id="rId516" xr:uid="{9BF57782-BDD5-9844-B47B-0E97559F4452}"/>
    <hyperlink ref="AE545" r:id="rId517" xr:uid="{B96C3156-044A-2645-820E-DB2F5BA9E0C4}"/>
    <hyperlink ref="AE546" r:id="rId518" xr:uid="{9EE07B6A-4865-D74D-A26B-96252017C626}"/>
    <hyperlink ref="AE547" r:id="rId519" xr:uid="{5D4ACB37-F4E6-9645-A9CC-5E0ADBEE8B2E}"/>
    <hyperlink ref="AE548" r:id="rId520" xr:uid="{8B488177-DE67-EE40-83FC-B4E0973B218A}"/>
    <hyperlink ref="AE550" r:id="rId521" xr:uid="{A38D60AA-112E-8C48-AE7C-657A8B99769F}"/>
    <hyperlink ref="AE551" r:id="rId522" xr:uid="{FE5A6318-9220-E548-A5ED-9118BEAC0795}"/>
    <hyperlink ref="AE552" r:id="rId523" xr:uid="{09ACADBD-1F1A-0E4C-9B1D-22CA26FF3EC4}"/>
    <hyperlink ref="AE553" r:id="rId524" xr:uid="{EFFBAB27-EDEF-2D4A-A775-7F1054FD0D32}"/>
    <hyperlink ref="AE554" r:id="rId525" xr:uid="{B661431C-61BD-F24D-A580-C2090D617C39}"/>
    <hyperlink ref="AE555" r:id="rId526" xr:uid="{C0009458-A4EC-8746-B5E5-E6B3D0384D77}"/>
    <hyperlink ref="AE556" r:id="rId527" xr:uid="{542547C2-0BEA-A240-9979-2860C4BA9CCA}"/>
    <hyperlink ref="AE557" r:id="rId528" xr:uid="{3A3C7EBC-5D34-574F-B8AA-647D6B795550}"/>
    <hyperlink ref="AE558" r:id="rId529" xr:uid="{DBED7A01-95C9-6147-916B-776AEB78CB06}"/>
    <hyperlink ref="AE559" r:id="rId530" xr:uid="{BB8C4D03-C204-E34B-8562-8F2BCA594D12}"/>
    <hyperlink ref="AE560" r:id="rId531" xr:uid="{BA346F88-74F4-1942-8BBA-14DA1D9199DC}"/>
    <hyperlink ref="AE561" r:id="rId532" xr:uid="{C05E61EE-DA75-E94E-8352-98D810607D8E}"/>
    <hyperlink ref="AE562" r:id="rId533" location="%E4%B8%80%E6%9C%9F%E5%B7%A5%E7%A8%8B" xr:uid="{E02AFF9E-F3F8-924E-87B0-52248F348A7F}"/>
    <hyperlink ref="AE563" r:id="rId534" xr:uid="{6E36AE1A-1257-D547-8733-86F121A98E7D}"/>
    <hyperlink ref="AF563" r:id="rId535" xr:uid="{BC032936-C6C0-2447-A3DF-9F21261DBC2F}"/>
    <hyperlink ref="AE564" r:id="rId536" xr:uid="{00752CF7-0A3C-BE49-976F-A7F636743590}"/>
    <hyperlink ref="AE565" r:id="rId537" xr:uid="{64FFFBC2-DEA0-9041-8411-5108C412FB84}"/>
    <hyperlink ref="AE566" r:id="rId538" xr:uid="{5FA11526-22E7-704C-93F4-AE01ED6853C8}"/>
    <hyperlink ref="AE567" r:id="rId539" xr:uid="{0FB8ED6D-8539-A642-BF0B-216F1D4536BB}"/>
    <hyperlink ref="AE568" r:id="rId540" xr:uid="{9D5D1D1E-E608-6342-B046-5F8D914176DF}"/>
    <hyperlink ref="AE569" r:id="rId541" xr:uid="{7F9E4E52-8EBD-B849-A6E5-3B4AEB1AE1EB}"/>
    <hyperlink ref="AE570" r:id="rId542" xr:uid="{980076E4-E2C9-6740-88C3-23B20BC6A69A}"/>
    <hyperlink ref="AE571" r:id="rId543" xr:uid="{ADA83015-3B05-9C47-BBBA-A08CC049AA81}"/>
    <hyperlink ref="AE572" r:id="rId544" xr:uid="{05484575-B979-FF42-8D43-4116ACD813C3}"/>
    <hyperlink ref="AE573" r:id="rId545" xr:uid="{6273D1C7-24AA-914B-878C-475690C9E43E}"/>
    <hyperlink ref="AE586" r:id="rId546" xr:uid="{8154DBBE-6A3A-C549-A55E-06D3A4F85649}"/>
    <hyperlink ref="AE594" r:id="rId547" location=".YW2ctNha4E8.link" xr:uid="{323CCAE2-4619-6E43-BCD4-DFF5D6AE1DA9}"/>
    <hyperlink ref="AE595" r:id="rId548" location=".YW1kGBtofbY.link" xr:uid="{9DF9EE2B-B4FF-A14F-90CB-E0F46D1309FE}"/>
    <hyperlink ref="AE596" r:id="rId549" location=".YW1js87Ueak.link" xr:uid="{8ADBB43A-3BB7-5B47-BC8A-5BB66AF8604F}"/>
    <hyperlink ref="AE597" r:id="rId550" location=".YW423bEbO3o.link" xr:uid="{431364D7-AA15-7F44-99E6-9CAD3F4F475B}"/>
    <hyperlink ref="AE607" r:id="rId551" xr:uid="{500E2F5A-046F-F145-AB8B-65BDAF5DCE6D}"/>
    <hyperlink ref="AE608" r:id="rId552" xr:uid="{7195F7E0-F5AE-CF4A-86C8-D794BBDB1FFC}"/>
    <hyperlink ref="AE609" r:id="rId553" xr:uid="{393DEACB-CB10-C349-AC85-CF30FF5BE7C8}"/>
    <hyperlink ref="AE617" r:id="rId554" xr:uid="{440ADFDE-4B15-394C-9019-D695C15740E9}"/>
    <hyperlink ref="AE619" r:id="rId555" xr:uid="{169C16C9-B236-8940-98FD-5B26C18D243E}"/>
    <hyperlink ref="AE622" r:id="rId556" xr:uid="{39D0340B-E853-6542-BA30-E44F27CFBB3A}"/>
    <hyperlink ref="AE624" r:id="rId557" xr:uid="{9A48578A-F001-0B4C-9400-4C8F341FB498}"/>
    <hyperlink ref="AE625" r:id="rId558" xr:uid="{E2E63AD5-AE79-834A-AA5C-9470BA303608}"/>
    <hyperlink ref="AE626" r:id="rId559" xr:uid="{9BD20734-3059-9F49-B9A4-ED78BB1D6A84}"/>
    <hyperlink ref="AE627" r:id="rId560" xr:uid="{9BCB04EB-4026-1143-B868-54BDCD54092D}"/>
    <hyperlink ref="AE629" r:id="rId561" xr:uid="{21422EF9-921D-9349-97AE-322CD5D07B46}"/>
    <hyperlink ref="AE630" r:id="rId562" xr:uid="{D8AB9EA3-4939-EF43-A1E3-5AB4292C3711}"/>
    <hyperlink ref="AE631" r:id="rId563" xr:uid="{59F61104-091C-604B-B90C-2CB52DEB4D61}"/>
    <hyperlink ref="AE632" r:id="rId564" xr:uid="{A9D2B7D3-D42A-C047-BB48-294C0F122CE6}"/>
    <hyperlink ref="AE633" r:id="rId565" xr:uid="{7FD460C9-10B2-454B-8876-E0E4CCEFDDA5}"/>
    <hyperlink ref="AE634" r:id="rId566" xr:uid="{F14E5A92-33A0-0840-AEDF-F326698220CB}"/>
    <hyperlink ref="AE635" r:id="rId567" xr:uid="{F0904F73-D940-B345-8EF8-5ED9B74118D6}"/>
    <hyperlink ref="AE636" r:id="rId568" xr:uid="{375E328E-957B-B14E-B8AF-084EC39B0D8C}"/>
    <hyperlink ref="AE637" r:id="rId569" xr:uid="{0CA7298F-B9E5-6743-B52E-BA1E10AE6535}"/>
    <hyperlink ref="AE638" r:id="rId570" xr:uid="{06D96C21-D8FD-A549-9693-B6FF18FE65E1}"/>
    <hyperlink ref="AE639" r:id="rId571" xr:uid="{7D4A288D-C3B5-E542-991C-7C39D17E8E3F}"/>
    <hyperlink ref="AE640" r:id="rId572" xr:uid="{02B8E787-DE26-F04B-8F56-1DFC2E70D201}"/>
    <hyperlink ref="AE641" r:id="rId573" xr:uid="{29623B88-6A0F-2B4B-9E19-185243CD0E15}"/>
    <hyperlink ref="AE642" r:id="rId574" xr:uid="{058E2B74-2B78-9047-82D3-EC13C230CCEB}"/>
    <hyperlink ref="AE643" r:id="rId575" xr:uid="{52AD23E6-BE5B-A24B-8C3B-0A06EFCCB3FD}"/>
    <hyperlink ref="AE644" r:id="rId576" xr:uid="{E79FC0E4-0C0C-3844-985B-9FAE1263D4E5}"/>
    <hyperlink ref="AE645" r:id="rId577" xr:uid="{C8AB5D07-FDD6-0242-B980-891A851FD76A}"/>
    <hyperlink ref="AE646" r:id="rId578" xr:uid="{62D2EAFA-1DE9-974A-A862-B74033BD8E07}"/>
    <hyperlink ref="AE647" r:id="rId579" xr:uid="{56C3B841-0683-6B4C-95D3-00771A9918AE}"/>
    <hyperlink ref="AE649" r:id="rId580" xr:uid="{CA2A7499-F55E-664B-A74C-CC07C155CC27}"/>
    <hyperlink ref="AE651" r:id="rId581" xr:uid="{13F562A9-3B30-5B4D-8ADE-9EBB08CF4D1A}"/>
    <hyperlink ref="AE652" r:id="rId582" xr:uid="{AA385204-A25D-4943-98CC-1145E70BB662}"/>
    <hyperlink ref="AE653" r:id="rId583" xr:uid="{CDEE4B93-F431-3444-B9D8-90864A3F41A8}"/>
    <hyperlink ref="AE654" r:id="rId584" xr:uid="{8ADC8BEC-BAAA-7A4D-A0BD-C2EF1176B55B}"/>
    <hyperlink ref="AE655" r:id="rId585" xr:uid="{22B17828-65F9-CC4E-B3B0-01D14AC69880}"/>
    <hyperlink ref="AE656" r:id="rId586" xr:uid="{F18C25AD-F5C6-F74F-A1BF-E5A098ABB426}"/>
    <hyperlink ref="AE657" r:id="rId587" xr:uid="{6BBB9EF2-52BF-8B40-A630-E0F5C7325633}"/>
    <hyperlink ref="AE658" r:id="rId588" xr:uid="{8A151C77-169F-2B44-A567-B3DF0B7A67CC}"/>
    <hyperlink ref="AE659" r:id="rId589" xr:uid="{48546D56-02DB-184D-BE23-AC8A5E60B184}"/>
    <hyperlink ref="AE660" r:id="rId590" xr:uid="{0C1EA80B-32EF-F848-BB7A-899BFC782684}"/>
    <hyperlink ref="AE661" r:id="rId591" xr:uid="{6638CF28-7662-144D-AB1A-C52C0E917FE2}"/>
    <hyperlink ref="AE662" r:id="rId592" xr:uid="{F2BB26D2-523C-994F-BD25-AA404B8451BF}"/>
    <hyperlink ref="AE663" r:id="rId593" xr:uid="{098A5FBB-DC72-1141-8A8E-16F7A3B5D513}"/>
    <hyperlink ref="AE664" r:id="rId594" xr:uid="{EDE1F3F6-CAC3-C445-A9F7-965153206CA4}"/>
    <hyperlink ref="AE665" r:id="rId595" xr:uid="{EBFF52E2-F9E8-9C49-B731-6798E7B9A402}"/>
    <hyperlink ref="AE666" r:id="rId596" xr:uid="{F6AD1529-26EE-3848-95E8-F62B810713FC}"/>
    <hyperlink ref="AE667" r:id="rId597" xr:uid="{53EFDB9E-4E69-A84A-B409-707923C82108}"/>
    <hyperlink ref="AE668" r:id="rId598" xr:uid="{108724CC-84CF-5549-8A4C-48DC8E004095}"/>
    <hyperlink ref="AE669" r:id="rId599" xr:uid="{4D8D6A55-894F-5D42-B760-BD7063A3B780}"/>
    <hyperlink ref="AE670" r:id="rId600" xr:uid="{F2154451-A0DC-6A47-A663-8D3C97E65749}"/>
    <hyperlink ref="AE671" r:id="rId601" xr:uid="{1C1E334E-ACC4-1246-B39E-160433ED6701}"/>
    <hyperlink ref="AE672" r:id="rId602" xr:uid="{D7E27A0E-CA6D-6642-9220-044D68BE3DB0}"/>
    <hyperlink ref="AE673" r:id="rId603" xr:uid="{4C2ED237-62D0-FC4B-B0CA-47B9D536DFEC}"/>
    <hyperlink ref="AE674" r:id="rId604" xr:uid="{B3CBEAC1-E2CC-D744-8198-E6F3E8A7499D}"/>
    <hyperlink ref="AE675" r:id="rId605" xr:uid="{C0564C62-CE4B-8B4F-A882-59B5B1268341}"/>
    <hyperlink ref="AE676" r:id="rId606" xr:uid="{212EAFBA-BB23-614D-9514-7680F23FE4C8}"/>
    <hyperlink ref="AE677" r:id="rId607" xr:uid="{478CD0A4-9742-A94E-995D-098196A69106}"/>
    <hyperlink ref="AE678" r:id="rId608" xr:uid="{C1AC9E6D-D266-5443-A736-93BF8337D152}"/>
    <hyperlink ref="AE679" r:id="rId609" xr:uid="{48FD7960-15B0-4C4C-8976-FC3EE241DC20}"/>
    <hyperlink ref="AF679" r:id="rId610" xr:uid="{C7E4005C-2B78-3F43-A3AA-56A0A80D565A}"/>
    <hyperlink ref="AE680" r:id="rId611" xr:uid="{B659F14F-C00C-6648-BBA5-C671AE4A52E9}"/>
    <hyperlink ref="AE681" r:id="rId612" xr:uid="{5DE4B53E-1B7B-9B45-B6E1-2ACBEA2C18CC}"/>
    <hyperlink ref="AE682" r:id="rId613" xr:uid="{6C5A68A8-B6A1-E345-9AAD-7B3582D3BEEE}"/>
    <hyperlink ref="AE683" r:id="rId614" xr:uid="{55941E1F-B940-CB45-BC03-5D881A811652}"/>
    <hyperlink ref="AE684" r:id="rId615" xr:uid="{5BB1FA97-BB1F-A54F-A5E0-0224714AAE2D}"/>
    <hyperlink ref="AE685" r:id="rId616" xr:uid="{088D24F1-A049-0D4B-852C-4912053DA52E}"/>
    <hyperlink ref="AE686" r:id="rId617" xr:uid="{7713798F-E10B-8F46-A9D4-A08741899508}"/>
    <hyperlink ref="AF686" r:id="rId618" xr:uid="{05721FA6-9F9F-E541-8532-3404C73BA96C}"/>
    <hyperlink ref="AE687" r:id="rId619" xr:uid="{CEAF126A-0B5E-A04E-A3C5-508271D46637}"/>
    <hyperlink ref="AE688" r:id="rId620" xr:uid="{D7FC67D4-9431-F04F-8BC7-D0DCFD761B4C}"/>
    <hyperlink ref="AE689" r:id="rId621" xr:uid="{DCA2805D-F1E7-174B-A4C2-2038EACB111D}"/>
    <hyperlink ref="AE690" r:id="rId622" xr:uid="{6AF90772-39E2-5C49-A10F-C0AC0092EB12}"/>
    <hyperlink ref="AE691" r:id="rId623" xr:uid="{A0C25D0C-6B3A-0B4E-BDDB-D9735FBF8684}"/>
    <hyperlink ref="AE692" r:id="rId624" xr:uid="{72D27F3E-9CCE-2042-BEF6-023D951DBEDD}"/>
    <hyperlink ref="AE693" r:id="rId625" xr:uid="{536B9A88-D15B-E04F-B412-AC7C5DE0ACBB}"/>
    <hyperlink ref="AF693" r:id="rId626" xr:uid="{2289F23D-E102-B04B-8F5A-618141FB409D}"/>
    <hyperlink ref="AE694" r:id="rId627" xr:uid="{3021271C-E384-B04E-BDA6-BE625A903793}"/>
    <hyperlink ref="AE695" r:id="rId628" xr:uid="{D4895183-6A3A-7E48-BFED-73111132338B}"/>
    <hyperlink ref="AE696" r:id="rId629" xr:uid="{969290B9-8280-3743-8F07-FF2FDF216FF6}"/>
    <hyperlink ref="AF696" r:id="rId630" xr:uid="{75CA04D6-7F80-294C-94FB-DAEDEBF5AC7E}"/>
    <hyperlink ref="AG696" r:id="rId631" xr:uid="{79137ECC-5468-B44F-9A37-E117F136C708}"/>
    <hyperlink ref="AE697" r:id="rId632" xr:uid="{CC6A0D26-93A4-3945-A4C9-FB9C59778E45}"/>
    <hyperlink ref="AE698" r:id="rId633" xr:uid="{0D84D5BE-77D7-4E4B-A47F-47FC1F30CDB4}"/>
    <hyperlink ref="AE699" r:id="rId634" xr:uid="{C389A524-9C17-C042-875A-F9EBB2A2BC30}"/>
    <hyperlink ref="AE700" r:id="rId635" xr:uid="{7BDBE0AD-1DE9-6740-A1DD-2FE956C4A2CF}"/>
    <hyperlink ref="AE701" r:id="rId636" xr:uid="{5DC29A20-9248-F344-8263-5427CFDA633D}"/>
    <hyperlink ref="AF701" r:id="rId637" xr:uid="{C455E5A9-7054-6F44-886F-B7EA0DC1330F}"/>
    <hyperlink ref="AE702" r:id="rId638" xr:uid="{7093B596-A343-2B4B-BE04-0573E1D5FEE3}"/>
    <hyperlink ref="AE703" r:id="rId639" xr:uid="{9C849AE5-268F-6844-AD69-B984B8F4C418}"/>
    <hyperlink ref="AE704" r:id="rId640" xr:uid="{596BBFA7-AE1F-FC42-A267-25BE38507580}"/>
    <hyperlink ref="AE705" r:id="rId641" xr:uid="{510C1EFF-B786-EF4B-BB63-1D6AB6AB5FEB}"/>
    <hyperlink ref="AF705" r:id="rId642" xr:uid="{8E73C27C-2FB1-FF48-A6E9-A30D141E2D88}"/>
    <hyperlink ref="AE706" r:id="rId643" xr:uid="{04A673EF-32B3-6F4B-835A-EA091AC957D4}"/>
    <hyperlink ref="AE707" r:id="rId644" xr:uid="{6BEEEA21-479A-2B4A-9D20-695D3314008A}"/>
    <hyperlink ref="AE708" r:id="rId645" xr:uid="{B0E79FD6-AD79-A64D-A907-6254C5CD7FB3}"/>
    <hyperlink ref="AE709" r:id="rId646" xr:uid="{5B87DD06-1DD8-9640-8E85-5297866F32DA}"/>
    <hyperlink ref="AE710" r:id="rId647" xr:uid="{CEA1F476-8E89-DE43-B154-A29A49F61E53}"/>
    <hyperlink ref="AE711" r:id="rId648" xr:uid="{452F7123-BDE6-5D41-A065-F46AED187634}"/>
    <hyperlink ref="AE712" r:id="rId649" xr:uid="{F3CA5F75-EF7F-D14A-B058-07C7D9995C05}"/>
    <hyperlink ref="AE713" r:id="rId650" xr:uid="{708AED11-48E5-C043-9347-80252D0350C7}"/>
    <hyperlink ref="AE714" r:id="rId651" xr:uid="{80AD70E3-B73E-C147-9A29-294C8D344B47}"/>
    <hyperlink ref="AE715" r:id="rId652" xr:uid="{22783593-FE6D-894F-BA20-0A0EFC4417E0}"/>
    <hyperlink ref="AF715" r:id="rId653" xr:uid="{05DDDF96-2816-2941-A869-C0BA6C0439C1}"/>
    <hyperlink ref="AE716" r:id="rId654" xr:uid="{74307754-93C9-BC4A-8E1E-F756CD83C8DD}"/>
    <hyperlink ref="AF716" r:id="rId655" xr:uid="{5A1EDCAE-D750-5542-BC37-EE32F15695D7}"/>
    <hyperlink ref="AE717" r:id="rId656" xr:uid="{2776E9AA-911B-5841-ACB8-6E987A1B23D6}"/>
    <hyperlink ref="AE718" r:id="rId657" xr:uid="{CCC4A3A4-8E7A-184F-8037-C627DFB4B516}"/>
    <hyperlink ref="AE719" r:id="rId658" xr:uid="{F4544ACF-EAC1-5F43-9F33-943576345F5F}"/>
    <hyperlink ref="AE720" r:id="rId659" xr:uid="{02F41E26-ABFE-3C45-BD38-C6217917BED7}"/>
    <hyperlink ref="AF720" r:id="rId660" xr:uid="{6D619FED-5818-3347-9378-F6C2631A29C0}"/>
    <hyperlink ref="AE721" r:id="rId661" xr:uid="{9641C3FA-FDAF-A946-90C3-6BC5E7CFE2E0}"/>
    <hyperlink ref="AF721" r:id="rId662" xr:uid="{AA499CE5-3D34-6A40-83FB-F269487DCD30}"/>
    <hyperlink ref="AE722" r:id="rId663" xr:uid="{0BCC4975-6FD6-C146-A289-18B9443B05EC}"/>
    <hyperlink ref="AE723" r:id="rId664" xr:uid="{8F6C2069-1C1E-0A44-B7B3-4B293B9AC365}"/>
    <hyperlink ref="AE724" r:id="rId665" xr:uid="{27BB4B75-8E29-3C41-AF92-1B528417DC92}"/>
    <hyperlink ref="AF724" r:id="rId666" xr:uid="{4AF7FC54-9133-4044-A019-16E928DD3E24}"/>
    <hyperlink ref="AE725" r:id="rId667" xr:uid="{D99CA968-9790-BD4F-93E5-A2F6FD8C1101}"/>
    <hyperlink ref="AE726" r:id="rId668" xr:uid="{1017B6A5-258B-0B42-BDF6-017BC50DC1CD}"/>
    <hyperlink ref="AF726" r:id="rId669" xr:uid="{0F0F1655-57DF-BE46-8DED-6F7FDA804292}"/>
    <hyperlink ref="AE727" r:id="rId670" xr:uid="{57C2ABFE-50C7-4449-BEBE-63CB333CFB2E}"/>
    <hyperlink ref="AF727" r:id="rId671" xr:uid="{45AA7F3E-5D45-894F-84FC-2A8B482E3E4B}"/>
    <hyperlink ref="AE728" r:id="rId672" xr:uid="{DC45B56D-E8C1-2244-838D-76D0E41C8F1F}"/>
    <hyperlink ref="AE729" r:id="rId673" xr:uid="{6F50BE74-6F0B-B44C-B330-96534A3371AC}"/>
    <hyperlink ref="AE730" r:id="rId674" xr:uid="{725C0BE2-B650-F642-9EBA-B881C929995C}"/>
    <hyperlink ref="AF730" r:id="rId675" xr:uid="{5FBD4FF8-DC6A-F14F-85BA-0CFF95D56F0F}"/>
    <hyperlink ref="AE731" r:id="rId676" xr:uid="{21144DE0-9A27-3645-A043-7B6A20EF06E6}"/>
    <hyperlink ref="AE732" r:id="rId677" xr:uid="{F52DA972-55E5-9E4A-8A2E-4503B668A305}"/>
    <hyperlink ref="AE733" r:id="rId678" xr:uid="{464615D5-2BE0-D742-944E-01028F655D77}"/>
    <hyperlink ref="AE734" r:id="rId679" xr:uid="{169C63AD-D4F9-304B-BB7F-11B0953FCC08}"/>
    <hyperlink ref="AE735" r:id="rId680" xr:uid="{23A1124C-F48A-0E46-B7FE-E3595F8B81B8}"/>
    <hyperlink ref="AE736" r:id="rId681" xr:uid="{C4A32684-7D21-3E45-B80E-759BAB787165}"/>
    <hyperlink ref="AE737" r:id="rId682" xr:uid="{B5C2076F-7576-E349-871C-51AF2CB2A248}"/>
    <hyperlink ref="AE738" r:id="rId683" xr:uid="{4E9DFA5A-63FA-DF4E-A289-4DD40B651E9B}"/>
    <hyperlink ref="AE739" r:id="rId684" xr:uid="{1A99832B-853A-1C48-ACC6-EE39D08AEBCE}"/>
    <hyperlink ref="AE740" r:id="rId685" xr:uid="{6C82D56E-0334-EB42-8368-5D18BA76E464}"/>
    <hyperlink ref="AE741" r:id="rId686" xr:uid="{BEE4EB73-6F6B-D148-A4E5-801A10149246}"/>
    <hyperlink ref="AE742" r:id="rId687" xr:uid="{95FF3AD9-D84E-FE4F-9FC6-F80B3A8FFAB3}"/>
    <hyperlink ref="AE743" r:id="rId688" xr:uid="{76315478-E199-B145-AD59-DE1512DA1AF5}"/>
    <hyperlink ref="AE744" r:id="rId689" xr:uid="{5FCEFC84-07AF-8749-8BE5-76160EA739A6}"/>
    <hyperlink ref="AE745" r:id="rId690" xr:uid="{C7E2E76C-5002-CE4B-8B3B-F539EF37E228}"/>
    <hyperlink ref="AE746" r:id="rId691" xr:uid="{16EA3B69-9F1F-5243-A7FE-D667C8A6F8B4}"/>
    <hyperlink ref="AE747" r:id="rId692" xr:uid="{1B3298C3-EEAE-594D-A741-74AA127B8073}"/>
    <hyperlink ref="AE748" r:id="rId693" xr:uid="{A887495C-CB2C-384E-A5B2-2B26FD81C22A}"/>
    <hyperlink ref="AE749" r:id="rId694" xr:uid="{FC3287FD-06DF-174C-A18E-532F71A97582}"/>
    <hyperlink ref="AE750" r:id="rId695" xr:uid="{F271585D-A218-334A-839A-AB8659C85D03}"/>
    <hyperlink ref="AE751" r:id="rId696" xr:uid="{1A9A2F41-1765-884C-91FD-393597709A06}"/>
    <hyperlink ref="AE752" r:id="rId697" xr:uid="{B4AE79C8-3236-B744-87CC-484BF0D50338}"/>
    <hyperlink ref="AF752" r:id="rId698" xr:uid="{BE4A3236-8369-8E40-877F-E4EFA7BBECBE}"/>
    <hyperlink ref="AE753" r:id="rId699" xr:uid="{02C68437-FDD5-EE4D-BB11-AB88040DEE0B}"/>
    <hyperlink ref="AF753" r:id="rId700" xr:uid="{3578C62D-7B27-0349-8FC6-F7026293915B}"/>
    <hyperlink ref="AE754" r:id="rId701" xr:uid="{F11E2EE3-5483-D143-9879-C1D61469F626}"/>
    <hyperlink ref="AF754" r:id="rId702" xr:uid="{C13E9A5D-1F03-CE4F-9ED5-40914832D315}"/>
    <hyperlink ref="AE755" r:id="rId703" xr:uid="{8BDBF567-BC87-2A40-A2C4-0279CF151577}"/>
    <hyperlink ref="AE756" r:id="rId704" xr:uid="{E1B4E08D-6E2A-5E42-A3EC-ACB7D6C1A5E4}"/>
    <hyperlink ref="AE757" r:id="rId705" xr:uid="{333770A8-2C5B-0F4A-88EB-E4765BAB9AAE}"/>
    <hyperlink ref="AE758" r:id="rId706" xr:uid="{BAD911CA-32DB-C74C-8B3C-CE5B11312B01}"/>
    <hyperlink ref="AE759" r:id="rId707" xr:uid="{59B3DF65-C17F-3B42-A320-2C88D4236667}"/>
    <hyperlink ref="AE760" r:id="rId708" xr:uid="{19841122-C158-EC45-A4E7-EAB50CE4CF67}"/>
    <hyperlink ref="AE761" r:id="rId709" xr:uid="{F07DDA3F-77F3-0348-996E-F69EBA81473C}"/>
    <hyperlink ref="AF761" r:id="rId710" xr:uid="{2F38176E-D6BF-1E49-833F-F019BF70A478}"/>
    <hyperlink ref="AE762" r:id="rId711" xr:uid="{E937F3FF-0542-3C4D-82BF-00FEB2C73CCB}"/>
    <hyperlink ref="AF762" r:id="rId712" xr:uid="{E83AB223-86E5-0B44-B3F2-799AADEADA65}"/>
    <hyperlink ref="AE763" r:id="rId713" xr:uid="{092D6BE0-0EEB-5046-A07A-B19C56C9E1CF}"/>
    <hyperlink ref="AF763" r:id="rId714" xr:uid="{75E0C603-D8B3-B246-BD23-908CB351A53B}"/>
    <hyperlink ref="AE764" r:id="rId715" xr:uid="{1E097DA0-AE50-BB43-A8F5-05481CA37DE0}"/>
    <hyperlink ref="AE765" r:id="rId716" xr:uid="{7987C975-1F69-AE40-B6E0-BF119A63642C}"/>
    <hyperlink ref="AE766" r:id="rId717" xr:uid="{41085FDD-00CB-CE46-89BA-865E179DF8F0}"/>
    <hyperlink ref="AE767" r:id="rId718" xr:uid="{8662228A-587A-434D-9636-78B567E4ED15}"/>
    <hyperlink ref="AE768" r:id="rId719" xr:uid="{6C66F9FF-1F3E-D649-A310-C156C617C2D8}"/>
    <hyperlink ref="AE769" r:id="rId720" xr:uid="{C6933677-77D9-3441-90E1-B589AE4F9E22}"/>
    <hyperlink ref="AF769" r:id="rId721" xr:uid="{CA5D64F9-DAF6-DE4A-B00F-EBBBF593B306}"/>
    <hyperlink ref="AE770" r:id="rId722" xr:uid="{C6869E8E-6C58-FF42-9596-5CF2AD977E38}"/>
    <hyperlink ref="AE771" r:id="rId723" xr:uid="{6160D9E5-A74A-D147-811F-44844D2AD0FE}"/>
    <hyperlink ref="AE772" r:id="rId724" xr:uid="{314EEA7E-9910-054A-9A0C-D7FDD5AB6440}"/>
    <hyperlink ref="AE773" r:id="rId725" xr:uid="{6F4402A3-25A9-A643-8C44-5982B0A72965}"/>
    <hyperlink ref="AE774" r:id="rId726" xr:uid="{E2054EC0-84BF-5847-8142-98732041E0AA}"/>
    <hyperlink ref="AE775" r:id="rId727" xr:uid="{9CCDA56F-79A0-634F-8664-0A5D8D8E6169}"/>
    <hyperlink ref="AE776" r:id="rId728" xr:uid="{836310EC-36F3-114F-BE33-D70AF5FB3037}"/>
    <hyperlink ref="AE777" r:id="rId729" xr:uid="{5645CD94-AF39-8D4C-9D0C-CB0BCCF63B24}"/>
    <hyperlink ref="AE778" r:id="rId730" xr:uid="{E19B9676-C10C-A446-AABC-86F7DD2CBFDA}"/>
    <hyperlink ref="AE779" r:id="rId731" xr:uid="{6FAAC589-8211-5044-8F1A-836F4744F049}"/>
    <hyperlink ref="AE780" r:id="rId732" xr:uid="{D0CBCE5E-330A-014F-9908-86B0AD0FD289}"/>
    <hyperlink ref="AF780" r:id="rId733" xr:uid="{78A5BD6B-E8B9-DF40-9DA8-5ECA8135B3CC}"/>
    <hyperlink ref="AE781" r:id="rId734" xr:uid="{C6E2D821-AD39-5943-B7ED-3EDBE7DE6313}"/>
    <hyperlink ref="AE782" r:id="rId735" xr:uid="{7C23763B-9079-F144-8D3A-C107AD887080}"/>
    <hyperlink ref="AE783" r:id="rId736" xr:uid="{B010BE73-3488-F74C-9E5E-D1868CBBE7F7}"/>
    <hyperlink ref="AF783" r:id="rId737" xr:uid="{36723FB8-5C1D-0F41-B714-48D1D92922D7}"/>
    <hyperlink ref="AE784" r:id="rId738" xr:uid="{F25F6351-0387-D54B-AC29-15C76562700E}"/>
    <hyperlink ref="AE785" r:id="rId739" xr:uid="{9F47E74D-A996-BB45-B4BA-CC3BE3A03391}"/>
    <hyperlink ref="AE786" r:id="rId740" xr:uid="{7FEFFD3B-D968-F24E-9CC1-0B9D546A355B}"/>
    <hyperlink ref="AE787" r:id="rId741" xr:uid="{586EA3EA-D924-2A4F-BA3D-ED6EA8EB023A}"/>
    <hyperlink ref="AE788" r:id="rId742" xr:uid="{1CAD7BD1-DD56-DF4C-B615-E6B7A54C4A77}"/>
    <hyperlink ref="AF788" r:id="rId743" xr:uid="{75D39FD7-71EB-9B41-B7E5-A812FCB519CF}"/>
    <hyperlink ref="AE789" r:id="rId744" xr:uid="{16B15FF5-D903-3849-9ECB-B0A80A8028CE}"/>
    <hyperlink ref="AE790" r:id="rId745" xr:uid="{DE7FA0F6-C6FC-384B-B047-341C20437581}"/>
    <hyperlink ref="AE791" r:id="rId746" xr:uid="{6ADC3292-3818-924E-8FD7-C318EC6481DC}"/>
    <hyperlink ref="AE792" r:id="rId747" xr:uid="{4FF7FDA2-594E-3349-8519-F01DCE452E09}"/>
    <hyperlink ref="AE793" r:id="rId748" xr:uid="{B68D8656-48B8-F84B-BEFF-2FA298A59088}"/>
    <hyperlink ref="AF793" r:id="rId749" xr:uid="{1CEF49D5-6831-8B44-9E63-4CF0A027D268}"/>
    <hyperlink ref="AG793" r:id="rId750" xr:uid="{8EED3EC4-A1C8-1443-9516-B2B6F47505F6}"/>
    <hyperlink ref="AE794" r:id="rId751" xr:uid="{2C637BA8-2CBD-3045-B259-1B9E8D1605E8}"/>
    <hyperlink ref="AE795" r:id="rId752" xr:uid="{D8DB6C02-980C-FF40-9413-D846404DEFA4}"/>
    <hyperlink ref="AF795" r:id="rId753" xr:uid="{EB3BF365-4E34-9E4F-9350-3A047046E38D}"/>
    <hyperlink ref="AE796" r:id="rId754" xr:uid="{5A8FEF94-56F4-DD4C-8812-8BA9EA0C97B8}"/>
    <hyperlink ref="AE797" r:id="rId755" xr:uid="{4022511C-608D-5445-9BE4-07F3FBDCF894}"/>
    <hyperlink ref="AE798" r:id="rId756" xr:uid="{E1A80166-0545-464E-91F7-08F014302CDB}"/>
    <hyperlink ref="AE799" r:id="rId757" xr:uid="{2AB1F779-5B2B-D84B-BD6D-6E3A9006243F}"/>
    <hyperlink ref="AF799" r:id="rId758" xr:uid="{B4EBD6FA-897F-A54F-B3B6-91B7C453E698}"/>
    <hyperlink ref="AE800" r:id="rId759" xr:uid="{F499C51A-855F-9F4B-BF98-5287D299633E}"/>
    <hyperlink ref="AE801" r:id="rId760" xr:uid="{7BC2CA10-086E-BC47-9049-62DD6B3E2157}"/>
    <hyperlink ref="AF801" r:id="rId761" xr:uid="{D2B482DD-EAFF-4E4A-B10D-6D5882AEB28B}"/>
    <hyperlink ref="AE802" r:id="rId762" xr:uid="{F132E61E-6493-9D49-91C9-14EADA39390B}"/>
    <hyperlink ref="AE803" r:id="rId763" xr:uid="{9F932078-A9C1-F548-8D45-9974CF07E8A2}"/>
    <hyperlink ref="AE804" r:id="rId764" xr:uid="{F44AB5A5-8341-3642-8648-953DFC363FFB}"/>
    <hyperlink ref="AE805" r:id="rId765" xr:uid="{C74D77BE-059A-8845-A3DB-AA3E4CCE7863}"/>
    <hyperlink ref="AE806" r:id="rId766" xr:uid="{F49B9700-EE18-0C46-913F-97C2F4D9B563}"/>
    <hyperlink ref="AF806" r:id="rId767" xr:uid="{8BAC7968-9679-E54F-8FA8-96F1E9EF1C23}"/>
    <hyperlink ref="AE807" r:id="rId768" xr:uid="{C2C6B2E2-C544-7641-9E7D-28265A6586C3}"/>
    <hyperlink ref="AF807" r:id="rId769" xr:uid="{C3887047-AAE4-D54A-9378-EB4B707A8C1A}"/>
    <hyperlink ref="AE808" r:id="rId770" xr:uid="{B397F70D-05D5-8340-B037-76F1F498C079}"/>
    <hyperlink ref="AF808" r:id="rId771" xr:uid="{165E8013-AD3C-574C-9FE8-50B30C33FC73}"/>
    <hyperlink ref="AE809" r:id="rId772" xr:uid="{E550D153-7F84-364A-9E6E-DD6DDF2054C4}"/>
    <hyperlink ref="AF809" r:id="rId773" xr:uid="{C2267C4F-0AB4-1D43-BF61-F82E3BE017AE}"/>
    <hyperlink ref="AE810" r:id="rId774" xr:uid="{016F1655-6686-9448-A7CF-04A7C5212575}"/>
    <hyperlink ref="AF810" r:id="rId775" xr:uid="{1C3263FE-66CB-4B44-A586-92CEAB145BED}"/>
    <hyperlink ref="AE811" r:id="rId776" xr:uid="{BC657003-E906-7543-8775-24807558513C}"/>
    <hyperlink ref="AE812" r:id="rId777" xr:uid="{04AA6F32-0515-3C47-86DE-2D2EE9BE545F}"/>
    <hyperlink ref="AF812" r:id="rId778" xr:uid="{B6DAEA14-0AF8-F64E-936E-B8CFABD14581}"/>
    <hyperlink ref="AE813" r:id="rId779" xr:uid="{153C2A1D-0C51-674C-98B1-114B5E99CC55}"/>
    <hyperlink ref="AE814" r:id="rId780" xr:uid="{9C4460C9-7717-B044-9989-F05A8E25CC92}"/>
    <hyperlink ref="AE815" r:id="rId781" xr:uid="{8E410154-EF17-8F48-AC29-0FC4FCFAB9A3}"/>
    <hyperlink ref="AE816" r:id="rId782" xr:uid="{E55E815D-35DD-1B41-8D8A-25D90FC40CC7}"/>
    <hyperlink ref="AE817" r:id="rId783" xr:uid="{8A418237-95AA-CE40-AEEB-333816C17F10}"/>
    <hyperlink ref="AE818" r:id="rId784" xr:uid="{A9C48F1F-8085-7642-96A6-919A8C948B86}"/>
    <hyperlink ref="AE819" r:id="rId785" xr:uid="{F4E403D7-7987-504D-9A94-08D4F5105AA1}"/>
    <hyperlink ref="AF819" r:id="rId786" xr:uid="{FDD876FD-A85B-B348-9D9A-E0E4932F8F01}"/>
    <hyperlink ref="AE820" r:id="rId787" xr:uid="{27990386-13AE-A649-8B3A-561FB99010F2}"/>
    <hyperlink ref="AE821" r:id="rId788" xr:uid="{281142F6-226C-E94D-8FF0-B73DFE6C02DB}"/>
    <hyperlink ref="AE822" r:id="rId789" xr:uid="{822C8463-79BF-024F-8AE0-AB8F20114145}"/>
    <hyperlink ref="AE823" r:id="rId790" xr:uid="{0B5F6EA2-DEC2-0542-8404-D25DE21EA901}"/>
    <hyperlink ref="AE824" r:id="rId791" xr:uid="{A80BA923-AC1E-254F-BC87-84893E36B7ED}"/>
    <hyperlink ref="AE825" r:id="rId792" xr:uid="{DEA152CA-EDBB-5E4B-9CE6-3EDA98D51ACE}"/>
    <hyperlink ref="AE826" r:id="rId793" xr:uid="{96C2649A-85BF-D246-8457-983E9A536904}"/>
    <hyperlink ref="AE827" r:id="rId794" xr:uid="{28645A55-9938-CC41-985E-6F578290267F}"/>
    <hyperlink ref="AE828" r:id="rId795" xr:uid="{5C399405-1254-8B4F-86CF-3AC19147A5CF}"/>
    <hyperlink ref="AE829" r:id="rId796" xr:uid="{08868415-7ED7-DF4C-B36C-D7234D5F2A0F}"/>
    <hyperlink ref="AE830" r:id="rId797" xr:uid="{A3A7697A-6478-DA4C-BF97-A7E755387592}"/>
    <hyperlink ref="AE831" r:id="rId798" xr:uid="{F2E6682B-272B-A74F-A2B5-1EB3AEFBBD4C}"/>
    <hyperlink ref="AE832" r:id="rId799" xr:uid="{B50FC7D1-FC86-1D42-ADD8-11AF6E179575}"/>
    <hyperlink ref="AE833" r:id="rId800" xr:uid="{AB170C9C-43D4-B148-8B8D-DE9D41B20FA2}"/>
    <hyperlink ref="AE834" r:id="rId801" xr:uid="{F88ABA49-AD3C-A749-A84F-D24B9321EE0A}"/>
    <hyperlink ref="AE835" r:id="rId802" xr:uid="{DE7BF351-0207-7F41-98AD-88907B8BEB01}"/>
    <hyperlink ref="AE836" r:id="rId803" xr:uid="{E2A98E9E-91E3-C343-95DC-AFE239932CE4}"/>
    <hyperlink ref="AF836" r:id="rId804" xr:uid="{B3B0B1DD-E90D-4A41-8EBA-8DACBBF600F7}"/>
    <hyperlink ref="AE837" r:id="rId805" xr:uid="{F07CFCEF-B0DA-8F40-8404-F4C31E64962D}"/>
    <hyperlink ref="AE838" r:id="rId806" xr:uid="{650D7C34-D6A4-9048-AD9E-99EF48583C44}"/>
    <hyperlink ref="AE839" r:id="rId807" xr:uid="{446EE3CC-C520-2C4C-9C8B-4E211B29C6EA}"/>
    <hyperlink ref="AE840" r:id="rId808" xr:uid="{F00E621F-220A-E44B-8620-04892B834CDA}"/>
    <hyperlink ref="AE841" r:id="rId809" xr:uid="{EE2D5C38-BCD4-2648-AD84-83DE8F550690}"/>
    <hyperlink ref="AE842" r:id="rId810" xr:uid="{E4B50C4E-A2EA-CA45-ABAF-CFE4F0BB45D0}"/>
    <hyperlink ref="AE843" r:id="rId811" xr:uid="{97F6C5A6-71D8-3A48-BA5C-CC000FDEF192}"/>
    <hyperlink ref="AE844" r:id="rId812" xr:uid="{4105E2D3-7E8B-3E40-8D6C-379CC7C474B1}"/>
    <hyperlink ref="AE845" r:id="rId813" xr:uid="{1C8B9EAF-BF10-E14E-BDFF-F7B10262B7C0}"/>
    <hyperlink ref="AE846" r:id="rId814" xr:uid="{9173910E-0155-674D-84F4-10938106B5F0}"/>
    <hyperlink ref="AE847" r:id="rId815" xr:uid="{95ABFBE4-D02A-0444-A387-78C685A5500E}"/>
    <hyperlink ref="AE848" r:id="rId816" xr:uid="{2949A01E-9031-F948-A387-21A199A8A56E}"/>
    <hyperlink ref="AF848" r:id="rId817" xr:uid="{4618F2B3-25A5-1A45-8A67-E3ACDF96C81A}"/>
    <hyperlink ref="AE849" r:id="rId818" xr:uid="{451103DB-EF2A-DE4E-9C68-AC28E5AE2C4A}"/>
    <hyperlink ref="AF849" r:id="rId819" xr:uid="{F170B038-2677-6F4A-88BE-F3884F8CA5EB}"/>
    <hyperlink ref="AE850" r:id="rId820" xr:uid="{998E535C-AC73-1641-97B6-5D6932FB1308}"/>
    <hyperlink ref="AF850" r:id="rId821" xr:uid="{D9C41058-F9C2-584A-969C-81352F367194}"/>
    <hyperlink ref="AE851" r:id="rId822" xr:uid="{C428D246-B8AE-9146-9542-2725B9B96715}"/>
    <hyperlink ref="AF851" r:id="rId823" xr:uid="{7FD66B74-54F7-D942-AD27-FE1ED9F43DB9}"/>
    <hyperlink ref="AE852" r:id="rId824" xr:uid="{B91D83A7-A5A1-E14C-AE9D-E04D766DB5EE}"/>
    <hyperlink ref="AE853" r:id="rId825" xr:uid="{CF4083B9-F445-9648-9C40-1D7CD3B0C6A4}"/>
    <hyperlink ref="AF853" r:id="rId826" xr:uid="{64A18402-9E6E-9B4B-92B6-673999D855D3}"/>
    <hyperlink ref="AE854" r:id="rId827" xr:uid="{AD7C130D-1722-3E40-A3A1-615C3CE29148}"/>
    <hyperlink ref="AF854" r:id="rId828" xr:uid="{A1785E5D-B478-CC43-BEE4-DBC08C023337}"/>
    <hyperlink ref="AE855" r:id="rId829" xr:uid="{ABFFD58D-3996-7644-871A-1DD0B1883A6F}"/>
    <hyperlink ref="AF855" r:id="rId830" xr:uid="{361CFE87-D306-C34A-A534-30F5BBB208BD}"/>
    <hyperlink ref="AE856" r:id="rId831" xr:uid="{8747C8F1-3E34-544C-9212-8452AE8E7C13}"/>
    <hyperlink ref="AF856" r:id="rId832" xr:uid="{ED863DAC-592C-D145-A8CF-F7772AA7F369}"/>
    <hyperlink ref="AE857" r:id="rId833" xr:uid="{5A0878A9-9083-1A4E-8642-2AEB129D0A15}"/>
    <hyperlink ref="AF857" r:id="rId834" xr:uid="{F8E032B9-9759-5545-802D-F40E132DFE2C}"/>
    <hyperlink ref="AE858" r:id="rId835" xr:uid="{02552762-340A-8546-893D-4A1AC996006A}"/>
    <hyperlink ref="AE859" r:id="rId836" xr:uid="{B035F47D-31CE-0A4C-A8F7-62D5CFB8CE45}"/>
    <hyperlink ref="AE860" r:id="rId837" xr:uid="{84C7A35F-9978-8843-9A91-388CE0312B44}"/>
    <hyperlink ref="AE861" r:id="rId838" xr:uid="{96DCB848-BE09-CF48-9194-B4902E8D0DA4}"/>
    <hyperlink ref="AE862" r:id="rId839" xr:uid="{550E525B-58F0-A94E-BAB5-698F73B0D5D1}"/>
    <hyperlink ref="AE863" r:id="rId840" xr:uid="{3BA835C7-E7DD-E247-9714-1F3520557F8B}"/>
    <hyperlink ref="AE864" r:id="rId841" xr:uid="{CB412A42-0341-4444-9586-AA47561B6DC7}"/>
    <hyperlink ref="AE865" r:id="rId842" xr:uid="{09718B95-BED5-594F-A934-82E6AD98594E}"/>
    <hyperlink ref="AE866" r:id="rId843" xr:uid="{044A6063-FE19-1447-9D15-7980F1D96E82}"/>
    <hyperlink ref="AE867" r:id="rId844" xr:uid="{21D75ABC-DC00-4A4E-BE89-908708C8B4A0}"/>
    <hyperlink ref="AE868" r:id="rId845" xr:uid="{7EC4995C-BE42-1644-8349-E7563B1633C9}"/>
    <hyperlink ref="AE869" r:id="rId846" xr:uid="{24F4C549-C617-0844-8369-B69B0E236760}"/>
    <hyperlink ref="AE870" r:id="rId847" xr:uid="{A544F30C-02A6-CD49-A3BA-28ABBBEB06F6}"/>
    <hyperlink ref="AE871" r:id="rId848" xr:uid="{CF3DEAEA-DCFC-B640-B498-B835F57244E0}"/>
    <hyperlink ref="AE872" r:id="rId849" xr:uid="{67E8C55F-9C20-664A-BFE2-CF682F4EEC59}"/>
    <hyperlink ref="AE873" r:id="rId850" xr:uid="{B55379A7-B1AD-7D43-AA15-0EE47C3E3713}"/>
    <hyperlink ref="AE874" r:id="rId851" xr:uid="{8ACC70AE-0010-6E44-BB55-D16F1FC8E158}"/>
    <hyperlink ref="AE875" r:id="rId852" xr:uid="{9C7E8A6B-5C64-8240-8796-3BD33780F39C}"/>
    <hyperlink ref="AE876" r:id="rId853" xr:uid="{02486B3C-03A4-9343-847C-635E66056E62}"/>
    <hyperlink ref="AE877" r:id="rId854" xr:uid="{2A199532-3819-9844-83BE-8D47AE622577}"/>
    <hyperlink ref="AE878" r:id="rId855" xr:uid="{1710BE6B-E4DC-3D47-9180-CBAEAE150CA5}"/>
    <hyperlink ref="AE879" r:id="rId856" xr:uid="{D15AD992-E643-4E4A-9A6D-6334097036FC}"/>
    <hyperlink ref="AE880" r:id="rId857" xr:uid="{CDBF1B3C-85C9-4C4D-8C80-0289BEF45AD9}"/>
    <hyperlink ref="AE881" r:id="rId858" xr:uid="{91808F1D-E0C7-344C-9874-D816CAA2B14A}"/>
    <hyperlink ref="AE882" r:id="rId859" xr:uid="{0038F335-F749-894A-B3D9-8D5F6F1499BF}"/>
    <hyperlink ref="AE883" r:id="rId860" xr:uid="{30502476-1F73-344B-8FC6-41268DA615D5}"/>
    <hyperlink ref="AF883" r:id="rId861" xr:uid="{ACC53A6E-30F1-CE49-8C3E-E2157CDDD70E}"/>
    <hyperlink ref="AE884" r:id="rId862" xr:uid="{A919C61A-9C9F-7746-A75D-0F5955E7FAD1}"/>
    <hyperlink ref="AF884" r:id="rId863" xr:uid="{AEFC191D-09EB-364B-8D1E-A617390E76D3}"/>
    <hyperlink ref="AE885" r:id="rId864" xr:uid="{07317DB9-0FF8-104C-A3D8-FA85381634DC}"/>
    <hyperlink ref="AE886" r:id="rId865" xr:uid="{0255B861-3705-7E4F-84D9-FA566F0E4336}"/>
    <hyperlink ref="AE887" r:id="rId866" xr:uid="{31D55833-2506-0541-BE62-CCC7ED7DF7EB}"/>
    <hyperlink ref="AE888" r:id="rId867" xr:uid="{EA4E61F1-CA0D-D741-90A9-8FD82CFBD1A9}"/>
    <hyperlink ref="AE889" r:id="rId868" xr:uid="{DDF5F85D-BA04-3A4E-BF1B-F2BCBC604325}"/>
    <hyperlink ref="AF889" r:id="rId869" xr:uid="{3B6D25B0-172E-C94D-9907-942AE4197818}"/>
    <hyperlink ref="AE890" r:id="rId870" xr:uid="{2D0C27FB-96A5-0A4D-8E4D-810B60520A38}"/>
    <hyperlink ref="AE891" r:id="rId871" xr:uid="{18670AD5-4FC2-F040-92ED-79B4424885E5}"/>
    <hyperlink ref="AE892" r:id="rId872" xr:uid="{7AB06293-8586-2746-8546-674BB14E30E0}"/>
    <hyperlink ref="AE893" r:id="rId873" xr:uid="{EF2DFF84-41FC-8B40-8818-756A47A12BC8}"/>
    <hyperlink ref="AE894" r:id="rId874" xr:uid="{DEA747DE-EE98-9749-B7EE-7B7C2D5B6C4E}"/>
    <hyperlink ref="AE895" r:id="rId875" xr:uid="{D62B2F05-8C8C-3045-8ACA-BB532E617A16}"/>
    <hyperlink ref="AE896" r:id="rId876" xr:uid="{4400F734-52FD-1549-9308-DBB54A616EBC}"/>
    <hyperlink ref="AE897" r:id="rId877" xr:uid="{34DA89EF-987E-C247-B881-FB16C54C7AA9}"/>
    <hyperlink ref="AF897" r:id="rId878" xr:uid="{646323F8-CAF4-1547-A760-34D8AA301A8F}"/>
    <hyperlink ref="AE898" r:id="rId879" xr:uid="{ABFF3FFF-6BCA-3148-BA12-1D099E662186}"/>
    <hyperlink ref="AE899" r:id="rId880" xr:uid="{85A407A1-07E3-894A-9F33-1AC2179F305A}"/>
    <hyperlink ref="AE900" r:id="rId881" xr:uid="{AD5C6744-EDE1-5B4B-ADCA-9EB902AEE55A}"/>
    <hyperlink ref="AE901" r:id="rId882" xr:uid="{8A545468-84FB-8F4A-B5E0-6DBF626C4F5D}"/>
    <hyperlink ref="AF901" r:id="rId883" xr:uid="{415FAC3C-8A19-A840-B1B1-727D493A3E92}"/>
    <hyperlink ref="AE902" r:id="rId884" xr:uid="{D04E47A2-7569-194B-B605-9FE639329F46}"/>
    <hyperlink ref="AE903" r:id="rId885" xr:uid="{7EEF483C-E5D8-514F-8C5B-563EDD1D6D6F}"/>
    <hyperlink ref="AE904" r:id="rId886" xr:uid="{DEE5D4DE-5B97-EC48-B377-2178C1DAD546}"/>
    <hyperlink ref="AE905" r:id="rId887" xr:uid="{3AD2DEC4-E085-8845-BF36-7A70672D80D0}"/>
    <hyperlink ref="AE906" r:id="rId888" xr:uid="{1842C778-CA7B-6840-A8DA-57A9D9B6C753}"/>
    <hyperlink ref="AE907" r:id="rId889" xr:uid="{E6413845-EE42-3C45-80D1-96FDFF8FF948}"/>
    <hyperlink ref="AE908" r:id="rId890" xr:uid="{64E70411-A299-E548-BDB9-55E29F5E8EDB}"/>
    <hyperlink ref="AE909" r:id="rId891" xr:uid="{FC32F1CB-700F-8044-8107-906C914BEEA0}"/>
    <hyperlink ref="AE910" r:id="rId892" xr:uid="{0C7467F8-63A2-804B-AB54-2972B147D77E}"/>
    <hyperlink ref="AE945" r:id="rId893" xr:uid="{A73DF49F-C7EB-D84E-AD8D-CE3634395574}"/>
  </hyperlinks>
  <pageMargins left="0.7" right="0.7" top="0.75" bottom="0.75" header="0.3" footer="0.3"/>
  <legacyDrawing r:id="rId89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2023-06-09T06:18:31Z</dcterms:created>
  <dcterms:modified xsi:type="dcterms:W3CDTF">2023-06-09T06:18:50Z</dcterms:modified>
</cp:coreProperties>
</file>