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02512a" sheetId="1" r:id="rId3"/>
  </sheets>
  <definedNames/>
  <calcPr/>
</workbook>
</file>

<file path=xl/sharedStrings.xml><?xml version="1.0" encoding="utf-8"?>
<sst xmlns="http://schemas.openxmlformats.org/spreadsheetml/2006/main" count="209" uniqueCount="114">
  <si>
    <t>Notes</t>
  </si>
  <si>
    <t>experiment title</t>
  </si>
  <si>
    <t>VP-ITC CBS-CAII</t>
  </si>
  <si>
    <t>date</t>
  </si>
  <si>
    <t>user</t>
  </si>
  <si>
    <t>John D. Chodera</t>
  </si>
  <si>
    <t>titrant:titrand filename</t>
  </si>
  <si>
    <t>102512a.itc</t>
  </si>
  <si>
    <t>titrant:buffer filename</t>
  </si>
  <si>
    <t>102512b.itc</t>
  </si>
  <si>
    <t>EXPERIMENTAL DETAILS</t>
  </si>
  <si>
    <t>temperature</t>
  </si>
  <si>
    <t>C</t>
  </si>
  <si>
    <t>estimated Ka</t>
  </si>
  <si>
    <t>1/M</t>
  </si>
  <si>
    <t>sample cell volume (approximate)</t>
  </si>
  <si>
    <t>mL</t>
  </si>
  <si>
    <t>number of injections</t>
  </si>
  <si>
    <t>injection volume</t>
  </si>
  <si>
    <t>uL</t>
  </si>
  <si>
    <t>dilution factor for single injection (d)</t>
  </si>
  <si>
    <t>dilution factor after final injection (d^n)</t>
  </si>
  <si>
    <t>desired</t>
  </si>
  <si>
    <t>actual</t>
  </si>
  <si>
    <t>error</t>
  </si>
  <si>
    <t>percent error</t>
  </si>
  <si>
    <t>cell concentration</t>
  </si>
  <si>
    <t>uM</t>
  </si>
  <si>
    <t>c-value</t>
  </si>
  <si>
    <t>optimal Rm</t>
  </si>
  <si>
    <t>syringe concentration</t>
  </si>
  <si>
    <t>LIGAND</t>
  </si>
  <si>
    <t>compound name</t>
  </si>
  <si>
    <t>4-Carboxybenzenesulfonamide (CBS)</t>
  </si>
  <si>
    <t>description</t>
  </si>
  <si>
    <t>4-sulfonylbenzoic acid at 97% purity</t>
  </si>
  <si>
    <t>Color key</t>
  </si>
  <si>
    <t>vendor</t>
  </si>
  <si>
    <t>Sigma-Aldrich</t>
  </si>
  <si>
    <t>fill in before experiment</t>
  </si>
  <si>
    <t>product no.</t>
  </si>
  <si>
    <t>000944798</t>
  </si>
  <si>
    <t>fill in during experiment</t>
  </si>
  <si>
    <t>lot no.</t>
  </si>
  <si>
    <t>#MKBF3323V</t>
  </si>
  <si>
    <t>automatically computed</t>
  </si>
  <si>
    <t>purity</t>
  </si>
  <si>
    <t>molecular weight</t>
  </si>
  <si>
    <t>g/mol</t>
  </si>
  <si>
    <t>solubility</t>
  </si>
  <si>
    <t>mg/L</t>
  </si>
  <si>
    <t>Stock solution preparation</t>
  </si>
  <si>
    <t>typical error</t>
  </si>
  <si>
    <t>typical percent error</t>
  </si>
  <si>
    <t>target compound mass</t>
  </si>
  <si>
    <t>(most balances need min 10 mg)</t>
  </si>
  <si>
    <t>mg</t>
  </si>
  <si>
    <t>balance tared to 50 mL Falcon tube + holder near 0.1 mg uncertainty</t>
  </si>
  <si>
    <t>buffer volume needed for target mass</t>
  </si>
  <si>
    <t>(for planning buffer usage)</t>
  </si>
  <si>
    <t>buffer volume needed for actual mass</t>
  </si>
  <si>
    <t>(use this for actual preparation)</t>
  </si>
  <si>
    <t>via P5000: 4x5 mL + 4.130 mL + 2x4.020 mL</t>
  </si>
  <si>
    <t>purity-corrected stock solution concentration</t>
  </si>
  <si>
    <t>(be careful not to exceed solubility)</t>
  </si>
  <si>
    <t>Syringe solution preparation</t>
  </si>
  <si>
    <t>dilution factor from stock to titrant solution</t>
  </si>
  <si>
    <t xml:space="preserve">stock solution volume </t>
  </si>
  <si>
    <t>via P5000: 4.309 mL</t>
  </si>
  <si>
    <t>buffer volume</t>
  </si>
  <si>
    <t>via P5000: 4.691 mL</t>
  </si>
  <si>
    <t>total volume for titrant</t>
  </si>
  <si>
    <t>(need min 350 uL for VP-ITC)</t>
  </si>
  <si>
    <t>assumes same pipette is used for stock solution and buffer</t>
  </si>
  <si>
    <t>titrant concentration</t>
  </si>
  <si>
    <t>(this error is included in the 'actual error' in thermodynamic parameters below)</t>
  </si>
  <si>
    <t>PROTEIN</t>
  </si>
  <si>
    <t>protein name</t>
  </si>
  <si>
    <t>carbonic anhydrase II (CAII)</t>
  </si>
  <si>
    <t>source</t>
  </si>
  <si>
    <t>Sigma-Aldrich C2522-25mg</t>
  </si>
  <si>
    <t>molar absorptivity</t>
  </si>
  <si>
    <t>M-1 cm-1</t>
  </si>
  <si>
    <t>protein purity (or 100% if unknown)</t>
  </si>
  <si>
    <t>Dialyzed stock solution concentration</t>
  </si>
  <si>
    <t>absorbance measurement for 1 cm path length</t>
  </si>
  <si>
    <t>(e.g. NanoDrop)</t>
  </si>
  <si>
    <t>A</t>
  </si>
  <si>
    <t>used error from spec manual (for 200-350nm)</t>
  </si>
  <si>
    <t>concentration of stock solution</t>
  </si>
  <si>
    <t>purity-corrected concentration of stock solution</t>
  </si>
  <si>
    <t>Cell solution preparation</t>
  </si>
  <si>
    <t>Add a section for UV-VIS measurement of protein final dilution</t>
  </si>
  <si>
    <t>dilution factor</t>
  </si>
  <si>
    <t>via P1000</t>
  </si>
  <si>
    <t>via P5000: 2x5 + 1.489</t>
  </si>
  <si>
    <t>total volume for titrate</t>
  </si>
  <si>
    <t>(need min 2.1 mL for VP-ITC)</t>
  </si>
  <si>
    <t>titrate concentration</t>
  </si>
  <si>
    <t>(this error is absorbed into the n parameter in the ITC fit)</t>
  </si>
  <si>
    <t>THERMODYNAMIC PARAMETERS</t>
  </si>
  <si>
    <t>reported from fit</t>
  </si>
  <si>
    <t>error from fit</t>
  </si>
  <si>
    <t>percent error from fit</t>
  </si>
  <si>
    <t>n (stoichiometry, purity, and V0 correction)</t>
  </si>
  <si>
    <t>Origin fit used purity-corrected protein concentration in cell</t>
  </si>
  <si>
    <t>K (association constant)</t>
  </si>
  <si>
    <t>M-1</t>
  </si>
  <si>
    <t>Kd (dissociation constant)</t>
  </si>
  <si>
    <t>M</t>
  </si>
  <si>
    <t>DeltaH</t>
  </si>
  <si>
    <t>kcal/mol</t>
  </si>
  <si>
    <t>TDeltaS</t>
  </si>
  <si>
    <t>DeltaG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</si>
</sst>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0"/>
  </numFmts>
  <fonts count="4">
    <font>
      <sz val="10.0"/>
      <color rgb="FF000000"/>
      <name val="Arial"/>
    </font>
    <font>
      <b/>
      <sz val="10.0"/>
    </font>
    <font/>
    <font>
      <b/>
    </font>
  </fonts>
  <fills count="1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DDDDDD"/>
        <bgColor rgb="FFDDDDDD"/>
      </patternFill>
    </fill>
    <fill>
      <patternFill patternType="solid">
        <fgColor rgb="FF3366FF"/>
        <bgColor rgb="FF3366FF"/>
      </patternFill>
    </fill>
    <fill>
      <patternFill patternType="solid">
        <fgColor rgb="FFFFFF00"/>
        <bgColor rgb="FFFFFF00"/>
      </patternFill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</fills>
  <borders count="3"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0" fontId="3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2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3" fontId="2" numFmtId="0" xfId="0" applyAlignment="1" applyFill="1" applyFont="1">
      <alignment wrapText="1"/>
    </xf>
    <xf borderId="0" fillId="3" fontId="2" numFmtId="11" xfId="0" applyAlignment="1" applyFont="1" applyNumberFormat="1">
      <alignment wrapText="1"/>
    </xf>
    <xf borderId="0" fillId="0" fontId="2" numFmtId="0" xfId="0" applyAlignment="1" applyFont="1">
      <alignment wrapText="1"/>
    </xf>
    <xf borderId="0" fillId="4" fontId="2" numFmtId="0" xfId="0" applyAlignment="1" applyFill="1" applyFont="1">
      <alignment wrapText="1"/>
    </xf>
    <xf borderId="0" fillId="0" fontId="1" numFmtId="0" xfId="0" applyAlignment="1" applyFont="1">
      <alignment horizontal="center" wrapText="1"/>
    </xf>
    <xf borderId="0" fillId="3" fontId="2" numFmtId="4" xfId="0" applyAlignment="1" applyFont="1" applyNumberFormat="1">
      <alignment wrapText="1"/>
    </xf>
    <xf borderId="0" fillId="4" fontId="2" numFmtId="4" xfId="0" applyAlignment="1" applyFont="1" applyNumberFormat="1">
      <alignment wrapText="1"/>
    </xf>
    <xf borderId="0" fillId="4" fontId="2" numFmtId="10" xfId="0" applyAlignment="1" applyFont="1" applyNumberFormat="1">
      <alignment wrapText="1"/>
    </xf>
    <xf borderId="0" fillId="0" fontId="2" numFmtId="4" xfId="0" applyAlignment="1" applyFont="1" applyNumberFormat="1">
      <alignment wrapText="1"/>
    </xf>
    <xf borderId="0" fillId="0" fontId="2" numFmtId="10" xfId="0" applyAlignment="1" applyFont="1" applyNumberFormat="1">
      <alignment wrapText="1"/>
    </xf>
    <xf borderId="0" fillId="5" fontId="1" numFmtId="0" xfId="0" applyAlignment="1" applyFill="1" applyFont="1">
      <alignment wrapText="1"/>
    </xf>
    <xf borderId="0" fillId="5" fontId="2" numFmtId="0" xfId="0" applyAlignment="1" applyFont="1">
      <alignment wrapText="1"/>
    </xf>
    <xf borderId="0" fillId="3" fontId="2" numFmtId="0" xfId="0" applyAlignment="1" applyFont="1">
      <alignment horizontal="right" wrapText="1"/>
    </xf>
    <xf borderId="0" fillId="3" fontId="2" numFmtId="0" xfId="0" applyAlignment="1" applyFont="1">
      <alignment wrapText="1"/>
    </xf>
    <xf borderId="0" fillId="6" fontId="2" numFmtId="0" xfId="0" applyAlignment="1" applyFill="1" applyFont="1">
      <alignment wrapText="1"/>
    </xf>
    <xf borderId="0" fillId="4" fontId="2" numFmtId="0" xfId="0" applyAlignment="1" applyFont="1">
      <alignment wrapText="1"/>
    </xf>
    <xf borderId="0" fillId="3" fontId="2" numFmtId="10" xfId="0" applyAlignment="1" applyFont="1" applyNumberFormat="1">
      <alignment wrapText="1"/>
    </xf>
    <xf borderId="0" fillId="7" fontId="1" numFmtId="0" xfId="0" applyAlignment="1" applyFill="1" applyFont="1">
      <alignment wrapText="1"/>
    </xf>
    <xf borderId="0" fillId="7" fontId="2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6" fontId="2" numFmtId="0" xfId="0" applyAlignment="1" applyFont="1">
      <alignment wrapText="1"/>
    </xf>
    <xf borderId="0" fillId="8" fontId="2" numFmtId="4" xfId="0" applyAlignment="1" applyFill="1" applyFont="1" applyNumberFormat="1">
      <alignment wrapText="1"/>
    </xf>
    <xf borderId="0" fillId="8" fontId="1" numFmtId="0" xfId="0" applyAlignment="1" applyFont="1">
      <alignment wrapText="1"/>
    </xf>
    <xf borderId="0" fillId="8" fontId="2" numFmtId="10" xfId="0" applyAlignment="1" applyFont="1" applyNumberFormat="1">
      <alignment wrapText="1"/>
    </xf>
    <xf borderId="0" fillId="6" fontId="2" numFmtId="4" xfId="0" applyAlignment="1" applyFont="1" applyNumberFormat="1">
      <alignment wrapText="1"/>
    </xf>
    <xf borderId="0" fillId="8" fontId="2" numFmtId="0" xfId="0" applyAlignment="1" applyFont="1">
      <alignment wrapText="1"/>
    </xf>
    <xf borderId="0" fillId="9" fontId="1" numFmtId="0" xfId="0" applyAlignment="1" applyFill="1" applyFont="1">
      <alignment wrapText="1"/>
    </xf>
    <xf borderId="0" fillId="9" fontId="2" numFmtId="0" xfId="0" applyAlignment="1" applyFont="1">
      <alignment wrapText="1"/>
    </xf>
    <xf borderId="0" fillId="4" fontId="2" numFmtId="164" xfId="0" applyAlignment="1" applyFont="1" applyNumberFormat="1">
      <alignment wrapText="1"/>
    </xf>
    <xf borderId="0" fillId="4" fontId="2" numFmtId="165" xfId="0" applyAlignment="1" applyFont="1" applyNumberFormat="1">
      <alignment wrapText="1"/>
    </xf>
    <xf borderId="0" fillId="4" fontId="2" numFmtId="3" xfId="0" applyAlignment="1" applyFont="1" applyNumberFormat="1">
      <alignment wrapText="1"/>
    </xf>
    <xf borderId="0" fillId="4" fontId="2" numFmtId="3" xfId="0" applyAlignment="1" applyFont="1" applyNumberFormat="1">
      <alignment wrapText="1"/>
    </xf>
    <xf borderId="0" fillId="10" fontId="1" numFmtId="0" xfId="0" applyAlignment="1" applyFill="1" applyFont="1">
      <alignment wrapText="1"/>
    </xf>
    <xf borderId="0" fillId="10" fontId="2" numFmtId="0" xfId="0" applyAlignment="1" applyFont="1">
      <alignment wrapText="1"/>
    </xf>
    <xf borderId="0" fillId="3" fontId="2" numFmtId="0" xfId="0" applyAlignment="1" applyFont="1">
      <alignment wrapText="1"/>
    </xf>
    <xf borderId="0" fillId="0" fontId="1" numFmtId="0" xfId="0" applyAlignment="1" applyFont="1">
      <alignment wrapText="1"/>
    </xf>
    <xf borderId="1" fillId="7" fontId="1" numFmtId="0" xfId="0" applyAlignment="1" applyBorder="1" applyFont="1">
      <alignment wrapText="1"/>
    </xf>
    <xf borderId="2" fillId="7" fontId="2" numFmtId="0" xfId="0" applyAlignment="1" applyBorder="1" applyFont="1">
      <alignment wrapText="1"/>
    </xf>
    <xf borderId="1" fillId="0" fontId="2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0" fillId="6" fontId="2" numFmtId="164" xfId="0" applyAlignment="1" applyFont="1" applyNumberFormat="1">
      <alignment wrapText="1"/>
    </xf>
    <xf borderId="0" fillId="6" fontId="2" numFmtId="164" xfId="0" applyAlignment="1" applyFont="1" applyNumberFormat="1">
      <alignment wrapText="1"/>
    </xf>
    <xf borderId="0" fillId="11" fontId="1" numFmtId="0" xfId="0" applyAlignment="1" applyFill="1" applyFont="1">
      <alignment wrapText="1"/>
    </xf>
    <xf borderId="0" fillId="11" fontId="2" numFmtId="0" xfId="0" applyAlignment="1" applyFont="1">
      <alignment wrapText="1"/>
    </xf>
    <xf borderId="0" fillId="6" fontId="2" numFmtId="11" xfId="0" applyAlignment="1" applyFont="1" applyNumberFormat="1">
      <alignment wrapText="1"/>
    </xf>
    <xf borderId="0" fillId="4" fontId="2" numFmtId="11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44.14"/>
    <col customWidth="1" min="2" max="2" width="36.71"/>
    <col customWidth="1" min="3" max="3" width="17.29"/>
    <col customWidth="1" min="4" max="4" width="9.29"/>
    <col customWidth="1" min="5" max="5" width="17.29"/>
    <col customWidth="1" min="6" max="6" width="9.0"/>
    <col customWidth="1" min="7" max="7" width="23.29"/>
    <col customWidth="1" min="8" max="8" width="4.86"/>
    <col customWidth="1" min="9" max="9" width="17.29"/>
    <col customWidth="1" min="10" max="10" width="9.0"/>
    <col customWidth="1" min="11" max="11" width="17.29"/>
    <col customWidth="1" min="12" max="12" width="9.57"/>
    <col customWidth="1" min="13" max="13" width="17.29"/>
    <col customWidth="1" min="14" max="14" width="66.57"/>
  </cols>
  <sheetData>
    <row r="1">
      <c r="N1" s="1" t="s">
        <v>0</v>
      </c>
    </row>
    <row r="2">
      <c r="A2" s="1" t="s">
        <v>1</v>
      </c>
      <c r="B2" s="2" t="s">
        <v>2</v>
      </c>
    </row>
    <row r="3">
      <c r="A3" s="1" t="s">
        <v>3</v>
      </c>
      <c r="B3" s="3">
        <v>41207.0</v>
      </c>
    </row>
    <row r="4">
      <c r="A4" s="1" t="s">
        <v>4</v>
      </c>
      <c r="B4" s="2" t="s">
        <v>5</v>
      </c>
    </row>
    <row r="5">
      <c r="A5" s="4" t="s">
        <v>6</v>
      </c>
      <c r="B5" s="2" t="s">
        <v>7</v>
      </c>
    </row>
    <row r="6">
      <c r="A6" s="4" t="s">
        <v>8</v>
      </c>
      <c r="B6" s="2" t="s">
        <v>9</v>
      </c>
    </row>
    <row r="7">
      <c r="A7" s="5" t="s">
        <v>10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>
      <c r="A8" s="7"/>
    </row>
    <row r="9">
      <c r="A9" s="1" t="s">
        <v>11</v>
      </c>
      <c r="C9" s="8">
        <v>25.0</v>
      </c>
      <c r="D9" s="1" t="s">
        <v>12</v>
      </c>
    </row>
    <row r="10">
      <c r="A10" s="1" t="s">
        <v>13</v>
      </c>
      <c r="C10" s="9">
        <v>1000000.0</v>
      </c>
      <c r="D10" s="1" t="s">
        <v>14</v>
      </c>
    </row>
    <row r="11">
      <c r="A11" s="1" t="s">
        <v>15</v>
      </c>
      <c r="C11" s="8">
        <v>1.4</v>
      </c>
      <c r="D11" s="10" t="s">
        <v>16</v>
      </c>
    </row>
    <row r="12">
      <c r="A12" s="1" t="s">
        <v>17</v>
      </c>
      <c r="C12" s="8">
        <v>10.0</v>
      </c>
    </row>
    <row r="13">
      <c r="A13" s="1" t="s">
        <v>18</v>
      </c>
      <c r="C13" s="8">
        <v>10.0</v>
      </c>
      <c r="D13" s="1" t="s">
        <v>19</v>
      </c>
    </row>
    <row r="14">
      <c r="A14" s="1" t="s">
        <v>20</v>
      </c>
      <c r="C14" s="11" t="str">
        <f>1-0.001*C13/C11</f>
        <v>0.9928571429</v>
      </c>
    </row>
    <row r="15">
      <c r="A15" s="1" t="s">
        <v>21</v>
      </c>
      <c r="C15" s="11" t="str">
        <f>C14^C12</f>
        <v>0.9308241571</v>
      </c>
    </row>
    <row r="17">
      <c r="C17" s="12" t="s">
        <v>22</v>
      </c>
      <c r="E17" s="7"/>
      <c r="I17" s="12" t="s">
        <v>23</v>
      </c>
      <c r="K17" s="12" t="s">
        <v>24</v>
      </c>
      <c r="M17" s="12" t="s">
        <v>25</v>
      </c>
    </row>
    <row r="18">
      <c r="A18" s="1" t="s">
        <v>26</v>
      </c>
      <c r="C18" s="13">
        <v>10.0</v>
      </c>
      <c r="D18" s="1" t="s">
        <v>27</v>
      </c>
      <c r="I18" s="14" t="str">
        <f>I73</f>
        <v>10.01</v>
      </c>
      <c r="J18" s="1" t="s">
        <v>27</v>
      </c>
      <c r="K18" s="14" t="str">
        <f>K73</f>
        <v>0.09</v>
      </c>
      <c r="L18" s="1" t="s">
        <v>27</v>
      </c>
      <c r="M18" s="15" t="str">
        <f t="shared" ref="M18:M19" si="1">K18/I18</f>
        <v>0.85%</v>
      </c>
    </row>
    <row r="19">
      <c r="A19" s="1" t="s">
        <v>28</v>
      </c>
      <c r="C19" s="14" t="str">
        <f>C10*C18*0.000001</f>
        <v>10.00</v>
      </c>
      <c r="I19" s="14" t="str">
        <f>I79*I18*0.000001</f>
        <v>12.01</v>
      </c>
      <c r="K19" s="14" t="str">
        <f>sqrt(K75^2+K79^2)*0.000001</f>
        <v>0.03</v>
      </c>
      <c r="M19" s="15" t="str">
        <f t="shared" si="1"/>
        <v>0.26%</v>
      </c>
    </row>
    <row r="20">
      <c r="A20" s="1" t="s">
        <v>29</v>
      </c>
      <c r="C20" s="14" t="str">
        <f>6.4/C19^0.2 + 13/C19</f>
        <v>5.34</v>
      </c>
      <c r="I20" s="14" t="str">
        <f>6.4/I19^0.2 + 13/I19</f>
        <v>4.98</v>
      </c>
      <c r="K20" s="16"/>
      <c r="M20" s="17"/>
    </row>
    <row r="21">
      <c r="A21" s="1" t="s">
        <v>30</v>
      </c>
      <c r="C21" s="14" t="str">
        <f>C18*C20*C15/(1-C15)</f>
        <v>718.29</v>
      </c>
      <c r="D21" s="1" t="s">
        <v>27</v>
      </c>
      <c r="I21" s="14" t="str">
        <f>I51</f>
        <v>717.00</v>
      </c>
      <c r="J21" s="1" t="s">
        <v>27</v>
      </c>
      <c r="K21" s="14" t="str">
        <f>K51</f>
        <v>8.69</v>
      </c>
      <c r="L21" s="1" t="s">
        <v>27</v>
      </c>
      <c r="M21" s="15" t="str">
        <f>K21/I21</f>
        <v>1.21%</v>
      </c>
    </row>
    <row r="22">
      <c r="A22" s="7"/>
    </row>
    <row r="23">
      <c r="A23" s="18" t="s">
        <v>31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>
      <c r="A24" s="7"/>
    </row>
    <row r="25">
      <c r="A25" s="1" t="s">
        <v>32</v>
      </c>
      <c r="B25" s="20" t="s">
        <v>33</v>
      </c>
    </row>
    <row r="26">
      <c r="A26" s="1" t="s">
        <v>34</v>
      </c>
      <c r="B26" s="8" t="s">
        <v>35</v>
      </c>
      <c r="N26" s="1" t="s">
        <v>36</v>
      </c>
    </row>
    <row r="27">
      <c r="A27" s="1" t="s">
        <v>37</v>
      </c>
      <c r="B27" s="8" t="s">
        <v>38</v>
      </c>
      <c r="N27" s="8" t="s">
        <v>39</v>
      </c>
    </row>
    <row r="28">
      <c r="A28" s="1" t="s">
        <v>40</v>
      </c>
      <c r="B28" s="21" t="s">
        <v>41</v>
      </c>
      <c r="N28" s="22" t="s">
        <v>42</v>
      </c>
    </row>
    <row r="29">
      <c r="A29" s="1" t="s">
        <v>43</v>
      </c>
      <c r="B29" s="8" t="s">
        <v>44</v>
      </c>
      <c r="N29" s="23" t="s">
        <v>45</v>
      </c>
    </row>
    <row r="30">
      <c r="A30" s="1" t="s">
        <v>46</v>
      </c>
      <c r="C30" s="24">
        <v>0.97</v>
      </c>
    </row>
    <row r="31">
      <c r="A31" s="1" t="s">
        <v>47</v>
      </c>
      <c r="C31" s="8">
        <v>201.2</v>
      </c>
      <c r="D31" s="1" t="s">
        <v>48</v>
      </c>
    </row>
    <row r="32">
      <c r="A32" s="1" t="s">
        <v>49</v>
      </c>
      <c r="C32" s="8">
        <v>453.0</v>
      </c>
      <c r="D32" s="1" t="s">
        <v>50</v>
      </c>
      <c r="E32" s="14" t="str">
        <f>C32*0.001/C31*1000000</f>
        <v>2,251.49</v>
      </c>
      <c r="F32" s="1" t="s">
        <v>27</v>
      </c>
    </row>
    <row r="35">
      <c r="A35" s="25" t="s">
        <v>51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7">
      <c r="C37" s="12" t="s">
        <v>22</v>
      </c>
      <c r="E37" s="12" t="s">
        <v>52</v>
      </c>
      <c r="G37" s="12" t="s">
        <v>53</v>
      </c>
      <c r="H37" s="27"/>
      <c r="I37" s="12" t="s">
        <v>23</v>
      </c>
      <c r="K37" s="12" t="s">
        <v>24</v>
      </c>
      <c r="M37" s="12" t="s">
        <v>25</v>
      </c>
    </row>
    <row r="38">
      <c r="A38" s="1" t="s">
        <v>54</v>
      </c>
      <c r="B38" s="1" t="s">
        <v>55</v>
      </c>
      <c r="C38" s="8">
        <v>10.0</v>
      </c>
      <c r="D38" s="1" t="s">
        <v>56</v>
      </c>
      <c r="E38" s="11" t="str">
        <f>0.1</f>
        <v>0.1</v>
      </c>
      <c r="F38" s="1" t="s">
        <v>56</v>
      </c>
      <c r="G38" s="15" t="str">
        <f>E38/C38</f>
        <v>1.00%</v>
      </c>
      <c r="I38" s="28">
        <v>10.01</v>
      </c>
      <c r="J38" s="1" t="s">
        <v>56</v>
      </c>
      <c r="K38" s="22">
        <v>0.1</v>
      </c>
      <c r="L38" s="1" t="s">
        <v>56</v>
      </c>
      <c r="M38" s="15" t="str">
        <f>K38/I38</f>
        <v>1.00%</v>
      </c>
      <c r="N38" s="10" t="s">
        <v>57</v>
      </c>
    </row>
    <row r="39">
      <c r="A39" s="1" t="s">
        <v>58</v>
      </c>
      <c r="B39" s="1" t="s">
        <v>59</v>
      </c>
      <c r="C39" s="14" t="str">
        <f>C38/C42/C31*1000000*C30</f>
        <v>32.14</v>
      </c>
      <c r="D39" s="1" t="s">
        <v>16</v>
      </c>
      <c r="E39" s="29"/>
      <c r="F39" s="30"/>
      <c r="G39" s="31"/>
    </row>
    <row r="40">
      <c r="A40" s="1" t="s">
        <v>60</v>
      </c>
      <c r="B40" s="1" t="s">
        <v>61</v>
      </c>
      <c r="C40" s="14" t="str">
        <f>I38/C42/C31*1000000*C30</f>
        <v>32.17</v>
      </c>
      <c r="D40" s="1" t="s">
        <v>16</v>
      </c>
      <c r="E40" s="14" t="str">
        <f>0.02*C40</f>
        <v>0.64</v>
      </c>
      <c r="F40" s="1" t="s">
        <v>16</v>
      </c>
      <c r="G40" s="15" t="str">
        <f>E40/C40</f>
        <v>2.00%</v>
      </c>
      <c r="I40" s="22">
        <v>32.17</v>
      </c>
      <c r="J40" s="1" t="s">
        <v>16</v>
      </c>
      <c r="K40" s="32" t="str">
        <f>7*0.03</f>
        <v>0.21</v>
      </c>
      <c r="L40" s="1" t="s">
        <v>16</v>
      </c>
      <c r="M40" s="15" t="str">
        <f>K40/I40</f>
        <v>0.65%</v>
      </c>
      <c r="N40" s="10" t="s">
        <v>62</v>
      </c>
    </row>
    <row r="41">
      <c r="M41" s="17"/>
    </row>
    <row r="42">
      <c r="A42" s="1" t="s">
        <v>63</v>
      </c>
      <c r="B42" s="1" t="s">
        <v>64</v>
      </c>
      <c r="C42" s="13">
        <v>1500.0</v>
      </c>
      <c r="D42" s="1" t="s">
        <v>27</v>
      </c>
      <c r="E42" s="14" t="str">
        <f>C42*sqrt((E38/C38)^2 + (E40/C40)^2)</f>
        <v>33.54</v>
      </c>
      <c r="F42" s="1" t="s">
        <v>27</v>
      </c>
      <c r="G42" s="15" t="str">
        <f>E42/C42</f>
        <v>2.24%</v>
      </c>
      <c r="H42" s="33"/>
      <c r="I42" s="14" t="str">
        <f>I38/(I40*C31)*10^6*C30</f>
        <v>1,500.12</v>
      </c>
      <c r="J42" s="1" t="s">
        <v>27</v>
      </c>
      <c r="K42" s="14" t="str">
        <f>I42*sqrt((K38/I38)^2 + (K40/I40)^2)</f>
        <v>17.90</v>
      </c>
      <c r="L42" s="1" t="s">
        <v>27</v>
      </c>
      <c r="M42" s="15" t="str">
        <f>K42/I42</f>
        <v>1.19%</v>
      </c>
      <c r="N42" s="7"/>
    </row>
    <row r="43">
      <c r="A43" s="7"/>
    </row>
    <row r="44">
      <c r="A44" s="34" t="s">
        <v>65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</row>
    <row r="46">
      <c r="A46" s="7"/>
      <c r="C46" s="12" t="s">
        <v>22</v>
      </c>
      <c r="E46" s="12" t="s">
        <v>52</v>
      </c>
      <c r="G46" s="12" t="s">
        <v>53</v>
      </c>
      <c r="I46" s="12" t="s">
        <v>23</v>
      </c>
      <c r="K46" s="12" t="s">
        <v>24</v>
      </c>
      <c r="M46" s="12" t="s">
        <v>25</v>
      </c>
    </row>
    <row r="47">
      <c r="A47" s="1" t="s">
        <v>66</v>
      </c>
      <c r="C47" s="36" t="str">
        <f>C51/I42</f>
        <v>0.479</v>
      </c>
      <c r="E47" s="36" t="str">
        <f>sqrt((1/(C48+C49)^4)*(C48^2*E49^2+C49^2*E48^2))</f>
        <v>0.004</v>
      </c>
      <c r="G47" s="15" t="str">
        <f t="shared" ref="G47:G51" si="2">E47/C47</f>
        <v>0.74%</v>
      </c>
      <c r="I47" s="37" t="str">
        <f>I48/I50</f>
        <v>0.47878</v>
      </c>
      <c r="K47" s="37" t="str">
        <f>sqrt((1/(I50^4))*(I48^2*K49^2+I49^2*K48^2))</f>
        <v>0.00094</v>
      </c>
      <c r="M47" s="15" t="str">
        <f t="shared" ref="M47:M51" si="3">K47/I47</f>
        <v>0.20%</v>
      </c>
    </row>
    <row r="48">
      <c r="A48" s="1" t="s">
        <v>67</v>
      </c>
      <c r="C48" s="36" t="str">
        <f>C50*C51/I42</f>
        <v>4.309</v>
      </c>
      <c r="D48" s="1" t="s">
        <v>16</v>
      </c>
      <c r="E48" s="14" t="str">
        <f t="shared" ref="E48:E49" si="4">0.01*C48</f>
        <v>0.04</v>
      </c>
      <c r="F48" s="1" t="s">
        <v>16</v>
      </c>
      <c r="G48" s="15" t="str">
        <f t="shared" si="2"/>
        <v>1.00%</v>
      </c>
      <c r="I48" s="22">
        <v>4.309</v>
      </c>
      <c r="J48" s="1" t="s">
        <v>16</v>
      </c>
      <c r="K48" s="22">
        <v>0.012</v>
      </c>
      <c r="L48" s="1" t="s">
        <v>16</v>
      </c>
      <c r="M48" s="15" t="str">
        <f t="shared" si="3"/>
        <v>0.28%</v>
      </c>
      <c r="N48" s="10" t="s">
        <v>68</v>
      </c>
    </row>
    <row r="49">
      <c r="A49" s="1" t="s">
        <v>69</v>
      </c>
      <c r="C49" s="36" t="str">
        <f>C50-C48</f>
        <v>4.691</v>
      </c>
      <c r="D49" s="1" t="s">
        <v>16</v>
      </c>
      <c r="E49" s="14" t="str">
        <f t="shared" si="4"/>
        <v>0.05</v>
      </c>
      <c r="F49" s="1" t="s">
        <v>16</v>
      </c>
      <c r="G49" s="15" t="str">
        <f t="shared" si="2"/>
        <v>1.00%</v>
      </c>
      <c r="I49" s="22">
        <v>4.691</v>
      </c>
      <c r="J49" s="1" t="s">
        <v>16</v>
      </c>
      <c r="K49" s="22">
        <v>0.012</v>
      </c>
      <c r="L49" s="1" t="s">
        <v>16</v>
      </c>
      <c r="M49" s="15" t="str">
        <f t="shared" si="3"/>
        <v>0.26%</v>
      </c>
      <c r="N49" s="10" t="s">
        <v>70</v>
      </c>
    </row>
    <row r="50">
      <c r="A50" s="1" t="s">
        <v>71</v>
      </c>
      <c r="B50" s="1" t="s">
        <v>72</v>
      </c>
      <c r="C50" s="8">
        <v>9.0</v>
      </c>
      <c r="D50" s="1" t="s">
        <v>16</v>
      </c>
      <c r="E50" s="14" t="str">
        <f>sqrt(E48^2 + E49^2)</f>
        <v>0.06</v>
      </c>
      <c r="F50" s="1" t="s">
        <v>16</v>
      </c>
      <c r="G50" s="15" t="str">
        <f t="shared" si="2"/>
        <v>0.71%</v>
      </c>
      <c r="I50" s="11" t="str">
        <f>I48+I49</f>
        <v>9</v>
      </c>
      <c r="J50" s="1" t="s">
        <v>16</v>
      </c>
      <c r="K50" s="36" t="str">
        <f>K48+K49</f>
        <v>0.024</v>
      </c>
      <c r="L50" s="1" t="s">
        <v>16</v>
      </c>
      <c r="M50" s="15" t="str">
        <f t="shared" si="3"/>
        <v>0.27%</v>
      </c>
      <c r="N50" s="4" t="s">
        <v>73</v>
      </c>
    </row>
    <row r="51">
      <c r="A51" s="1" t="s">
        <v>74</v>
      </c>
      <c r="C51" s="14" t="str">
        <f>C21</f>
        <v>718.29</v>
      </c>
      <c r="D51" s="1" t="s">
        <v>27</v>
      </c>
      <c r="E51" s="38" t="str">
        <f>sqrt(C47^2*E42^2+C42^2*E47^2)</f>
        <v>17</v>
      </c>
      <c r="F51" s="1" t="s">
        <v>27</v>
      </c>
      <c r="G51" s="15" t="str">
        <f t="shared" si="2"/>
        <v>2.35%</v>
      </c>
      <c r="I51" s="39">
        <v>717.0</v>
      </c>
      <c r="J51" s="1" t="s">
        <v>27</v>
      </c>
      <c r="K51" s="38" t="str">
        <f>sqrt(I47^2*K42^2+I42^2*K47^2)</f>
        <v>9</v>
      </c>
      <c r="L51" s="1" t="s">
        <v>27</v>
      </c>
      <c r="M51" s="15" t="str">
        <f t="shared" si="3"/>
        <v>1.21%</v>
      </c>
      <c r="N51" s="10" t="s">
        <v>75</v>
      </c>
    </row>
    <row r="53">
      <c r="A53" s="40" t="s">
        <v>76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</row>
    <row r="55">
      <c r="A55" s="1" t="s">
        <v>77</v>
      </c>
      <c r="B55" s="8" t="s">
        <v>78</v>
      </c>
    </row>
    <row r="56">
      <c r="A56" s="1" t="s">
        <v>79</v>
      </c>
      <c r="B56" s="8" t="s">
        <v>80</v>
      </c>
    </row>
    <row r="57">
      <c r="A57" s="1" t="s">
        <v>43</v>
      </c>
      <c r="B57" s="42"/>
    </row>
    <row r="58">
      <c r="A58" s="43" t="s">
        <v>81</v>
      </c>
      <c r="C58" s="8">
        <v>50070.0</v>
      </c>
      <c r="D58" s="1" t="s">
        <v>82</v>
      </c>
    </row>
    <row r="59">
      <c r="A59" s="1" t="s">
        <v>83</v>
      </c>
      <c r="C59" s="24">
        <v>1.0</v>
      </c>
    </row>
    <row r="60">
      <c r="A60" s="7"/>
    </row>
    <row r="61">
      <c r="A61" s="44" t="s">
        <v>84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45"/>
      <c r="N61" s="46"/>
    </row>
    <row r="62">
      <c r="A62" s="47"/>
      <c r="I62" s="12" t="s">
        <v>23</v>
      </c>
      <c r="K62" s="12" t="s">
        <v>24</v>
      </c>
      <c r="M62" s="48"/>
      <c r="N62" s="47"/>
    </row>
    <row r="63">
      <c r="A63" s="49" t="s">
        <v>85</v>
      </c>
      <c r="B63" s="1" t="s">
        <v>86</v>
      </c>
      <c r="I63" s="22">
        <v>11.768</v>
      </c>
      <c r="J63" s="1" t="s">
        <v>87</v>
      </c>
      <c r="K63" s="28">
        <v>0.02</v>
      </c>
      <c r="L63" s="1" t="s">
        <v>87</v>
      </c>
      <c r="M63" s="15" t="str">
        <f t="shared" ref="M63:M65" si="5">K63/I63</f>
        <v>0.17%</v>
      </c>
      <c r="N63" s="10" t="s">
        <v>88</v>
      </c>
    </row>
    <row r="64">
      <c r="A64" s="49" t="s">
        <v>89</v>
      </c>
      <c r="I64" s="14" t="str">
        <f>I63/C58*1000000</f>
        <v>235.03</v>
      </c>
      <c r="J64" s="1" t="s">
        <v>27</v>
      </c>
      <c r="K64" s="14" t="str">
        <f>I64*(K63/I63)</f>
        <v>0.40</v>
      </c>
      <c r="L64" s="1" t="s">
        <v>27</v>
      </c>
      <c r="M64" s="15" t="str">
        <f t="shared" si="5"/>
        <v>0.17%</v>
      </c>
    </row>
    <row r="65">
      <c r="A65" s="49" t="s">
        <v>90</v>
      </c>
      <c r="I65" s="14" t="str">
        <f>C59*I64</f>
        <v>235.03</v>
      </c>
      <c r="J65" s="1" t="s">
        <v>27</v>
      </c>
      <c r="K65" s="14" t="str">
        <f>C59*K64</f>
        <v>0.40</v>
      </c>
      <c r="L65" s="1" t="s">
        <v>27</v>
      </c>
      <c r="M65" s="15" t="str">
        <f t="shared" si="5"/>
        <v>0.17%</v>
      </c>
    </row>
    <row r="66">
      <c r="A66" s="46"/>
      <c r="M66" s="48"/>
      <c r="N66" s="46"/>
    </row>
    <row r="67">
      <c r="A67" s="44" t="s">
        <v>91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45"/>
      <c r="N67" s="49" t="s">
        <v>92</v>
      </c>
    </row>
    <row r="68">
      <c r="A68" s="46"/>
      <c r="C68" s="12" t="s">
        <v>22</v>
      </c>
      <c r="E68" s="12" t="s">
        <v>52</v>
      </c>
      <c r="I68" s="12" t="s">
        <v>23</v>
      </c>
      <c r="K68" s="12" t="s">
        <v>24</v>
      </c>
      <c r="M68" s="12" t="s">
        <v>25</v>
      </c>
    </row>
    <row r="69">
      <c r="A69" s="1" t="s">
        <v>93</v>
      </c>
      <c r="C69" s="37" t="str">
        <f>C73/I65</f>
        <v>0.04255</v>
      </c>
      <c r="E69" s="37" t="str">
        <f>sqrt((1/(C70+C71)^4)*(C70^2*E71^2+C71^2*E70^2))</f>
        <v>0.00058</v>
      </c>
      <c r="I69" s="37" t="str">
        <f>I70/I72</f>
        <v>0.04258</v>
      </c>
      <c r="K69" s="37" t="str">
        <f>I69*(1-I69)*sqrt((K70/I70)^2+(K71/I71)^2)</f>
        <v>0.00036</v>
      </c>
      <c r="M69" s="15" t="str">
        <f t="shared" ref="M69:M73" si="6">K69/I69</f>
        <v>0.83%</v>
      </c>
    </row>
    <row r="70">
      <c r="A70" s="1" t="s">
        <v>67</v>
      </c>
      <c r="C70" s="36" t="str">
        <f>C72*C73/I65</f>
        <v>0.511</v>
      </c>
      <c r="D70" s="1" t="s">
        <v>16</v>
      </c>
      <c r="E70" s="36" t="str">
        <f t="shared" ref="E70:E71" si="7">0.01*C70</f>
        <v>0.005</v>
      </c>
      <c r="F70" s="1" t="s">
        <v>16</v>
      </c>
      <c r="I70" s="50">
        <v>0.511</v>
      </c>
      <c r="J70" s="1" t="s">
        <v>16</v>
      </c>
      <c r="K70" s="22">
        <v>0.004</v>
      </c>
      <c r="L70" s="1" t="s">
        <v>16</v>
      </c>
      <c r="M70" s="15" t="str">
        <f t="shared" si="6"/>
        <v>0.78%</v>
      </c>
      <c r="N70" s="10" t="s">
        <v>94</v>
      </c>
    </row>
    <row r="71">
      <c r="A71" s="1" t="s">
        <v>69</v>
      </c>
      <c r="C71" s="36" t="str">
        <f>C72-C70</f>
        <v>11.489</v>
      </c>
      <c r="D71" s="1" t="s">
        <v>16</v>
      </c>
      <c r="E71" s="14" t="str">
        <f t="shared" si="7"/>
        <v>0.11</v>
      </c>
      <c r="F71" s="1" t="s">
        <v>16</v>
      </c>
      <c r="I71" s="50">
        <v>11.489</v>
      </c>
      <c r="J71" s="1" t="s">
        <v>16</v>
      </c>
      <c r="K71" s="51" t="str">
        <f>sqrt(0.03^2 + 0.03^2 + 0.012^2)</f>
        <v>0.044</v>
      </c>
      <c r="L71" s="1" t="s">
        <v>16</v>
      </c>
      <c r="M71" s="15" t="str">
        <f t="shared" si="6"/>
        <v>0.38%</v>
      </c>
      <c r="N71" s="10" t="s">
        <v>95</v>
      </c>
    </row>
    <row r="72">
      <c r="A72" s="1" t="s">
        <v>96</v>
      </c>
      <c r="B72" s="1" t="s">
        <v>97</v>
      </c>
      <c r="C72" s="13">
        <v>12.0</v>
      </c>
      <c r="D72" s="1" t="s">
        <v>16</v>
      </c>
      <c r="E72" s="14" t="str">
        <f>sqrt(E70^2 + E71^2)</f>
        <v>0.12</v>
      </c>
      <c r="F72" s="1" t="s">
        <v>16</v>
      </c>
      <c r="I72" s="14" t="str">
        <f>I70+I71</f>
        <v>12.00</v>
      </c>
      <c r="J72" s="1" t="s">
        <v>16</v>
      </c>
      <c r="K72" s="36" t="str">
        <f>sqrt(K70^2+K71^2)</f>
        <v>0.044</v>
      </c>
      <c r="L72" s="1" t="s">
        <v>16</v>
      </c>
      <c r="M72" s="15" t="str">
        <f t="shared" si="6"/>
        <v>0.37%</v>
      </c>
    </row>
    <row r="73">
      <c r="A73" s="1" t="s">
        <v>98</v>
      </c>
      <c r="C73" s="14" t="str">
        <f>C18</f>
        <v>10.00</v>
      </c>
      <c r="D73" s="1" t="s">
        <v>27</v>
      </c>
      <c r="E73" s="14" t="str">
        <f>sqrt(C69^2*E65^2+I65^2*E69^2)</f>
        <v>0.14</v>
      </c>
      <c r="F73" s="1" t="s">
        <v>27</v>
      </c>
      <c r="I73" s="14" t="str">
        <f>I69*I65</f>
        <v>10.01</v>
      </c>
      <c r="J73" s="1" t="s">
        <v>27</v>
      </c>
      <c r="K73" s="36" t="str">
        <f>sqrt(I69^2*K65^2+I65^2*K69^2)</f>
        <v>0.085</v>
      </c>
      <c r="L73" s="1" t="s">
        <v>27</v>
      </c>
      <c r="M73" s="15" t="str">
        <f t="shared" si="6"/>
        <v>0.85%</v>
      </c>
      <c r="N73" s="10" t="s">
        <v>99</v>
      </c>
    </row>
    <row r="75">
      <c r="A75" s="52" t="s">
        <v>100</v>
      </c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</row>
    <row r="77">
      <c r="C77" s="12" t="s">
        <v>101</v>
      </c>
      <c r="E77" s="12" t="s">
        <v>102</v>
      </c>
      <c r="G77" s="12" t="s">
        <v>103</v>
      </c>
      <c r="I77" s="12" t="s">
        <v>23</v>
      </c>
      <c r="K77" s="12" t="s">
        <v>24</v>
      </c>
      <c r="M77" s="12" t="s">
        <v>25</v>
      </c>
    </row>
    <row r="78">
      <c r="A78" s="1" t="s">
        <v>104</v>
      </c>
      <c r="C78" s="22">
        <v>0.915</v>
      </c>
      <c r="E78" s="50">
        <v>0.00339</v>
      </c>
      <c r="G78" s="15" t="str">
        <f t="shared" ref="G78:G80" si="8">E78/C78</f>
        <v>0.37%</v>
      </c>
      <c r="I78" s="11" t="str">
        <f t="shared" ref="I78:I79" si="9">C78</f>
        <v>0.915</v>
      </c>
      <c r="K78" s="36" t="str">
        <f t="shared" ref="K78:K79" si="10">C78*sqrt((E78/C78)^2 + (K50/I50)^2)</f>
        <v>0.004</v>
      </c>
      <c r="M78" s="15" t="str">
        <f t="shared" ref="M78:M80" si="11">K78/I78</f>
        <v>0.46%</v>
      </c>
      <c r="N78" s="10" t="s">
        <v>105</v>
      </c>
    </row>
    <row r="79">
      <c r="A79" s="1" t="s">
        <v>106</v>
      </c>
      <c r="C79" s="54">
        <v>1200000.0</v>
      </c>
      <c r="D79" s="1" t="s">
        <v>107</v>
      </c>
      <c r="E79" s="54">
        <v>27800.0</v>
      </c>
      <c r="F79" s="1" t="s">
        <v>107</v>
      </c>
      <c r="G79" s="15" t="str">
        <f t="shared" si="8"/>
        <v>2.32%</v>
      </c>
      <c r="I79" s="55" t="str">
        <f t="shared" si="9"/>
        <v>1.20E+06</v>
      </c>
      <c r="J79" s="1" t="s">
        <v>107</v>
      </c>
      <c r="K79" s="55" t="str">
        <f t="shared" si="10"/>
        <v>3.14E+04</v>
      </c>
      <c r="L79" s="1" t="s">
        <v>107</v>
      </c>
      <c r="M79" s="15" t="str">
        <f t="shared" si="11"/>
        <v>2.61%</v>
      </c>
    </row>
    <row r="80">
      <c r="A80" s="1" t="s">
        <v>108</v>
      </c>
      <c r="C80" s="55" t="str">
        <f>1/C79</f>
        <v>8.33E-07</v>
      </c>
      <c r="D80" s="1" t="s">
        <v>109</v>
      </c>
      <c r="E80" s="55" t="str">
        <f>E79/(C79^2)</f>
        <v>1.93E-08</v>
      </c>
      <c r="F80" s="1" t="s">
        <v>109</v>
      </c>
      <c r="G80" s="15" t="str">
        <f t="shared" si="8"/>
        <v>2.32%</v>
      </c>
      <c r="I80" s="55" t="str">
        <f>1/I79</f>
        <v>8.33E-07</v>
      </c>
      <c r="J80" s="1" t="s">
        <v>109</v>
      </c>
      <c r="K80" s="55" t="str">
        <f>K79/(I79^2)</f>
        <v>2.18E-08</v>
      </c>
      <c r="L80" s="1" t="s">
        <v>109</v>
      </c>
      <c r="M80" s="15" t="str">
        <f t="shared" si="11"/>
        <v>2.61%</v>
      </c>
    </row>
    <row r="81">
      <c r="A81" s="1" t="s">
        <v>110</v>
      </c>
      <c r="C81" s="22">
        <v>-11.27</v>
      </c>
      <c r="D81" s="1" t="s">
        <v>111</v>
      </c>
      <c r="E81" s="22">
        <v>0.05721</v>
      </c>
      <c r="F81" s="1" t="s">
        <v>111</v>
      </c>
      <c r="G81" s="15" t="str">
        <f t="shared" ref="G81:G83" si="12">abs(E81/C81)</f>
        <v>0.51%</v>
      </c>
      <c r="I81" s="14" t="str">
        <f>C81</f>
        <v>-11.27</v>
      </c>
      <c r="J81" s="1" t="s">
        <v>111</v>
      </c>
      <c r="K81" s="14" t="str">
        <f>abs(C81)*sqrt((E81/C81)^2+(K51/I51)^2)</f>
        <v>0.15</v>
      </c>
      <c r="L81" s="1" t="s">
        <v>111</v>
      </c>
      <c r="M81" s="15" t="str">
        <f t="shared" ref="M81:M83" si="13">abs(K81/I81)</f>
        <v>1.31%</v>
      </c>
    </row>
    <row r="82">
      <c r="A82" s="1" t="s">
        <v>112</v>
      </c>
      <c r="C82" s="14" t="str">
        <f>C81-C83</f>
        <v>-2.97</v>
      </c>
      <c r="D82" s="1" t="s">
        <v>111</v>
      </c>
      <c r="E82" s="14" t="str">
        <f>sqrt(E83^2+E81^2)</f>
        <v>0.06</v>
      </c>
      <c r="F82" s="1" t="s">
        <v>111</v>
      </c>
      <c r="G82" s="15" t="str">
        <f t="shared" si="12"/>
        <v>1.98%</v>
      </c>
      <c r="I82" s="14" t="str">
        <f>I81-I83</f>
        <v>-2.97</v>
      </c>
      <c r="J82" s="1" t="s">
        <v>111</v>
      </c>
      <c r="K82" s="14" t="str">
        <f>sqrt(K83^2+K81^2)</f>
        <v>0.15</v>
      </c>
      <c r="L82" s="1" t="s">
        <v>111</v>
      </c>
      <c r="M82" s="15" t="str">
        <f t="shared" si="13"/>
        <v>5.00%</v>
      </c>
    </row>
    <row r="83">
      <c r="A83" s="1" t="s">
        <v>113</v>
      </c>
      <c r="C83" s="14" t="str">
        <f>-1.381*6.022/4184*(273.15+C9)*ln(C79)</f>
        <v>-8.30</v>
      </c>
      <c r="D83" s="1" t="s">
        <v>111</v>
      </c>
      <c r="E83" s="14" t="str">
        <f>1.381*6.022/4184*(273.15+C9)*(E79/C79)</f>
        <v>0.01</v>
      </c>
      <c r="F83" s="1" t="s">
        <v>111</v>
      </c>
      <c r="G83" s="15" t="str">
        <f t="shared" si="12"/>
        <v>0.17%</v>
      </c>
      <c r="I83" s="14" t="str">
        <f>-1.381*6.022/4184*(273.15+C9)*ln(I79)</f>
        <v>-8.30</v>
      </c>
      <c r="J83" s="1" t="s">
        <v>111</v>
      </c>
      <c r="K83" s="14" t="str">
        <f>1.381*6.022/4184*(273.15+C9)*(K79/I79)</f>
        <v>0.02</v>
      </c>
      <c r="L83" s="1" t="s">
        <v>111</v>
      </c>
      <c r="M83" s="15" t="str">
        <f t="shared" si="13"/>
        <v>0.19%</v>
      </c>
    </row>
  </sheetData>
  <drawing r:id="rId1"/>
</worksheet>
</file>