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hohan\1. University , Work and Visa\_TAMU\S2\FINC 649 Financial Modeling\RWGP\"/>
    </mc:Choice>
  </mc:AlternateContent>
  <xr:revisionPtr revIDLastSave="0" documentId="8_{B33976DC-DD78-45F0-A772-D2ED8EE21473}" xr6:coauthVersionLast="47" xr6:coauthVersionMax="47" xr10:uidLastSave="{00000000-0000-0000-0000-000000000000}"/>
  <bookViews>
    <workbookView xWindow="-108" yWindow="-108" windowWidth="23256" windowHeight="12456" activeTab="3" xr2:uid="{D9E33D2F-3868-4E3C-B174-241BC6DDB7ED}"/>
  </bookViews>
  <sheets>
    <sheet name="Comparables" sheetId="5" r:id="rId1"/>
    <sheet name="DCF Analysis" sheetId="8" r:id="rId2"/>
    <sheet name="Valuation" sheetId="9" r:id="rId3"/>
    <sheet name="LBO" sheetId="1" r:id="rId4"/>
  </sheets>
  <definedNames>
    <definedName name="CIQWBGuid" hidden="1">"da3f1569-1e04-47aa-ad83-74f0334d608d"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45149.1437152778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KeyStats" localSheetId="0">Comparables!$G$9</definedName>
    <definedName name="_xlnm.Print_Area" localSheetId="0">Comparables!$B$2:$K$40</definedName>
    <definedName name="_xlnm.Print_Area" localSheetId="1">'DCF Analysis'!$B$3:$N$35</definedName>
    <definedName name="_xlnm.Print_Area" localSheetId="3">LBO!$B$2:$R$55,LBO!$B$59:$P$98,LBO!$B$101:$P$126,LBO!$B$129:$P$161,LBO!$B$165:$P$201,LBO!$B$205:$P$255,LBO!$B$261:$P$312,LBO!$B$319:$P$359,LBO!$B$364:$P$404,LBO!$B$409:$P$459,LBO!$B$530:$P$581,LBO!$B$589:$P$636,LBO!$B$647:$P$697,LBO!$B$705:$P$755,LBO!$B$763:$P$813,LBO!$B$821:$P$871</definedName>
    <definedName name="_xlnm.Print_Area" localSheetId="2">Valuation!$A$2:$F$26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C6" i="1"/>
  <c r="C7" i="1"/>
  <c r="B9" i="1"/>
  <c r="B11" i="1"/>
  <c r="Y44" i="1"/>
  <c r="Y45" i="1"/>
  <c r="Y46" i="1" s="1"/>
  <c r="F11" i="1"/>
  <c r="Y32" i="1"/>
  <c r="Y33" i="1"/>
  <c r="Y34" i="1"/>
  <c r="I11" i="1" s="1"/>
  <c r="Z45" i="1"/>
  <c r="Z46" i="1"/>
  <c r="Z50" i="1" s="1"/>
  <c r="Z39" i="1" s="1"/>
  <c r="Z47" i="1"/>
  <c r="N42" i="1"/>
  <c r="M42" i="1" s="1"/>
  <c r="N11" i="1" s="1"/>
  <c r="M148" i="1"/>
  <c r="F71" i="1"/>
  <c r="F77" i="1" s="1"/>
  <c r="M50" i="1" s="1"/>
  <c r="B12" i="1"/>
  <c r="N12" i="1"/>
  <c r="G65" i="1" a="1"/>
  <c r="G65" i="1" s="1"/>
  <c r="G64" i="1" s="1"/>
  <c r="G69" i="1" a="1"/>
  <c r="G69" i="1" s="1"/>
  <c r="G75" i="1" a="1"/>
  <c r="G75" i="1" s="1"/>
  <c r="B13" i="1"/>
  <c r="F13" i="1"/>
  <c r="F14" i="1"/>
  <c r="B15" i="1"/>
  <c r="F15" i="1"/>
  <c r="F536" i="1"/>
  <c r="F537" i="1"/>
  <c r="H535" i="1"/>
  <c r="H536" i="1"/>
  <c r="H537" i="1"/>
  <c r="H538" i="1"/>
  <c r="J535" i="1"/>
  <c r="J538" i="1" s="1"/>
  <c r="J536" i="1"/>
  <c r="J537" i="1"/>
  <c r="N535" i="1"/>
  <c r="N538" i="1" s="1"/>
  <c r="N536" i="1"/>
  <c r="N537" i="1"/>
  <c r="B16" i="1"/>
  <c r="F16" i="1"/>
  <c r="B17" i="1"/>
  <c r="F17" i="1"/>
  <c r="Q17" i="1"/>
  <c r="B19" i="1"/>
  <c r="F20" i="1"/>
  <c r="N20" i="1"/>
  <c r="Q20" i="1"/>
  <c r="F21" i="1"/>
  <c r="N21" i="1"/>
  <c r="Q21" i="1"/>
  <c r="N22" i="1"/>
  <c r="Q22" i="1"/>
  <c r="K27" i="1"/>
  <c r="E28" i="1"/>
  <c r="H629" i="1"/>
  <c r="N29" i="1" s="1"/>
  <c r="I629" i="1"/>
  <c r="E29" i="1"/>
  <c r="AA30" i="1"/>
  <c r="AB30" i="1"/>
  <c r="AI30" i="1"/>
  <c r="AJ30" i="1" s="1"/>
  <c r="AK30" i="1" s="1"/>
  <c r="AL30" i="1" s="1"/>
  <c r="AM30" i="1"/>
  <c r="AN30" i="1" s="1"/>
  <c r="AO30" i="1" s="1"/>
  <c r="AP30" i="1"/>
  <c r="AP36" i="1" s="1"/>
  <c r="F170" i="1"/>
  <c r="F171" i="1"/>
  <c r="F173" i="1"/>
  <c r="P136" i="1"/>
  <c r="G466" i="1" s="1"/>
  <c r="G180" i="1" s="1"/>
  <c r="AA65" i="1"/>
  <c r="G108" i="1"/>
  <c r="P142" i="1"/>
  <c r="G472" i="1"/>
  <c r="AA67" i="1"/>
  <c r="G109" i="1" s="1"/>
  <c r="AA68" i="1"/>
  <c r="G110" i="1" s="1"/>
  <c r="G114" i="1"/>
  <c r="G116" i="1"/>
  <c r="G118" i="1"/>
  <c r="G465" i="1"/>
  <c r="G170" i="1"/>
  <c r="H65" i="1" a="1"/>
  <c r="H65" i="1" s="1"/>
  <c r="H69" i="1" a="1"/>
  <c r="H69" i="1" s="1"/>
  <c r="H75" i="1" a="1"/>
  <c r="H75" i="1" s="1"/>
  <c r="AB65" i="1"/>
  <c r="H108" i="1"/>
  <c r="AB67" i="1"/>
  <c r="H109" i="1" s="1"/>
  <c r="F136" i="1"/>
  <c r="G136" i="1"/>
  <c r="G523" i="1" s="1"/>
  <c r="AA73" i="1"/>
  <c r="G123" i="1"/>
  <c r="G168" i="1"/>
  <c r="H168" i="1" s="1"/>
  <c r="G412" i="1"/>
  <c r="C159" i="1"/>
  <c r="AA126" i="1"/>
  <c r="AA135" i="1"/>
  <c r="AA78" i="1"/>
  <c r="AB78" i="1" s="1"/>
  <c r="AC78" i="1" s="1"/>
  <c r="G120" i="1"/>
  <c r="G138" i="1"/>
  <c r="F212" i="1" s="1"/>
  <c r="G139" i="1"/>
  <c r="F213" i="1"/>
  <c r="F93" i="1"/>
  <c r="I93" i="1" s="1"/>
  <c r="G140" i="1"/>
  <c r="F214" i="1" s="1"/>
  <c r="P137" i="1"/>
  <c r="F231" i="1"/>
  <c r="F96" i="1"/>
  <c r="P138" i="1"/>
  <c r="F232" i="1" s="1"/>
  <c r="F98" i="1" s="1"/>
  <c r="W107" i="1"/>
  <c r="W108" i="1"/>
  <c r="AB68" i="1"/>
  <c r="H110" i="1"/>
  <c r="H114" i="1"/>
  <c r="H116" i="1"/>
  <c r="H118" i="1"/>
  <c r="H465" i="1"/>
  <c r="I465" i="1" s="1"/>
  <c r="J465" i="1" s="1"/>
  <c r="K465" i="1" s="1"/>
  <c r="L465" i="1" s="1"/>
  <c r="M465" i="1" s="1"/>
  <c r="N465" i="1" s="1"/>
  <c r="I65" i="1" a="1"/>
  <c r="I65" i="1" s="1"/>
  <c r="I69" i="1" a="1"/>
  <c r="I69" i="1" s="1"/>
  <c r="I75" i="1" a="1"/>
  <c r="I75" i="1" s="1"/>
  <c r="AC65" i="1"/>
  <c r="I108" i="1"/>
  <c r="AC67" i="1"/>
  <c r="I109" i="1" s="1"/>
  <c r="AB73" i="1"/>
  <c r="H123" i="1" s="1"/>
  <c r="AB135" i="1"/>
  <c r="AB79" i="1"/>
  <c r="H120" i="1"/>
  <c r="AC68" i="1"/>
  <c r="I110" i="1"/>
  <c r="I114" i="1"/>
  <c r="I116" i="1"/>
  <c r="I118" i="1"/>
  <c r="J65" i="1" a="1"/>
  <c r="J65" i="1" s="1"/>
  <c r="Q45" i="1" s="1"/>
  <c r="J69" i="1" a="1"/>
  <c r="J69" i="1" s="1"/>
  <c r="J75" i="1" a="1"/>
  <c r="J75" i="1" s="1"/>
  <c r="AD65" i="1"/>
  <c r="J108" i="1"/>
  <c r="AD67" i="1"/>
  <c r="J109" i="1" s="1"/>
  <c r="AC73" i="1"/>
  <c r="I123" i="1" s="1"/>
  <c r="AC135" i="1"/>
  <c r="AC79" i="1"/>
  <c r="AD79" i="1" s="1"/>
  <c r="I120" i="1"/>
  <c r="AD68" i="1"/>
  <c r="J110" i="1"/>
  <c r="J114" i="1"/>
  <c r="J116" i="1"/>
  <c r="J118" i="1"/>
  <c r="K65" i="1" a="1"/>
  <c r="K65" i="1" s="1"/>
  <c r="R45" i="1" s="1"/>
  <c r="K69" i="1" a="1"/>
  <c r="K69" i="1" s="1"/>
  <c r="K75" i="1" a="1"/>
  <c r="K75" i="1" s="1"/>
  <c r="AE65" i="1"/>
  <c r="K108" i="1"/>
  <c r="AE67" i="1"/>
  <c r="K109" i="1" s="1"/>
  <c r="AD73" i="1"/>
  <c r="J123" i="1" s="1"/>
  <c r="AD135" i="1"/>
  <c r="AD78" i="1"/>
  <c r="AE78" i="1" s="1"/>
  <c r="J120" i="1"/>
  <c r="J96" i="1"/>
  <c r="J98" i="1"/>
  <c r="AE68" i="1"/>
  <c r="K110" i="1" s="1"/>
  <c r="K114" i="1"/>
  <c r="K116" i="1"/>
  <c r="K118" i="1"/>
  <c r="F622" i="1"/>
  <c r="F621" i="1"/>
  <c r="F620" i="1" s="1"/>
  <c r="L31" i="1" s="1"/>
  <c r="K552" i="1"/>
  <c r="AE73" i="1"/>
  <c r="K123" i="1" s="1"/>
  <c r="AE135" i="1"/>
  <c r="AE79" i="1"/>
  <c r="K120" i="1"/>
  <c r="G519" i="1"/>
  <c r="H519" i="1"/>
  <c r="I519" i="1"/>
  <c r="J519" i="1"/>
  <c r="K519" i="1"/>
  <c r="F634" i="1"/>
  <c r="F633" i="1" s="1"/>
  <c r="F632" i="1"/>
  <c r="L33" i="1"/>
  <c r="F623" i="1"/>
  <c r="F624" i="1" s="1"/>
  <c r="L35" i="1" s="1"/>
  <c r="F635" i="1"/>
  <c r="F636" i="1" s="1"/>
  <c r="AA45" i="1"/>
  <c r="AA46" i="1"/>
  <c r="AA50" i="1" s="1"/>
  <c r="AA39" i="1" s="1"/>
  <c r="AA47" i="1"/>
  <c r="AB45" i="1"/>
  <c r="AB46" i="1"/>
  <c r="AB50" i="1" s="1"/>
  <c r="AB39" i="1" s="1"/>
  <c r="AB38" i="1" s="1"/>
  <c r="AB47" i="1"/>
  <c r="AB34" i="1"/>
  <c r="AD36" i="1"/>
  <c r="AE36" i="1"/>
  <c r="AI36" i="1"/>
  <c r="AJ36" i="1"/>
  <c r="AK36" i="1"/>
  <c r="AL36" i="1"/>
  <c r="AM36" i="1"/>
  <c r="AN36" i="1"/>
  <c r="AO36" i="1"/>
  <c r="AD37" i="1"/>
  <c r="AE37" i="1"/>
  <c r="AD38" i="1"/>
  <c r="AE38" i="1"/>
  <c r="AD39" i="1"/>
  <c r="AE39" i="1"/>
  <c r="F236" i="1"/>
  <c r="F210" i="1"/>
  <c r="N41" i="1"/>
  <c r="O42" i="1"/>
  <c r="P42" i="1" s="1"/>
  <c r="Q42" i="1" s="1"/>
  <c r="R42" i="1" s="1"/>
  <c r="AD42" i="1"/>
  <c r="AE42" i="1"/>
  <c r="AI42" i="1"/>
  <c r="AJ42" i="1"/>
  <c r="AK42" i="1"/>
  <c r="AL42" i="1"/>
  <c r="AM42" i="1"/>
  <c r="AN42" i="1"/>
  <c r="AO42" i="1"/>
  <c r="Z43" i="1"/>
  <c r="AA43" i="1"/>
  <c r="AB43" i="1"/>
  <c r="AD43" i="1"/>
  <c r="AE43" i="1"/>
  <c r="M44" i="1"/>
  <c r="N44" i="1"/>
  <c r="AD44" i="1"/>
  <c r="AE44" i="1"/>
  <c r="E45" i="1"/>
  <c r="F45" i="1"/>
  <c r="G45" i="1" s="1"/>
  <c r="H45" i="1" s="1"/>
  <c r="I45" i="1" s="1"/>
  <c r="E49" i="1" s="1"/>
  <c r="F49" i="1" s="1"/>
  <c r="G49" i="1" s="1"/>
  <c r="H49" i="1" s="1"/>
  <c r="I49" i="1" s="1"/>
  <c r="F65" i="1"/>
  <c r="M45" i="1"/>
  <c r="N45" i="1"/>
  <c r="O45" i="1"/>
  <c r="P45" i="1"/>
  <c r="AD45" i="1"/>
  <c r="AE45" i="1"/>
  <c r="M47" i="1"/>
  <c r="F72" i="1"/>
  <c r="M48" i="1"/>
  <c r="AF73" i="1"/>
  <c r="L123" i="1"/>
  <c r="AF65" i="1"/>
  <c r="L108" i="1"/>
  <c r="AF67" i="1"/>
  <c r="L109" i="1" s="1"/>
  <c r="AF68" i="1"/>
  <c r="L110" i="1"/>
  <c r="L114" i="1"/>
  <c r="L116" i="1"/>
  <c r="L118" i="1"/>
  <c r="L65" i="1" a="1"/>
  <c r="L65" i="1" s="1"/>
  <c r="L69" i="1" a="1"/>
  <c r="L69" i="1"/>
  <c r="L75" i="1" a="1"/>
  <c r="L75" i="1"/>
  <c r="AF135" i="1"/>
  <c r="AF78" i="1"/>
  <c r="AF79" i="1"/>
  <c r="L120" i="1"/>
  <c r="L93" i="1"/>
  <c r="L96" i="1"/>
  <c r="L98" i="1"/>
  <c r="AG73" i="1"/>
  <c r="M123" i="1" s="1"/>
  <c r="AG65" i="1"/>
  <c r="M108" i="1"/>
  <c r="AG67" i="1"/>
  <c r="M109" i="1" s="1"/>
  <c r="AG68" i="1"/>
  <c r="M110" i="1"/>
  <c r="M114" i="1"/>
  <c r="M116" i="1"/>
  <c r="M118" i="1"/>
  <c r="M65" i="1" a="1"/>
  <c r="M65" i="1" s="1"/>
  <c r="M69" i="1" a="1"/>
  <c r="M69" i="1" s="1"/>
  <c r="M75" i="1" a="1"/>
  <c r="M75" i="1"/>
  <c r="AG78" i="1"/>
  <c r="AG79" i="1"/>
  <c r="M120" i="1"/>
  <c r="M93" i="1"/>
  <c r="M96" i="1"/>
  <c r="M98" i="1"/>
  <c r="AH73" i="1"/>
  <c r="N123" i="1"/>
  <c r="AH65" i="1"/>
  <c r="N108" i="1"/>
  <c r="AH67" i="1"/>
  <c r="N109" i="1"/>
  <c r="AH68" i="1"/>
  <c r="N110" i="1"/>
  <c r="N114" i="1"/>
  <c r="N116" i="1"/>
  <c r="N118" i="1"/>
  <c r="N65" i="1" a="1"/>
  <c r="N65" i="1" s="1"/>
  <c r="N69" i="1" a="1"/>
  <c r="N69" i="1" s="1"/>
  <c r="N75" i="1" a="1"/>
  <c r="N75" i="1"/>
  <c r="AH78" i="1"/>
  <c r="N120" i="1"/>
  <c r="N93" i="1"/>
  <c r="N96" i="1"/>
  <c r="N98" i="1"/>
  <c r="AI73" i="1"/>
  <c r="O123" i="1"/>
  <c r="AI65" i="1"/>
  <c r="O108" i="1"/>
  <c r="AI67" i="1"/>
  <c r="O109" i="1"/>
  <c r="AI68" i="1"/>
  <c r="O110" i="1" s="1"/>
  <c r="O114" i="1"/>
  <c r="O116" i="1"/>
  <c r="O118" i="1"/>
  <c r="O65" i="1" a="1"/>
  <c r="O65" i="1" s="1"/>
  <c r="O69" i="1" a="1"/>
  <c r="O69" i="1"/>
  <c r="O75" i="1" a="1"/>
  <c r="O75" i="1"/>
  <c r="AI78" i="1"/>
  <c r="O120" i="1"/>
  <c r="O465" i="1"/>
  <c r="O93" i="1"/>
  <c r="O96" i="1"/>
  <c r="O98" i="1"/>
  <c r="AJ73" i="1"/>
  <c r="P123" i="1" s="1"/>
  <c r="AJ65" i="1"/>
  <c r="P108" i="1"/>
  <c r="AJ67" i="1"/>
  <c r="P109" i="1"/>
  <c r="AJ68" i="1"/>
  <c r="P110" i="1"/>
  <c r="P114" i="1"/>
  <c r="P116" i="1"/>
  <c r="P118" i="1"/>
  <c r="P65" i="1" a="1"/>
  <c r="P65" i="1" s="1"/>
  <c r="P69" i="1" a="1"/>
  <c r="P69" i="1" s="1"/>
  <c r="P75" i="1" a="1"/>
  <c r="P75" i="1"/>
  <c r="AJ78" i="1"/>
  <c r="P124" i="1" s="1"/>
  <c r="P120" i="1"/>
  <c r="P465" i="1"/>
  <c r="P93" i="1"/>
  <c r="P96" i="1"/>
  <c r="P98" i="1"/>
  <c r="F78" i="1"/>
  <c r="M51" i="1" s="1"/>
  <c r="Z52" i="1"/>
  <c r="AA52" i="1"/>
  <c r="AB52" i="1"/>
  <c r="M54" i="1"/>
  <c r="M55" i="1"/>
  <c r="D61" i="1"/>
  <c r="G61" i="1"/>
  <c r="G62" i="1"/>
  <c r="F62" i="1"/>
  <c r="E62" i="1"/>
  <c r="D62" i="1" s="1"/>
  <c r="H62" i="1"/>
  <c r="I62" i="1" s="1"/>
  <c r="J62" i="1" s="1"/>
  <c r="K62" i="1" s="1"/>
  <c r="L62" i="1" s="1"/>
  <c r="M62" i="1" s="1"/>
  <c r="N62" i="1" s="1"/>
  <c r="O62" i="1" s="1"/>
  <c r="P62" i="1" s="1"/>
  <c r="AA63" i="1"/>
  <c r="AB63" i="1"/>
  <c r="AC63" i="1"/>
  <c r="AD63" i="1" s="1"/>
  <c r="E65" i="1"/>
  <c r="G66" i="1"/>
  <c r="V67" i="1"/>
  <c r="V68" i="1"/>
  <c r="D69" i="1"/>
  <c r="E69" i="1"/>
  <c r="F69" i="1"/>
  <c r="V69" i="1"/>
  <c r="V70" i="1"/>
  <c r="D71" i="1"/>
  <c r="E71" i="1"/>
  <c r="E77" i="1" s="1"/>
  <c r="V71" i="1"/>
  <c r="D72" i="1"/>
  <c r="V72" i="1"/>
  <c r="D75" i="1"/>
  <c r="E75" i="1"/>
  <c r="F75" i="1"/>
  <c r="AA76" i="1"/>
  <c r="AB76" i="1"/>
  <c r="D77" i="1"/>
  <c r="D78" i="1" s="1"/>
  <c r="E78" i="1"/>
  <c r="AA82" i="1"/>
  <c r="AB82" i="1" s="1"/>
  <c r="AC82" i="1" s="1"/>
  <c r="AD82" i="1" s="1"/>
  <c r="AE82" i="1" s="1"/>
  <c r="AF82" i="1" s="1"/>
  <c r="AG82" i="1" s="1"/>
  <c r="AH82" i="1" s="1"/>
  <c r="AI82" i="1" s="1"/>
  <c r="AJ82" i="1" s="1"/>
  <c r="D83" i="1"/>
  <c r="E83" i="1"/>
  <c r="F83" i="1"/>
  <c r="V83" i="1"/>
  <c r="V84" i="1"/>
  <c r="V85" i="1"/>
  <c r="V86" i="1"/>
  <c r="D87" i="1"/>
  <c r="E87" i="1"/>
  <c r="F87" i="1"/>
  <c r="V87" i="1"/>
  <c r="V96" i="1"/>
  <c r="V97" i="1"/>
  <c r="V98" i="1"/>
  <c r="V99" i="1"/>
  <c r="V100" i="1"/>
  <c r="G103" i="1"/>
  <c r="H103" i="1" s="1"/>
  <c r="I103" i="1" s="1"/>
  <c r="J103" i="1" s="1"/>
  <c r="K103" i="1"/>
  <c r="L103" i="1"/>
  <c r="M103" i="1" s="1"/>
  <c r="N103" i="1" s="1"/>
  <c r="O103" i="1" s="1"/>
  <c r="P103" i="1" s="1"/>
  <c r="G106" i="1"/>
  <c r="H106" i="1"/>
  <c r="I106" i="1"/>
  <c r="J106" i="1"/>
  <c r="K106" i="1"/>
  <c r="L106" i="1"/>
  <c r="M106" i="1"/>
  <c r="N106" i="1"/>
  <c r="O106" i="1"/>
  <c r="P106" i="1"/>
  <c r="V106" i="1"/>
  <c r="C107" i="1"/>
  <c r="C122" i="1" s="1"/>
  <c r="V107" i="1"/>
  <c r="B108" i="1"/>
  <c r="C108" i="1"/>
  <c r="E108" i="1"/>
  <c r="V108" i="1"/>
  <c r="J145" i="1"/>
  <c r="B114" i="1" s="1"/>
  <c r="B109" i="1"/>
  <c r="C109" i="1"/>
  <c r="E109" i="1"/>
  <c r="V109" i="1"/>
  <c r="W109" i="1"/>
  <c r="J144" i="1"/>
  <c r="B110" i="1" s="1"/>
  <c r="C110" i="1"/>
  <c r="E110" i="1"/>
  <c r="V110" i="1"/>
  <c r="B112" i="1"/>
  <c r="E112" i="1"/>
  <c r="G112" i="1"/>
  <c r="H112" i="1"/>
  <c r="I112" i="1"/>
  <c r="J112" i="1"/>
  <c r="K112" i="1"/>
  <c r="L112" i="1"/>
  <c r="M112" i="1"/>
  <c r="N112" i="1"/>
  <c r="O112" i="1"/>
  <c r="P112" i="1"/>
  <c r="E114" i="1"/>
  <c r="J146" i="1"/>
  <c r="B116" i="1"/>
  <c r="E116" i="1"/>
  <c r="V117" i="1"/>
  <c r="J147" i="1"/>
  <c r="B118" i="1"/>
  <c r="E118" i="1"/>
  <c r="V118" i="1"/>
  <c r="B120" i="1"/>
  <c r="Z121" i="1"/>
  <c r="C123" i="1"/>
  <c r="E123" i="1"/>
  <c r="G124" i="1"/>
  <c r="H124" i="1"/>
  <c r="I124" i="1"/>
  <c r="J124" i="1"/>
  <c r="K124" i="1"/>
  <c r="L124" i="1"/>
  <c r="M124" i="1"/>
  <c r="N124" i="1"/>
  <c r="O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M126" i="1"/>
  <c r="N126" i="1"/>
  <c r="O126" i="1"/>
  <c r="P126" i="1"/>
  <c r="D133" i="1"/>
  <c r="M133" i="1"/>
  <c r="M139" i="1"/>
  <c r="N139" i="1"/>
  <c r="O139" i="1"/>
  <c r="P139" i="1"/>
  <c r="D141" i="1"/>
  <c r="F141" i="1"/>
  <c r="E143" i="1"/>
  <c r="G143" i="1"/>
  <c r="F217" i="1" s="1"/>
  <c r="J143" i="1"/>
  <c r="G144" i="1"/>
  <c r="F218" i="1" s="1"/>
  <c r="D145" i="1"/>
  <c r="E145" i="1"/>
  <c r="F145" i="1"/>
  <c r="F152" i="1" s="1"/>
  <c r="G145" i="1"/>
  <c r="N148" i="1"/>
  <c r="N153" i="1" s="1"/>
  <c r="G150" i="1"/>
  <c r="F224" i="1" s="1"/>
  <c r="G224" i="1" s="1"/>
  <c r="H224" i="1" s="1"/>
  <c r="I224" i="1" s="1"/>
  <c r="J224" i="1" s="1"/>
  <c r="K224" i="1" s="1"/>
  <c r="L224" i="1" s="1"/>
  <c r="M224" i="1" s="1"/>
  <c r="N224" i="1" s="1"/>
  <c r="O224" i="1" s="1"/>
  <c r="P224" i="1" s="1"/>
  <c r="P150" i="1"/>
  <c r="P151" i="1"/>
  <c r="D152" i="1"/>
  <c r="M153" i="1"/>
  <c r="N156" i="1"/>
  <c r="M157" i="1"/>
  <c r="M159" i="1"/>
  <c r="M161" i="1" s="1"/>
  <c r="G167" i="1"/>
  <c r="F168" i="1"/>
  <c r="B176" i="1"/>
  <c r="B180" i="1"/>
  <c r="B181" i="1"/>
  <c r="B182" i="1"/>
  <c r="B184" i="1"/>
  <c r="B185" i="1"/>
  <c r="B186" i="1"/>
  <c r="G207" i="1"/>
  <c r="G208" i="1"/>
  <c r="H208" i="1" s="1"/>
  <c r="F208" i="1"/>
  <c r="I208" i="1"/>
  <c r="J208" i="1" s="1"/>
  <c r="K208" i="1" s="1"/>
  <c r="L208" i="1"/>
  <c r="M208" i="1" s="1"/>
  <c r="N208" i="1"/>
  <c r="O208" i="1" s="1"/>
  <c r="P208" i="1" s="1"/>
  <c r="F230" i="1"/>
  <c r="F233" i="1"/>
  <c r="B237" i="1"/>
  <c r="B238" i="1"/>
  <c r="B239" i="1"/>
  <c r="B240" i="1"/>
  <c r="B241" i="1"/>
  <c r="F244" i="1"/>
  <c r="G244" i="1"/>
  <c r="H244" i="1"/>
  <c r="I244" i="1" s="1"/>
  <c r="J244" i="1" s="1"/>
  <c r="K244" i="1" s="1"/>
  <c r="L244" i="1" s="1"/>
  <c r="M244" i="1" s="1"/>
  <c r="N244" i="1" s="1"/>
  <c r="O244" i="1"/>
  <c r="P244" i="1" s="1"/>
  <c r="F245" i="1"/>
  <c r="L519" i="1"/>
  <c r="M519" i="1"/>
  <c r="N519" i="1"/>
  <c r="O519" i="1"/>
  <c r="P519" i="1"/>
  <c r="G263" i="1"/>
  <c r="G264" i="1"/>
  <c r="H264" i="1" s="1"/>
  <c r="I264" i="1"/>
  <c r="J264" i="1" s="1"/>
  <c r="K264" i="1" s="1"/>
  <c r="L264" i="1" s="1"/>
  <c r="M264" i="1" s="1"/>
  <c r="N264" i="1" s="1"/>
  <c r="O264" i="1" s="1"/>
  <c r="P264" i="1" s="1"/>
  <c r="B271" i="1"/>
  <c r="B272" i="1"/>
  <c r="B273" i="1"/>
  <c r="B274" i="1"/>
  <c r="B295" i="1"/>
  <c r="B296" i="1"/>
  <c r="B297" i="1"/>
  <c r="B298" i="1"/>
  <c r="B299" i="1"/>
  <c r="B303" i="1"/>
  <c r="B304" i="1"/>
  <c r="B305" i="1"/>
  <c r="B306" i="1"/>
  <c r="G321" i="1"/>
  <c r="G322" i="1"/>
  <c r="F322" i="1" s="1"/>
  <c r="B357" i="1"/>
  <c r="G366" i="1"/>
  <c r="G367" i="1"/>
  <c r="F367" i="1" s="1"/>
  <c r="B402" i="1"/>
  <c r="G411" i="1"/>
  <c r="B417" i="1"/>
  <c r="G464" i="1"/>
  <c r="H464" i="1"/>
  <c r="I464" i="1"/>
  <c r="B465" i="1"/>
  <c r="F467" i="1"/>
  <c r="B471" i="1"/>
  <c r="F473" i="1"/>
  <c r="B477" i="1"/>
  <c r="F479" i="1"/>
  <c r="B484" i="1"/>
  <c r="F486" i="1"/>
  <c r="B491" i="1"/>
  <c r="F493" i="1"/>
  <c r="B499" i="1"/>
  <c r="F501" i="1"/>
  <c r="B507" i="1"/>
  <c r="F509" i="1"/>
  <c r="F524" i="1"/>
  <c r="B535" i="1"/>
  <c r="B536" i="1"/>
  <c r="B539" i="1"/>
  <c r="B540" i="1"/>
  <c r="B541" i="1"/>
  <c r="B542" i="1"/>
  <c r="G548" i="1"/>
  <c r="G549" i="1"/>
  <c r="H549" i="1"/>
  <c r="I549" i="1" s="1"/>
  <c r="J549" i="1" s="1"/>
  <c r="K549" i="1" s="1"/>
  <c r="L549" i="1" s="1"/>
  <c r="M549" i="1" s="1"/>
  <c r="N549" i="1" s="1"/>
  <c r="O549" i="1" s="1"/>
  <c r="P549" i="1"/>
  <c r="G552" i="1"/>
  <c r="H552" i="1"/>
  <c r="I552" i="1"/>
  <c r="J552" i="1"/>
  <c r="L552" i="1"/>
  <c r="M552" i="1"/>
  <c r="N552" i="1"/>
  <c r="O552" i="1"/>
  <c r="P552" i="1"/>
  <c r="G569" i="1"/>
  <c r="G570" i="1"/>
  <c r="H570" i="1"/>
  <c r="I570" i="1" s="1"/>
  <c r="J570" i="1" s="1"/>
  <c r="K570" i="1" s="1"/>
  <c r="L570" i="1" s="1"/>
  <c r="M570" i="1" s="1"/>
  <c r="N570" i="1" s="1"/>
  <c r="O570" i="1" s="1"/>
  <c r="P570" i="1" s="1"/>
  <c r="B572" i="1"/>
  <c r="B573" i="1"/>
  <c r="B574" i="1"/>
  <c r="B575" i="1"/>
  <c r="B576" i="1"/>
  <c r="B577" i="1"/>
  <c r="B578" i="1"/>
  <c r="B579" i="1"/>
  <c r="B580" i="1"/>
  <c r="B581" i="1"/>
  <c r="B589" i="1"/>
  <c r="B591" i="1"/>
  <c r="G591" i="1"/>
  <c r="G592" i="1"/>
  <c r="H592" i="1" s="1"/>
  <c r="I592" i="1" s="1"/>
  <c r="G598" i="1"/>
  <c r="G599" i="1"/>
  <c r="B601" i="1"/>
  <c r="B602" i="1"/>
  <c r="B603" i="1"/>
  <c r="B604" i="1"/>
  <c r="B605" i="1"/>
  <c r="B606" i="1"/>
  <c r="B607" i="1"/>
  <c r="B608" i="1"/>
  <c r="B609" i="1"/>
  <c r="B610" i="1"/>
  <c r="B613" i="1"/>
  <c r="C615" i="1"/>
  <c r="J617" i="1"/>
  <c r="I617" i="1"/>
  <c r="H617" i="1"/>
  <c r="K617" i="1"/>
  <c r="L617" i="1" s="1"/>
  <c r="G618" i="1"/>
  <c r="C627" i="1"/>
  <c r="G630" i="1"/>
  <c r="B647" i="1"/>
  <c r="B649" i="1"/>
  <c r="G649" i="1"/>
  <c r="G650" i="1"/>
  <c r="G663" i="1"/>
  <c r="B666" i="1"/>
  <c r="B667" i="1"/>
  <c r="B668" i="1"/>
  <c r="B669" i="1"/>
  <c r="B670" i="1"/>
  <c r="B671" i="1"/>
  <c r="B672" i="1"/>
  <c r="B673" i="1"/>
  <c r="B674" i="1"/>
  <c r="B675" i="1"/>
  <c r="B678" i="1"/>
  <c r="C680" i="1"/>
  <c r="G681" i="1"/>
  <c r="F685" i="1"/>
  <c r="F684" i="1" s="1"/>
  <c r="F683" i="1"/>
  <c r="F695" i="1"/>
  <c r="F686" i="1"/>
  <c r="F687" i="1" s="1"/>
  <c r="C690" i="1"/>
  <c r="G691" i="1"/>
  <c r="B705" i="1"/>
  <c r="B707" i="1"/>
  <c r="G707" i="1"/>
  <c r="G708" i="1"/>
  <c r="H708" i="1"/>
  <c r="I708" i="1"/>
  <c r="J708" i="1" s="1"/>
  <c r="G721" i="1"/>
  <c r="G722" i="1"/>
  <c r="H722" i="1"/>
  <c r="I722" i="1"/>
  <c r="B724" i="1"/>
  <c r="B725" i="1"/>
  <c r="B726" i="1"/>
  <c r="B727" i="1"/>
  <c r="B728" i="1"/>
  <c r="B729" i="1"/>
  <c r="B730" i="1"/>
  <c r="B731" i="1"/>
  <c r="B732" i="1"/>
  <c r="B733" i="1"/>
  <c r="B736" i="1"/>
  <c r="C738" i="1"/>
  <c r="G739" i="1"/>
  <c r="F743" i="1"/>
  <c r="F742" i="1"/>
  <c r="F741" i="1"/>
  <c r="F753" i="1"/>
  <c r="F752" i="1" s="1"/>
  <c r="F751" i="1" s="1"/>
  <c r="F744" i="1"/>
  <c r="F745" i="1" s="1"/>
  <c r="F754" i="1"/>
  <c r="F755" i="1" s="1"/>
  <c r="C748" i="1"/>
  <c r="G749" i="1"/>
  <c r="B763" i="1"/>
  <c r="B765" i="1"/>
  <c r="G765" i="1"/>
  <c r="G766" i="1"/>
  <c r="G780" i="1" s="1"/>
  <c r="G779" i="1"/>
  <c r="B782" i="1"/>
  <c r="B783" i="1"/>
  <c r="B784" i="1"/>
  <c r="B785" i="1"/>
  <c r="B786" i="1"/>
  <c r="B787" i="1"/>
  <c r="B788" i="1"/>
  <c r="B789" i="1"/>
  <c r="B790" i="1"/>
  <c r="B791" i="1"/>
  <c r="B794" i="1"/>
  <c r="C796" i="1"/>
  <c r="G797" i="1"/>
  <c r="F801" i="1"/>
  <c r="F802" i="1" s="1"/>
  <c r="F803" i="1" s="1"/>
  <c r="F811" i="1"/>
  <c r="F810" i="1" s="1"/>
  <c r="F809" i="1" s="1"/>
  <c r="F812" i="1"/>
  <c r="F813" i="1" s="1"/>
  <c r="C806" i="1"/>
  <c r="G807" i="1"/>
  <c r="B821" i="1"/>
  <c r="B823" i="1"/>
  <c r="G823" i="1"/>
  <c r="G824" i="1"/>
  <c r="G838" i="1" s="1"/>
  <c r="G829" i="1"/>
  <c r="H829" i="1"/>
  <c r="I829" i="1"/>
  <c r="J829" i="1"/>
  <c r="K829" i="1"/>
  <c r="L829" i="1"/>
  <c r="M829" i="1"/>
  <c r="N829" i="1"/>
  <c r="O829" i="1"/>
  <c r="P829" i="1"/>
  <c r="G837" i="1"/>
  <c r="B840" i="1"/>
  <c r="B841" i="1"/>
  <c r="B842" i="1"/>
  <c r="B843" i="1"/>
  <c r="B844" i="1"/>
  <c r="B845" i="1"/>
  <c r="B846" i="1"/>
  <c r="B847" i="1"/>
  <c r="B848" i="1"/>
  <c r="B849" i="1"/>
  <c r="B852" i="1"/>
  <c r="C854" i="1"/>
  <c r="G855" i="1"/>
  <c r="F859" i="1"/>
  <c r="F860" i="1" s="1"/>
  <c r="F861" i="1" s="1"/>
  <c r="F869" i="1"/>
  <c r="F868" i="1" s="1"/>
  <c r="F867" i="1" s="1"/>
  <c r="C864" i="1"/>
  <c r="G865" i="1"/>
  <c r="I8" i="8"/>
  <c r="I7" i="8"/>
  <c r="E8" i="8"/>
  <c r="E11" i="8" s="1"/>
  <c r="E9" i="8"/>
  <c r="E10" i="8"/>
  <c r="F21" i="8"/>
  <c r="G21" i="8"/>
  <c r="H21" i="8"/>
  <c r="I21" i="8" s="1"/>
  <c r="J21" i="8" s="1"/>
  <c r="K21" i="8" s="1"/>
  <c r="L21" i="8" s="1"/>
  <c r="M21" i="8" s="1"/>
  <c r="N21" i="8" s="1"/>
  <c r="E22" i="8"/>
  <c r="F22" i="8"/>
  <c r="E11" i="5"/>
  <c r="H37" i="5"/>
  <c r="I37" i="5"/>
  <c r="J37" i="5"/>
  <c r="H38" i="5"/>
  <c r="I38" i="5"/>
  <c r="J38" i="5"/>
  <c r="K708" i="1" l="1"/>
  <c r="J722" i="1"/>
  <c r="H40" i="5"/>
  <c r="I40" i="5"/>
  <c r="D31" i="8"/>
  <c r="F870" i="1"/>
  <c r="F871" i="1" s="1"/>
  <c r="F858" i="1"/>
  <c r="F857" i="1" s="1"/>
  <c r="H824" i="1"/>
  <c r="F696" i="1"/>
  <c r="F697" i="1" s="1"/>
  <c r="F694" i="1"/>
  <c r="F693" i="1" s="1"/>
  <c r="H766" i="1"/>
  <c r="H650" i="1"/>
  <c r="G664" i="1"/>
  <c r="H599" i="1"/>
  <c r="G217" i="1"/>
  <c r="F219" i="1"/>
  <c r="F800" i="1"/>
  <c r="F799" i="1" s="1"/>
  <c r="J592" i="1"/>
  <c r="I599" i="1"/>
  <c r="H322" i="1"/>
  <c r="I322" i="1" s="1"/>
  <c r="J322" i="1" s="1"/>
  <c r="K322" i="1" s="1"/>
  <c r="L322" i="1" s="1"/>
  <c r="M322" i="1" s="1"/>
  <c r="N322" i="1" s="1"/>
  <c r="O322" i="1" s="1"/>
  <c r="P322" i="1" s="1"/>
  <c r="N157" i="1"/>
  <c r="N159" i="1" s="1"/>
  <c r="B183" i="1"/>
  <c r="AE63" i="1"/>
  <c r="J464" i="1"/>
  <c r="H367" i="1"/>
  <c r="I367" i="1" s="1"/>
  <c r="J367" i="1" s="1"/>
  <c r="K367" i="1" s="1"/>
  <c r="L367" i="1" s="1"/>
  <c r="M367" i="1" s="1"/>
  <c r="N367" i="1" s="1"/>
  <c r="O367" i="1" s="1"/>
  <c r="P367" i="1" s="1"/>
  <c r="O29" i="1"/>
  <c r="J629" i="1"/>
  <c r="E79" i="1"/>
  <c r="F79" i="1"/>
  <c r="AH79" i="1"/>
  <c r="M125" i="1"/>
  <c r="E72" i="1"/>
  <c r="AA38" i="1"/>
  <c r="AA34" i="1" s="1"/>
  <c r="G467" i="1"/>
  <c r="G469" i="1" s="1"/>
  <c r="AQ30" i="1"/>
  <c r="AP42" i="1"/>
  <c r="L34" i="1"/>
  <c r="H98" i="1"/>
  <c r="H232" i="1" s="1"/>
  <c r="I98" i="1"/>
  <c r="G98" i="1"/>
  <c r="G232" i="1" s="1"/>
  <c r="G281" i="1" s="1"/>
  <c r="F91" i="1"/>
  <c r="H412" i="1"/>
  <c r="G181" i="1"/>
  <c r="H64" i="1"/>
  <c r="G68" i="1"/>
  <c r="G71" i="1" s="1"/>
  <c r="G82" i="1"/>
  <c r="G74" i="1"/>
  <c r="G173" i="1" s="1"/>
  <c r="G96" i="1"/>
  <c r="K96" i="1"/>
  <c r="H96" i="1"/>
  <c r="I96" i="1"/>
  <c r="Y47" i="1"/>
  <c r="Y48" i="1" s="1"/>
  <c r="D11" i="1"/>
  <c r="D12" i="1"/>
  <c r="E149" i="1" s="1"/>
  <c r="G149" i="1" s="1"/>
  <c r="H176" i="1" s="1"/>
  <c r="H269" i="1" s="1"/>
  <c r="L32" i="1"/>
  <c r="I168" i="1"/>
  <c r="K98" i="1"/>
  <c r="F95" i="1"/>
  <c r="G189" i="1"/>
  <c r="AG135" i="1"/>
  <c r="D29" i="1"/>
  <c r="F29" i="1"/>
  <c r="G29" i="1" s="1"/>
  <c r="H29" i="1" s="1"/>
  <c r="I29" i="1" s="1"/>
  <c r="G93" i="1"/>
  <c r="J93" i="1"/>
  <c r="K93" i="1"/>
  <c r="AA129" i="1"/>
  <c r="AB126" i="1"/>
  <c r="Z38" i="1"/>
  <c r="Z35" i="1"/>
  <c r="H93" i="1"/>
  <c r="F172" i="1"/>
  <c r="F174" i="1" s="1"/>
  <c r="F324" i="1" s="1"/>
  <c r="Q23" i="1"/>
  <c r="Y35" i="1"/>
  <c r="Y36" i="1" s="1"/>
  <c r="I16" i="1" s="1"/>
  <c r="I14" i="1"/>
  <c r="I13" i="1"/>
  <c r="Z108" i="1" l="1"/>
  <c r="H540" i="1" s="1"/>
  <c r="X108" i="1"/>
  <c r="Y108" i="1"/>
  <c r="F540" i="1" s="1"/>
  <c r="G500" i="1"/>
  <c r="AA108" i="1"/>
  <c r="J540" i="1" s="1"/>
  <c r="O146" i="1"/>
  <c r="P146" i="1" s="1"/>
  <c r="F240" i="1" s="1"/>
  <c r="F709" i="1"/>
  <c r="G77" i="1"/>
  <c r="G72" i="1"/>
  <c r="N48" i="1" s="1"/>
  <c r="N47" i="1"/>
  <c r="AC126" i="1"/>
  <c r="AB129" i="1"/>
  <c r="H231" i="1"/>
  <c r="I650" i="1"/>
  <c r="H664" i="1"/>
  <c r="G213" i="1"/>
  <c r="H91" i="1"/>
  <c r="H212" i="1" s="1"/>
  <c r="I91" i="1"/>
  <c r="G91" i="1"/>
  <c r="G212" i="1" s="1"/>
  <c r="M91" i="1"/>
  <c r="J91" i="1"/>
  <c r="K91" i="1"/>
  <c r="N91" i="1"/>
  <c r="O91" i="1"/>
  <c r="P91" i="1"/>
  <c r="L91" i="1"/>
  <c r="H466" i="1"/>
  <c r="G230" i="1"/>
  <c r="H780" i="1"/>
  <c r="I766" i="1"/>
  <c r="AI79" i="1"/>
  <c r="N125" i="1"/>
  <c r="AF63" i="1"/>
  <c r="K464" i="1"/>
  <c r="J168" i="1"/>
  <c r="I176" i="1"/>
  <c r="I269" i="1" s="1"/>
  <c r="AC76" i="1"/>
  <c r="G22" i="8"/>
  <c r="G231" i="1"/>
  <c r="G478" i="1"/>
  <c r="O143" i="1"/>
  <c r="H213" i="1"/>
  <c r="AH135" i="1"/>
  <c r="I824" i="1"/>
  <c r="H838" i="1"/>
  <c r="Y49" i="1"/>
  <c r="D16" i="1" s="1"/>
  <c r="G86" i="1"/>
  <c r="G287" i="1"/>
  <c r="G418" i="1" s="1"/>
  <c r="N54" i="1"/>
  <c r="E27" i="8"/>
  <c r="H281" i="1"/>
  <c r="G473" i="1"/>
  <c r="G475" i="1" s="1"/>
  <c r="F326" i="1"/>
  <c r="O144" i="1"/>
  <c r="P144" i="1" s="1"/>
  <c r="F238" i="1" s="1"/>
  <c r="G485" i="1"/>
  <c r="G524" i="1"/>
  <c r="D15" i="1"/>
  <c r="K629" i="1"/>
  <c r="P29" i="1"/>
  <c r="K592" i="1"/>
  <c r="J599" i="1"/>
  <c r="Y37" i="1"/>
  <c r="I17" i="1"/>
  <c r="G176" i="1"/>
  <c r="G269" i="1" s="1"/>
  <c r="F223" i="1"/>
  <c r="G223" i="1" s="1"/>
  <c r="H223" i="1" s="1"/>
  <c r="G171" i="1"/>
  <c r="G172" i="1" s="1"/>
  <c r="G174" i="1" s="1"/>
  <c r="I15" i="1"/>
  <c r="I18" i="1" s="1"/>
  <c r="D13" i="1"/>
  <c r="C157" i="1"/>
  <c r="C161" i="1" s="1"/>
  <c r="G158" i="1" s="1"/>
  <c r="Q11" i="1"/>
  <c r="E12" i="5" s="1"/>
  <c r="I64" i="1"/>
  <c r="I232" i="1" s="1"/>
  <c r="I281" i="1" s="1"/>
  <c r="H68" i="1"/>
  <c r="H82" i="1"/>
  <c r="H217" i="1" s="1"/>
  <c r="H74" i="1"/>
  <c r="H173" i="1" s="1"/>
  <c r="O44" i="1"/>
  <c r="H170" i="1"/>
  <c r="H66" i="1"/>
  <c r="H71" i="1"/>
  <c r="J95" i="1"/>
  <c r="G95" i="1"/>
  <c r="G214" i="1" s="1"/>
  <c r="K95" i="1"/>
  <c r="H95" i="1"/>
  <c r="H214" i="1" s="1"/>
  <c r="I95" i="1"/>
  <c r="M95" i="1"/>
  <c r="L95" i="1"/>
  <c r="P95" i="1"/>
  <c r="N95" i="1"/>
  <c r="O95" i="1"/>
  <c r="AR30" i="1"/>
  <c r="AQ36" i="1"/>
  <c r="AQ42" i="1"/>
  <c r="I412" i="1"/>
  <c r="L708" i="1"/>
  <c r="K722" i="1"/>
  <c r="I217" i="1" l="1"/>
  <c r="X110" i="1"/>
  <c r="H180" i="1"/>
  <c r="H278" i="1"/>
  <c r="G278" i="1"/>
  <c r="L629" i="1"/>
  <c r="R29" i="1" s="1"/>
  <c r="Q29" i="1"/>
  <c r="J176" i="1"/>
  <c r="J269" i="1" s="1"/>
  <c r="K168" i="1"/>
  <c r="AD76" i="1"/>
  <c r="H22" i="8"/>
  <c r="H472" i="1"/>
  <c r="G236" i="1"/>
  <c r="H280" i="1"/>
  <c r="G94" i="1"/>
  <c r="J650" i="1"/>
  <c r="I664" i="1"/>
  <c r="G182" i="1"/>
  <c r="AD126" i="1"/>
  <c r="AC129" i="1"/>
  <c r="H279" i="1"/>
  <c r="G279" i="1"/>
  <c r="J824" i="1"/>
  <c r="I838" i="1"/>
  <c r="AI135" i="1"/>
  <c r="AR42" i="1"/>
  <c r="AR36" i="1"/>
  <c r="G487" i="1"/>
  <c r="G295" i="1" s="1"/>
  <c r="G183" i="1"/>
  <c r="G486" i="1" s="1"/>
  <c r="P143" i="1"/>
  <c r="O148" i="1"/>
  <c r="O153" i="1" s="1"/>
  <c r="I223" i="1"/>
  <c r="J223" i="1" s="1"/>
  <c r="G425" i="1"/>
  <c r="G427" i="1" s="1"/>
  <c r="G175" i="1"/>
  <c r="G268" i="1" s="1"/>
  <c r="G88" i="1"/>
  <c r="G426" i="1" s="1"/>
  <c r="N55" i="1"/>
  <c r="G218" i="1"/>
  <c r="E26" i="8"/>
  <c r="E148" i="1"/>
  <c r="G148" i="1" s="1"/>
  <c r="G160" i="1"/>
  <c r="O47" i="1"/>
  <c r="H72" i="1"/>
  <c r="O48" i="1" s="1"/>
  <c r="H77" i="1"/>
  <c r="L464" i="1"/>
  <c r="AG63" i="1"/>
  <c r="M708" i="1"/>
  <c r="L722" i="1"/>
  <c r="H287" i="1"/>
  <c r="H418" i="1" s="1"/>
  <c r="H86" i="1"/>
  <c r="O54" i="1"/>
  <c r="F27" i="8"/>
  <c r="AA109" i="1"/>
  <c r="J541" i="1" s="1"/>
  <c r="Z109" i="1"/>
  <c r="H541" i="1" s="1"/>
  <c r="Y109" i="1"/>
  <c r="F541" i="1" s="1"/>
  <c r="X109" i="1"/>
  <c r="G508" i="1"/>
  <c r="O147" i="1"/>
  <c r="P147" i="1" s="1"/>
  <c r="F241" i="1" s="1"/>
  <c r="F767" i="1"/>
  <c r="D17" i="1"/>
  <c r="E137" i="1" s="1"/>
  <c r="H277" i="1"/>
  <c r="H282" i="1" s="1"/>
  <c r="F28" i="8" s="1"/>
  <c r="G92" i="1"/>
  <c r="H92" i="1"/>
  <c r="G277" i="1"/>
  <c r="G185" i="1"/>
  <c r="G503" i="1"/>
  <c r="J412" i="1"/>
  <c r="I417" i="1"/>
  <c r="Y107" i="1"/>
  <c r="X107" i="1"/>
  <c r="AA107" i="1"/>
  <c r="G492" i="1"/>
  <c r="Z107" i="1"/>
  <c r="O145" i="1"/>
  <c r="P145" i="1" s="1"/>
  <c r="F239" i="1" s="1"/>
  <c r="F377" i="1" s="1"/>
  <c r="F651" i="1"/>
  <c r="G324" i="1"/>
  <c r="G177" i="1"/>
  <c r="AA137" i="1"/>
  <c r="G551" i="1"/>
  <c r="G553" i="1" s="1"/>
  <c r="O125" i="1"/>
  <c r="AJ79" i="1"/>
  <c r="P125" i="1" s="1"/>
  <c r="I214" i="1"/>
  <c r="H171" i="1"/>
  <c r="H172" i="1" s="1"/>
  <c r="H174" i="1" s="1"/>
  <c r="H94" i="1"/>
  <c r="Y38" i="1"/>
  <c r="I21" i="1" s="1"/>
  <c r="G280" i="1"/>
  <c r="H97" i="1"/>
  <c r="G97" i="1"/>
  <c r="I780" i="1"/>
  <c r="J766" i="1"/>
  <c r="I212" i="1"/>
  <c r="J64" i="1"/>
  <c r="J214" i="1" s="1"/>
  <c r="I68" i="1"/>
  <c r="I82" i="1"/>
  <c r="I74" i="1"/>
  <c r="I173" i="1" s="1"/>
  <c r="I170" i="1"/>
  <c r="P44" i="1"/>
  <c r="I66" i="1"/>
  <c r="I71" i="1"/>
  <c r="I277" i="1"/>
  <c r="I92" i="1"/>
  <c r="N50" i="1"/>
  <c r="Q12" i="1" s="1"/>
  <c r="G80" i="1"/>
  <c r="G79" i="1"/>
  <c r="G78" i="1"/>
  <c r="N51" i="1" s="1"/>
  <c r="K599" i="1"/>
  <c r="L592" i="1"/>
  <c r="G233" i="1"/>
  <c r="L502" i="1"/>
  <c r="L272" i="1" s="1"/>
  <c r="M502" i="1"/>
  <c r="M272" i="1" s="1"/>
  <c r="O502" i="1"/>
  <c r="O272" i="1" s="1"/>
  <c r="P502" i="1"/>
  <c r="P272" i="1" s="1"/>
  <c r="G502" i="1"/>
  <c r="G272" i="1" s="1"/>
  <c r="C116" i="1"/>
  <c r="C501" i="1" s="1"/>
  <c r="N502" i="1"/>
  <c r="N272" i="1" s="1"/>
  <c r="H324" i="1" l="1"/>
  <c r="H551" i="1"/>
  <c r="H553" i="1" s="1"/>
  <c r="AB137" i="1"/>
  <c r="K593" i="1"/>
  <c r="I593" i="1"/>
  <c r="J593" i="1"/>
  <c r="F574" i="1"/>
  <c r="F577" i="1"/>
  <c r="F580" i="1"/>
  <c r="L593" i="1"/>
  <c r="M593" i="1"/>
  <c r="N593" i="1"/>
  <c r="O156" i="1"/>
  <c r="P156" i="1" s="1"/>
  <c r="F250" i="1" s="1"/>
  <c r="F575" i="1"/>
  <c r="F576" i="1"/>
  <c r="F578" i="1"/>
  <c r="G593" i="1"/>
  <c r="F581" i="1"/>
  <c r="H593" i="1"/>
  <c r="F572" i="1"/>
  <c r="F579" i="1"/>
  <c r="O593" i="1"/>
  <c r="P593" i="1"/>
  <c r="F573" i="1"/>
  <c r="H494" i="1"/>
  <c r="H271" i="1" s="1"/>
  <c r="I494" i="1"/>
  <c r="I271" i="1" s="1"/>
  <c r="J494" i="1"/>
  <c r="J271" i="1" s="1"/>
  <c r="K494" i="1"/>
  <c r="K271" i="1" s="1"/>
  <c r="L494" i="1"/>
  <c r="L271" i="1" s="1"/>
  <c r="G494" i="1"/>
  <c r="G271" i="1" s="1"/>
  <c r="M494" i="1"/>
  <c r="M271" i="1" s="1"/>
  <c r="O494" i="1"/>
  <c r="O271" i="1" s="1"/>
  <c r="P494" i="1"/>
  <c r="P271" i="1" s="1"/>
  <c r="C114" i="1"/>
  <c r="C493" i="1" s="1"/>
  <c r="N494" i="1"/>
  <c r="N271" i="1" s="1"/>
  <c r="K650" i="1"/>
  <c r="J664" i="1"/>
  <c r="L168" i="1"/>
  <c r="K176" i="1"/>
  <c r="K269" i="1" s="1"/>
  <c r="AE76" i="1"/>
  <c r="I22" i="8"/>
  <c r="N717" i="1"/>
  <c r="F539" i="1"/>
  <c r="G137" i="1"/>
  <c r="E141" i="1"/>
  <c r="E152" i="1" s="1"/>
  <c r="K775" i="1"/>
  <c r="I775" i="1"/>
  <c r="J775" i="1"/>
  <c r="L775" i="1"/>
  <c r="M775" i="1"/>
  <c r="N775" i="1"/>
  <c r="O775" i="1"/>
  <c r="P775" i="1"/>
  <c r="G775" i="1"/>
  <c r="H775" i="1"/>
  <c r="K824" i="1"/>
  <c r="J838" i="1"/>
  <c r="M717" i="1"/>
  <c r="J279" i="1"/>
  <c r="F237" i="1"/>
  <c r="P148" i="1"/>
  <c r="P153" i="1" s="1"/>
  <c r="H717" i="1"/>
  <c r="D19" i="1"/>
  <c r="L717" i="1"/>
  <c r="P47" i="1"/>
  <c r="I72" i="1"/>
  <c r="P48" i="1" s="1"/>
  <c r="I77" i="1"/>
  <c r="AD129" i="1"/>
  <c r="AE126" i="1"/>
  <c r="H425" i="1"/>
  <c r="H427" i="1" s="1"/>
  <c r="H175" i="1"/>
  <c r="H268" i="1" s="1"/>
  <c r="H88" i="1"/>
  <c r="H426" i="1" s="1"/>
  <c r="O55" i="1"/>
  <c r="F26" i="8"/>
  <c r="F222" i="1"/>
  <c r="G222" i="1" s="1"/>
  <c r="H222" i="1" s="1"/>
  <c r="I222" i="1" s="1"/>
  <c r="J222" i="1" s="1"/>
  <c r="K222" i="1" s="1"/>
  <c r="L222" i="1" s="1"/>
  <c r="M222" i="1" s="1"/>
  <c r="N222" i="1" s="1"/>
  <c r="O222" i="1" s="1"/>
  <c r="P222" i="1" s="1"/>
  <c r="G417" i="1"/>
  <c r="H417" i="1"/>
  <c r="J212" i="1"/>
  <c r="P717" i="1"/>
  <c r="G297" i="1"/>
  <c r="M592" i="1"/>
  <c r="L599" i="1"/>
  <c r="G501" i="1"/>
  <c r="G712" i="1"/>
  <c r="H218" i="1"/>
  <c r="G219" i="1"/>
  <c r="G479" i="1"/>
  <c r="H181" i="1"/>
  <c r="H473" i="1" s="1"/>
  <c r="H475" i="1" s="1"/>
  <c r="O717" i="1"/>
  <c r="H467" i="1"/>
  <c r="H469" i="1" s="1"/>
  <c r="I279" i="1"/>
  <c r="K717" i="1"/>
  <c r="K766" i="1"/>
  <c r="J780" i="1"/>
  <c r="H80" i="1"/>
  <c r="H78" i="1"/>
  <c r="O51" i="1" s="1"/>
  <c r="H79" i="1"/>
  <c r="O50" i="1"/>
  <c r="I287" i="1"/>
  <c r="I418" i="1" s="1"/>
  <c r="I86" i="1"/>
  <c r="P54" i="1"/>
  <c r="G27" i="8"/>
  <c r="H539" i="1"/>
  <c r="G282" i="1"/>
  <c r="E28" i="8" s="1"/>
  <c r="N708" i="1"/>
  <c r="M722" i="1"/>
  <c r="J717" i="1"/>
  <c r="G518" i="1"/>
  <c r="G274" i="1" s="1"/>
  <c r="K518" i="1"/>
  <c r="K274" i="1" s="1"/>
  <c r="H518" i="1"/>
  <c r="H274" i="1" s="1"/>
  <c r="I518" i="1"/>
  <c r="I274" i="1" s="1"/>
  <c r="J518" i="1"/>
  <c r="J274" i="1" s="1"/>
  <c r="L518" i="1"/>
  <c r="L274" i="1" s="1"/>
  <c r="M518" i="1"/>
  <c r="M274" i="1" s="1"/>
  <c r="N518" i="1"/>
  <c r="N274" i="1" s="1"/>
  <c r="O518" i="1"/>
  <c r="O274" i="1" s="1"/>
  <c r="C120" i="1"/>
  <c r="C517" i="1" s="1"/>
  <c r="P518" i="1"/>
  <c r="P274" i="1" s="1"/>
  <c r="K412" i="1"/>
  <c r="J417" i="1"/>
  <c r="I171" i="1"/>
  <c r="I172" i="1" s="1"/>
  <c r="I174" i="1" s="1"/>
  <c r="I94" i="1"/>
  <c r="I213" i="1"/>
  <c r="I231" i="1"/>
  <c r="AA138" i="1"/>
  <c r="AA139" i="1" s="1"/>
  <c r="AA140" i="1" s="1"/>
  <c r="E24" i="8"/>
  <c r="G184" i="1"/>
  <c r="G495" i="1"/>
  <c r="G511" i="1"/>
  <c r="G186" i="1"/>
  <c r="G510" i="1" s="1"/>
  <c r="G273" i="1" s="1"/>
  <c r="AJ135" i="1"/>
  <c r="I717" i="1"/>
  <c r="AH63" i="1"/>
  <c r="M464" i="1"/>
  <c r="K64" i="1"/>
  <c r="J68" i="1"/>
  <c r="J82" i="1"/>
  <c r="J74" i="1"/>
  <c r="J173" i="1" s="1"/>
  <c r="J170" i="1"/>
  <c r="Q44" i="1"/>
  <c r="J71" i="1"/>
  <c r="J66" i="1"/>
  <c r="J232" i="1"/>
  <c r="J281" i="1" s="1"/>
  <c r="I20" i="1"/>
  <c r="G326" i="1"/>
  <c r="J539" i="1"/>
  <c r="L510" i="1"/>
  <c r="L273" i="1" s="1"/>
  <c r="N510" i="1"/>
  <c r="N273" i="1" s="1"/>
  <c r="O510" i="1"/>
  <c r="O273" i="1" s="1"/>
  <c r="C118" i="1"/>
  <c r="C509" i="1" s="1"/>
  <c r="P510" i="1"/>
  <c r="P273" i="1" s="1"/>
  <c r="M510" i="1"/>
  <c r="M273" i="1" s="1"/>
  <c r="G717" i="1"/>
  <c r="G187" i="1" l="1"/>
  <c r="G332" i="1" s="1"/>
  <c r="G345" i="1" s="1"/>
  <c r="E36" i="1" s="1"/>
  <c r="I472" i="1"/>
  <c r="H236" i="1"/>
  <c r="I324" i="1"/>
  <c r="I177" i="1"/>
  <c r="AC137" i="1"/>
  <c r="I551" i="1"/>
  <c r="I553" i="1" s="1"/>
  <c r="G509" i="1"/>
  <c r="G770" i="1"/>
  <c r="AE129" i="1"/>
  <c r="AF126" i="1"/>
  <c r="K92" i="1"/>
  <c r="P50" i="1"/>
  <c r="I79" i="1"/>
  <c r="I78" i="1"/>
  <c r="P51" i="1" s="1"/>
  <c r="I80" i="1"/>
  <c r="L824" i="1"/>
  <c r="K838" i="1"/>
  <c r="M168" i="1"/>
  <c r="L176" i="1"/>
  <c r="L269" i="1" s="1"/>
  <c r="AF76" i="1"/>
  <c r="J22" i="8"/>
  <c r="N722" i="1"/>
  <c r="O708" i="1"/>
  <c r="L766" i="1"/>
  <c r="K780" i="1"/>
  <c r="I218" i="1"/>
  <c r="H219" i="1"/>
  <c r="K223" i="1"/>
  <c r="L223" i="1" s="1"/>
  <c r="F211" i="1"/>
  <c r="G141" i="1"/>
  <c r="G152" i="1" s="1"/>
  <c r="K417" i="1"/>
  <c r="L412" i="1"/>
  <c r="L650" i="1"/>
  <c r="K664" i="1"/>
  <c r="E25" i="8"/>
  <c r="E29" i="8"/>
  <c r="E32" i="8" s="1"/>
  <c r="N659" i="1"/>
  <c r="O659" i="1"/>
  <c r="P659" i="1"/>
  <c r="I659" i="1"/>
  <c r="J659" i="1"/>
  <c r="K659" i="1"/>
  <c r="M659" i="1"/>
  <c r="H659" i="1"/>
  <c r="G659" i="1"/>
  <c r="L659" i="1"/>
  <c r="I466" i="1"/>
  <c r="H230" i="1"/>
  <c r="J92" i="1"/>
  <c r="J171" i="1"/>
  <c r="J172" i="1" s="1"/>
  <c r="J174" i="1" s="1"/>
  <c r="J94" i="1"/>
  <c r="J231" i="1"/>
  <c r="J213" i="1"/>
  <c r="K68" i="1"/>
  <c r="K74" i="1"/>
  <c r="K173" i="1" s="1"/>
  <c r="K82" i="1"/>
  <c r="K170" i="1"/>
  <c r="K71" i="1"/>
  <c r="L64" i="1"/>
  <c r="R44" i="1"/>
  <c r="K66" i="1"/>
  <c r="K232" i="1"/>
  <c r="K281" i="1" s="1"/>
  <c r="K212" i="1"/>
  <c r="K214" i="1"/>
  <c r="J277" i="1"/>
  <c r="J287" i="1"/>
  <c r="J418" i="1" s="1"/>
  <c r="J86" i="1"/>
  <c r="Q54" i="1"/>
  <c r="H27" i="8"/>
  <c r="G328" i="1"/>
  <c r="AI63" i="1"/>
  <c r="N464" i="1"/>
  <c r="I280" i="1"/>
  <c r="I97" i="1"/>
  <c r="N592" i="1"/>
  <c r="M599" i="1"/>
  <c r="G493" i="1"/>
  <c r="G654" i="1"/>
  <c r="I425" i="1"/>
  <c r="I427" i="1" s="1"/>
  <c r="I88" i="1"/>
  <c r="I426" i="1" s="1"/>
  <c r="I175" i="1"/>
  <c r="I268" i="1" s="1"/>
  <c r="P55" i="1"/>
  <c r="G26" i="8"/>
  <c r="Z110" i="1"/>
  <c r="Y110" i="1"/>
  <c r="I22" i="1"/>
  <c r="O155" i="1"/>
  <c r="G516" i="1"/>
  <c r="G520" i="1" s="1"/>
  <c r="AA110" i="1"/>
  <c r="F825" i="1"/>
  <c r="J278" i="1"/>
  <c r="I278" i="1"/>
  <c r="I282" i="1" s="1"/>
  <c r="G28" i="8" s="1"/>
  <c r="F373" i="1"/>
  <c r="F242" i="1"/>
  <c r="F369" i="1"/>
  <c r="D46" i="1" s="1"/>
  <c r="J217" i="1"/>
  <c r="G298" i="1"/>
  <c r="G296" i="1"/>
  <c r="G300" i="1" s="1"/>
  <c r="H177" i="1"/>
  <c r="J72" i="1"/>
  <c r="Q48" i="1" s="1"/>
  <c r="Q47" i="1"/>
  <c r="J77" i="1"/>
  <c r="G331" i="1"/>
  <c r="G344" i="1" s="1"/>
  <c r="H326" i="1"/>
  <c r="G191" i="1" l="1"/>
  <c r="G414" i="1" s="1"/>
  <c r="N53" i="1"/>
  <c r="AA136" i="1"/>
  <c r="G333" i="1"/>
  <c r="G346" i="1" s="1"/>
  <c r="E37" i="1" s="1"/>
  <c r="J324" i="1"/>
  <c r="J551" i="1"/>
  <c r="J553" i="1" s="1"/>
  <c r="AD137" i="1"/>
  <c r="K279" i="1"/>
  <c r="AB138" i="1"/>
  <c r="AB139" i="1" s="1"/>
  <c r="AB140" i="1" s="1"/>
  <c r="F24" i="8"/>
  <c r="J542" i="1"/>
  <c r="J543" i="1" s="1"/>
  <c r="Y120" i="1"/>
  <c r="Y121" i="1" s="1"/>
  <c r="L277" i="1"/>
  <c r="L92" i="1"/>
  <c r="F398" i="1"/>
  <c r="D41" i="1" s="1"/>
  <c r="F247" i="1"/>
  <c r="P155" i="1"/>
  <c r="O157" i="1"/>
  <c r="O159" i="1" s="1"/>
  <c r="L664" i="1"/>
  <c r="M650" i="1"/>
  <c r="K277" i="1"/>
  <c r="AC138" i="1"/>
  <c r="AC139" i="1" s="1"/>
  <c r="AC140" i="1" s="1"/>
  <c r="G24" i="8"/>
  <c r="K217" i="1"/>
  <c r="G350" i="1"/>
  <c r="G351" i="1"/>
  <c r="I326" i="1"/>
  <c r="H516" i="1"/>
  <c r="H520" i="1" s="1"/>
  <c r="G249" i="1"/>
  <c r="G831" i="1"/>
  <c r="M64" i="1"/>
  <c r="L74" i="1"/>
  <c r="L173" i="1" s="1"/>
  <c r="L82" i="1"/>
  <c r="L170" i="1"/>
  <c r="L66" i="1"/>
  <c r="L68" i="1"/>
  <c r="L71" i="1"/>
  <c r="L232" i="1"/>
  <c r="L281" i="1" s="1"/>
  <c r="L212" i="1"/>
  <c r="L214" i="1"/>
  <c r="L279" i="1" s="1"/>
  <c r="G211" i="1"/>
  <c r="H211" i="1" s="1"/>
  <c r="I211" i="1" s="1"/>
  <c r="J211" i="1" s="1"/>
  <c r="K211" i="1" s="1"/>
  <c r="L211" i="1" s="1"/>
  <c r="M211" i="1" s="1"/>
  <c r="N211" i="1" s="1"/>
  <c r="O211" i="1" s="1"/>
  <c r="P211" i="1" s="1"/>
  <c r="F215" i="1"/>
  <c r="F542" i="1"/>
  <c r="W120" i="1"/>
  <c r="W117" i="1" s="1"/>
  <c r="N599" i="1"/>
  <c r="O592" i="1"/>
  <c r="K72" i="1"/>
  <c r="R48" i="1" s="1"/>
  <c r="R47" i="1"/>
  <c r="K77" i="1"/>
  <c r="M223" i="1"/>
  <c r="I181" i="1"/>
  <c r="I473" i="1" s="1"/>
  <c r="I475" i="1" s="1"/>
  <c r="J280" i="1"/>
  <c r="J22" i="1"/>
  <c r="I24" i="1"/>
  <c r="H542" i="1"/>
  <c r="X120" i="1"/>
  <c r="X121" i="1" s="1"/>
  <c r="J425" i="1"/>
  <c r="J427" i="1" s="1"/>
  <c r="J88" i="1"/>
  <c r="J426" i="1" s="1"/>
  <c r="J175" i="1"/>
  <c r="J268" i="1" s="1"/>
  <c r="Q55" i="1"/>
  <c r="H26" i="8"/>
  <c r="H233" i="1"/>
  <c r="N168" i="1"/>
  <c r="AG76" i="1"/>
  <c r="M176" i="1"/>
  <c r="M269" i="1" s="1"/>
  <c r="K22" i="8"/>
  <c r="K86" i="1"/>
  <c r="K287" i="1"/>
  <c r="K418" i="1" s="1"/>
  <c r="R54" i="1"/>
  <c r="I27" i="8"/>
  <c r="J218" i="1"/>
  <c r="I219" i="1"/>
  <c r="M824" i="1"/>
  <c r="L838" i="1"/>
  <c r="AF129" i="1"/>
  <c r="AG126" i="1"/>
  <c r="AA146" i="1"/>
  <c r="AA141" i="1"/>
  <c r="AA145" i="1" s="1"/>
  <c r="J97" i="1"/>
  <c r="I180" i="1"/>
  <c r="K171" i="1"/>
  <c r="K172" i="1" s="1"/>
  <c r="K174" i="1" s="1"/>
  <c r="K231" i="1"/>
  <c r="K213" i="1"/>
  <c r="K94" i="1" s="1"/>
  <c r="L780" i="1"/>
  <c r="M766" i="1"/>
  <c r="L417" i="1"/>
  <c r="M412" i="1"/>
  <c r="H328" i="1"/>
  <c r="F331" i="1"/>
  <c r="G338" i="1"/>
  <c r="J79" i="1"/>
  <c r="Q50" i="1"/>
  <c r="J78" i="1"/>
  <c r="Q51" i="1" s="1"/>
  <c r="J80" i="1"/>
  <c r="O464" i="1"/>
  <c r="AJ63" i="1"/>
  <c r="P464" i="1" s="1"/>
  <c r="J282" i="1"/>
  <c r="H28" i="8" s="1"/>
  <c r="O722" i="1"/>
  <c r="P708" i="1"/>
  <c r="P722" i="1" s="1"/>
  <c r="F332" i="1"/>
  <c r="G339" i="1"/>
  <c r="E31" i="1" s="1"/>
  <c r="G340" i="1" l="1"/>
  <c r="E32" i="1" s="1"/>
  <c r="F333" i="1"/>
  <c r="F340" i="1" s="1"/>
  <c r="D32" i="1" s="1"/>
  <c r="G352" i="1"/>
  <c r="J472" i="1"/>
  <c r="I236" i="1"/>
  <c r="K324" i="1"/>
  <c r="K551" i="1"/>
  <c r="K553" i="1" s="1"/>
  <c r="AE137" i="1"/>
  <c r="AG129" i="1"/>
  <c r="AH126" i="1"/>
  <c r="M92" i="1"/>
  <c r="N824" i="1"/>
  <c r="M838" i="1"/>
  <c r="L171" i="1"/>
  <c r="L213" i="1"/>
  <c r="L231" i="1"/>
  <c r="L94" i="1"/>
  <c r="I328" i="1"/>
  <c r="N223" i="1"/>
  <c r="F25" i="8"/>
  <c r="F29" i="8" s="1"/>
  <c r="F32" i="8" s="1"/>
  <c r="F338" i="1"/>
  <c r="F344" i="1"/>
  <c r="O599" i="1"/>
  <c r="P592" i="1"/>
  <c r="P599" i="1" s="1"/>
  <c r="L172" i="1"/>
  <c r="L174" i="1" s="1"/>
  <c r="G199" i="1"/>
  <c r="J199" i="1"/>
  <c r="K199" i="1"/>
  <c r="L199" i="1"/>
  <c r="H199" i="1"/>
  <c r="M199" i="1"/>
  <c r="O199" i="1"/>
  <c r="I199" i="1"/>
  <c r="N199" i="1"/>
  <c r="P199" i="1"/>
  <c r="P157" i="1"/>
  <c r="P159" i="1" s="1"/>
  <c r="P161" i="1" s="1"/>
  <c r="F249" i="1"/>
  <c r="F251" i="1" s="1"/>
  <c r="F346" i="1"/>
  <c r="D37" i="1" s="1"/>
  <c r="O833" i="1"/>
  <c r="P833" i="1"/>
  <c r="G833" i="1"/>
  <c r="M833" i="1"/>
  <c r="H833" i="1"/>
  <c r="I833" i="1"/>
  <c r="J833" i="1"/>
  <c r="K833" i="1"/>
  <c r="L833" i="1"/>
  <c r="N833" i="1"/>
  <c r="H543" i="1"/>
  <c r="L86" i="1"/>
  <c r="L287" i="1"/>
  <c r="L418" i="1" s="1"/>
  <c r="J27" i="8"/>
  <c r="M780" i="1"/>
  <c r="N766" i="1"/>
  <c r="L77" i="1"/>
  <c r="L72" i="1"/>
  <c r="L278" i="1"/>
  <c r="K280" i="1"/>
  <c r="L97" i="1"/>
  <c r="O168" i="1"/>
  <c r="AH76" i="1"/>
  <c r="N176" i="1"/>
  <c r="N269" i="1" s="1"/>
  <c r="L22" i="8"/>
  <c r="J24" i="1"/>
  <c r="J11" i="1"/>
  <c r="J16" i="1"/>
  <c r="J13" i="1"/>
  <c r="J14" i="1"/>
  <c r="J18" i="1"/>
  <c r="J17" i="1"/>
  <c r="J15" i="1"/>
  <c r="J21" i="1"/>
  <c r="J20" i="1"/>
  <c r="F535" i="1"/>
  <c r="W121" i="1"/>
  <c r="M664" i="1"/>
  <c r="N650" i="1"/>
  <c r="K278" i="1"/>
  <c r="M417" i="1"/>
  <c r="N412" i="1"/>
  <c r="I467" i="1"/>
  <c r="I469" i="1" s="1"/>
  <c r="K218" i="1"/>
  <c r="K219" i="1" s="1"/>
  <c r="M82" i="1"/>
  <c r="M68" i="1"/>
  <c r="M71" i="1" s="1"/>
  <c r="M74" i="1"/>
  <c r="M173" i="1" s="1"/>
  <c r="N64" i="1"/>
  <c r="M232" i="1"/>
  <c r="M281" i="1" s="1"/>
  <c r="M66" i="1"/>
  <c r="M170" i="1"/>
  <c r="M212" i="1"/>
  <c r="M277" i="1" s="1"/>
  <c r="M214" i="1"/>
  <c r="K282" i="1"/>
  <c r="I28" i="8" s="1"/>
  <c r="K78" i="1"/>
  <c r="R51" i="1" s="1"/>
  <c r="R50" i="1"/>
  <c r="I9" i="8" s="1"/>
  <c r="M5" i="8" s="1"/>
  <c r="K79" i="1"/>
  <c r="K80" i="1"/>
  <c r="K97" i="1"/>
  <c r="F226" i="1"/>
  <c r="F383" i="1"/>
  <c r="J219" i="1"/>
  <c r="F339" i="1"/>
  <c r="D31" i="1" s="1"/>
  <c r="F345" i="1"/>
  <c r="D36" i="1" s="1"/>
  <c r="AA147" i="1"/>
  <c r="AB144" i="1" s="1"/>
  <c r="AA149" i="1"/>
  <c r="G419" i="1" s="1"/>
  <c r="G422" i="1" s="1"/>
  <c r="G429" i="1" s="1"/>
  <c r="G556" i="1"/>
  <c r="L217" i="1"/>
  <c r="F253" i="1"/>
  <c r="F255" i="1" s="1"/>
  <c r="J177" i="1"/>
  <c r="K175" i="1"/>
  <c r="K268" i="1" s="1"/>
  <c r="K425" i="1"/>
  <c r="K88" i="1"/>
  <c r="K426" i="1" s="1"/>
  <c r="R55" i="1"/>
  <c r="I26" i="8"/>
  <c r="I516" i="1"/>
  <c r="I520" i="1" s="1"/>
  <c r="H249" i="1"/>
  <c r="H831" i="1"/>
  <c r="G29" i="8"/>
  <c r="G32" i="8" s="1"/>
  <c r="G25" i="8"/>
  <c r="J326" i="1"/>
  <c r="M77" i="1" l="1"/>
  <c r="M72" i="1"/>
  <c r="G433" i="1"/>
  <c r="G434" i="1"/>
  <c r="G437" i="1" s="1"/>
  <c r="N170" i="1"/>
  <c r="N68" i="1"/>
  <c r="N71" i="1" s="1"/>
  <c r="N74" i="1"/>
  <c r="N173" i="1" s="1"/>
  <c r="O64" i="1"/>
  <c r="N82" i="1"/>
  <c r="N66" i="1"/>
  <c r="N232" i="1"/>
  <c r="N281" i="1" s="1"/>
  <c r="N214" i="1"/>
  <c r="N212" i="1"/>
  <c r="O650" i="1"/>
  <c r="N664" i="1"/>
  <c r="O824" i="1"/>
  <c r="N838" i="1"/>
  <c r="F538" i="1"/>
  <c r="F543" i="1" s="1"/>
  <c r="F608" i="1"/>
  <c r="F602" i="1"/>
  <c r="F601" i="1"/>
  <c r="F603" i="1"/>
  <c r="F606" i="1"/>
  <c r="F609" i="1"/>
  <c r="F605" i="1"/>
  <c r="F607" i="1"/>
  <c r="F610" i="1"/>
  <c r="F604" i="1"/>
  <c r="L175" i="1"/>
  <c r="L268" i="1" s="1"/>
  <c r="L425" i="1"/>
  <c r="L88" i="1"/>
  <c r="L426" i="1" s="1"/>
  <c r="J26" i="8"/>
  <c r="K517" i="1"/>
  <c r="K828" i="1"/>
  <c r="K560" i="1"/>
  <c r="G560" i="1"/>
  <c r="H560" i="1"/>
  <c r="I560" i="1"/>
  <c r="J560" i="1"/>
  <c r="L560" i="1"/>
  <c r="M560" i="1"/>
  <c r="N560" i="1"/>
  <c r="O560" i="1"/>
  <c r="P560" i="1"/>
  <c r="J517" i="1"/>
  <c r="J828" i="1"/>
  <c r="AH129" i="1"/>
  <c r="AI126" i="1"/>
  <c r="G517" i="1"/>
  <c r="G828" i="1"/>
  <c r="G334" i="1"/>
  <c r="M287" i="1"/>
  <c r="M418" i="1" s="1"/>
  <c r="M86" i="1"/>
  <c r="K27" i="8"/>
  <c r="F391" i="1"/>
  <c r="F387" i="1"/>
  <c r="F386" i="1"/>
  <c r="F390" i="1"/>
  <c r="F394" i="1"/>
  <c r="F395" i="1"/>
  <c r="L177" i="1"/>
  <c r="AF137" i="1"/>
  <c r="L324" i="1"/>
  <c r="L551" i="1"/>
  <c r="L553" i="1" s="1"/>
  <c r="L517" i="1"/>
  <c r="L828" i="1"/>
  <c r="P517" i="1"/>
  <c r="P828" i="1"/>
  <c r="L280" i="1"/>
  <c r="L282" i="1" s="1"/>
  <c r="J28" i="8" s="1"/>
  <c r="M97" i="1"/>
  <c r="K177" i="1"/>
  <c r="M517" i="1"/>
  <c r="M828" i="1"/>
  <c r="P168" i="1"/>
  <c r="O176" i="1"/>
  <c r="O269" i="1" s="1"/>
  <c r="AI76" i="1"/>
  <c r="M22" i="8"/>
  <c r="N279" i="1"/>
  <c r="N277" i="1"/>
  <c r="N92" i="1"/>
  <c r="H556" i="1"/>
  <c r="M172" i="1"/>
  <c r="M174" i="1" s="1"/>
  <c r="O412" i="1"/>
  <c r="N417" i="1"/>
  <c r="N517" i="1"/>
  <c r="N828" i="1"/>
  <c r="K326" i="1"/>
  <c r="L218" i="1"/>
  <c r="M218" i="1" s="1"/>
  <c r="J466" i="1"/>
  <c r="I230" i="1"/>
  <c r="J516" i="1"/>
  <c r="J520" i="1" s="1"/>
  <c r="I249" i="1"/>
  <c r="I831" i="1"/>
  <c r="L80" i="1"/>
  <c r="L79" i="1"/>
  <c r="L78" i="1"/>
  <c r="I517" i="1"/>
  <c r="I828" i="1"/>
  <c r="H517" i="1"/>
  <c r="H828" i="1"/>
  <c r="J328" i="1"/>
  <c r="M171" i="1"/>
  <c r="M213" i="1"/>
  <c r="M231" i="1"/>
  <c r="K427" i="1"/>
  <c r="AD138" i="1"/>
  <c r="AD139" i="1" s="1"/>
  <c r="AD140" i="1" s="1"/>
  <c r="H24" i="8"/>
  <c r="L219" i="1"/>
  <c r="M217" i="1"/>
  <c r="M279" i="1"/>
  <c r="N780" i="1"/>
  <c r="O766" i="1"/>
  <c r="O517" i="1"/>
  <c r="O828" i="1"/>
  <c r="J181" i="1"/>
  <c r="J473" i="1" s="1"/>
  <c r="J475" i="1"/>
  <c r="N72" i="1" l="1"/>
  <c r="N77" i="1"/>
  <c r="M849" i="1"/>
  <c r="M848" i="1"/>
  <c r="M847" i="1"/>
  <c r="L326" i="1"/>
  <c r="F334" i="1"/>
  <c r="G341" i="1"/>
  <c r="E33" i="1" s="1"/>
  <c r="G347" i="1"/>
  <c r="E38" i="1" s="1"/>
  <c r="G353" i="1"/>
  <c r="P824" i="1"/>
  <c r="P838" i="1" s="1"/>
  <c r="O838" i="1"/>
  <c r="O74" i="1"/>
  <c r="O173" i="1" s="1"/>
  <c r="O170" i="1"/>
  <c r="O82" i="1"/>
  <c r="P64" i="1"/>
  <c r="O68" i="1"/>
  <c r="O66" i="1"/>
  <c r="O232" i="1"/>
  <c r="O281" i="1" s="1"/>
  <c r="O214" i="1"/>
  <c r="O212" i="1"/>
  <c r="H25" i="8"/>
  <c r="H29" i="8"/>
  <c r="H32" i="8" s="1"/>
  <c r="G848" i="1"/>
  <c r="G849" i="1"/>
  <c r="G847" i="1"/>
  <c r="G843" i="1"/>
  <c r="G846" i="1"/>
  <c r="G845" i="1"/>
  <c r="G841" i="1"/>
  <c r="G842" i="1"/>
  <c r="G844" i="1"/>
  <c r="P650" i="1"/>
  <c r="P664" i="1" s="1"/>
  <c r="O664" i="1"/>
  <c r="M280" i="1"/>
  <c r="N172" i="1"/>
  <c r="N174" i="1" s="1"/>
  <c r="I233" i="1"/>
  <c r="O417" i="1"/>
  <c r="P412" i="1"/>
  <c r="P417" i="1" s="1"/>
  <c r="K472" i="1"/>
  <c r="J236" i="1"/>
  <c r="J844" i="1"/>
  <c r="J848" i="1"/>
  <c r="J849" i="1"/>
  <c r="J847" i="1"/>
  <c r="J846" i="1"/>
  <c r="J845" i="1"/>
  <c r="K848" i="1"/>
  <c r="K849" i="1"/>
  <c r="K847" i="1"/>
  <c r="K846" i="1"/>
  <c r="K845" i="1"/>
  <c r="G452" i="1"/>
  <c r="G453" i="1"/>
  <c r="H844" i="1"/>
  <c r="H848" i="1"/>
  <c r="H849" i="1"/>
  <c r="H847" i="1"/>
  <c r="H843" i="1"/>
  <c r="H846" i="1"/>
  <c r="H845" i="1"/>
  <c r="H842" i="1"/>
  <c r="AE138" i="1"/>
  <c r="AE139" i="1" s="1"/>
  <c r="AE140" i="1" s="1"/>
  <c r="I24" i="8"/>
  <c r="N278" i="1"/>
  <c r="G435" i="1"/>
  <c r="H432" i="1" s="1"/>
  <c r="AF138" i="1"/>
  <c r="AF139" i="1" s="1"/>
  <c r="AF140" i="1" s="1"/>
  <c r="J24" i="8"/>
  <c r="O277" i="1"/>
  <c r="O92" i="1"/>
  <c r="G439" i="1"/>
  <c r="N213" i="1"/>
  <c r="N231" i="1"/>
  <c r="N97" i="1" s="1"/>
  <c r="N94" i="1"/>
  <c r="N171" i="1"/>
  <c r="O279" i="1"/>
  <c r="M324" i="1"/>
  <c r="M551" i="1"/>
  <c r="M553" i="1" s="1"/>
  <c r="AG137" i="1"/>
  <c r="AJ126" i="1"/>
  <c r="AJ129" i="1" s="1"/>
  <c r="AI129" i="1"/>
  <c r="I844" i="1"/>
  <c r="I849" i="1"/>
  <c r="I845" i="1"/>
  <c r="I848" i="1"/>
  <c r="I847" i="1"/>
  <c r="I843" i="1"/>
  <c r="I846" i="1"/>
  <c r="O849" i="1"/>
  <c r="L847" i="1"/>
  <c r="L846" i="1"/>
  <c r="L848" i="1"/>
  <c r="L849" i="1"/>
  <c r="O780" i="1"/>
  <c r="P766" i="1"/>
  <c r="P780" i="1" s="1"/>
  <c r="L427" i="1"/>
  <c r="L537" i="1"/>
  <c r="P537" i="1" s="1"/>
  <c r="AA119" i="1" s="1"/>
  <c r="L536" i="1"/>
  <c r="P536" i="1" s="1"/>
  <c r="AA118" i="1" s="1"/>
  <c r="L540" i="1"/>
  <c r="P540" i="1" s="1"/>
  <c r="L541" i="1"/>
  <c r="P541" i="1" s="1"/>
  <c r="L539" i="1"/>
  <c r="P539" i="1" s="1"/>
  <c r="L542" i="1"/>
  <c r="P542" i="1" s="1"/>
  <c r="M94" i="1"/>
  <c r="I556" i="1"/>
  <c r="N848" i="1"/>
  <c r="N849" i="1"/>
  <c r="O223" i="1"/>
  <c r="M425" i="1"/>
  <c r="M88" i="1"/>
  <c r="M426" i="1" s="1"/>
  <c r="M175" i="1"/>
  <c r="M268" i="1" s="1"/>
  <c r="K26" i="8"/>
  <c r="L535" i="1"/>
  <c r="J180" i="1"/>
  <c r="K328" i="1"/>
  <c r="M278" i="1"/>
  <c r="M282" i="1" s="1"/>
  <c r="K28" i="8" s="1"/>
  <c r="M219" i="1"/>
  <c r="N217" i="1"/>
  <c r="K516" i="1"/>
  <c r="K520" i="1" s="1"/>
  <c r="J249" i="1"/>
  <c r="J831" i="1"/>
  <c r="AJ76" i="1"/>
  <c r="P176" i="1"/>
  <c r="P269" i="1" s="1"/>
  <c r="N22" i="8"/>
  <c r="N86" i="1"/>
  <c r="N218" i="1" s="1"/>
  <c r="N287" i="1"/>
  <c r="N418" i="1" s="1"/>
  <c r="L27" i="8"/>
  <c r="M79" i="1"/>
  <c r="M78" i="1"/>
  <c r="M80" i="1"/>
  <c r="F341" i="1" l="1"/>
  <c r="D33" i="1" s="1"/>
  <c r="F347" i="1"/>
  <c r="D38" i="1" s="1"/>
  <c r="O278" i="1"/>
  <c r="O86" i="1"/>
  <c r="O287" i="1"/>
  <c r="O418" i="1" s="1"/>
  <c r="M27" i="8"/>
  <c r="L328" i="1"/>
  <c r="G447" i="1"/>
  <c r="G448" i="1" s="1"/>
  <c r="G442" i="1"/>
  <c r="G443" i="1"/>
  <c r="P66" i="1"/>
  <c r="P71" i="1"/>
  <c r="P82" i="1"/>
  <c r="P232" i="1"/>
  <c r="P281" i="1" s="1"/>
  <c r="P170" i="1"/>
  <c r="P68" i="1"/>
  <c r="P74" i="1"/>
  <c r="P173" i="1" s="1"/>
  <c r="P214" i="1"/>
  <c r="P212" i="1"/>
  <c r="L538" i="1"/>
  <c r="P535" i="1"/>
  <c r="K20" i="1"/>
  <c r="AB100" i="1"/>
  <c r="J866" i="1"/>
  <c r="J856" i="1"/>
  <c r="F826" i="1"/>
  <c r="B837" i="1"/>
  <c r="K15" i="1"/>
  <c r="B663" i="1"/>
  <c r="AA120" i="1"/>
  <c r="AB97" i="1"/>
  <c r="J692" i="1"/>
  <c r="J682" i="1"/>
  <c r="F652" i="1"/>
  <c r="I25" i="8"/>
  <c r="I29" i="8"/>
  <c r="M427" i="1"/>
  <c r="K17" i="1"/>
  <c r="AB99" i="1"/>
  <c r="B779" i="1"/>
  <c r="J798" i="1"/>
  <c r="J808" i="1"/>
  <c r="K181" i="1"/>
  <c r="K473" i="1" s="1"/>
  <c r="K475" i="1"/>
  <c r="O171" i="1"/>
  <c r="O172" i="1" s="1"/>
  <c r="O174" i="1" s="1"/>
  <c r="O94" i="1"/>
  <c r="O231" i="1"/>
  <c r="O97" i="1" s="1"/>
  <c r="O213" i="1"/>
  <c r="N280" i="1"/>
  <c r="N282" i="1" s="1"/>
  <c r="L28" i="8" s="1"/>
  <c r="J556" i="1"/>
  <c r="K249" i="1"/>
  <c r="L516" i="1"/>
  <c r="L520" i="1" s="1"/>
  <c r="K831" i="1"/>
  <c r="O217" i="1"/>
  <c r="N219" i="1"/>
  <c r="M326" i="1"/>
  <c r="J25" i="8"/>
  <c r="J29" i="8"/>
  <c r="P92" i="1"/>
  <c r="P277" i="1"/>
  <c r="J467" i="1"/>
  <c r="J469" i="1" s="1"/>
  <c r="G454" i="1"/>
  <c r="N425" i="1"/>
  <c r="N427" i="1" s="1"/>
  <c r="N175" i="1"/>
  <c r="N268" i="1" s="1"/>
  <c r="N88" i="1"/>
  <c r="N426" i="1" s="1"/>
  <c r="L26" i="8"/>
  <c r="M177" i="1"/>
  <c r="P279" i="1"/>
  <c r="N177" i="1"/>
  <c r="N324" i="1"/>
  <c r="N551" i="1"/>
  <c r="N553" i="1" s="1"/>
  <c r="AH137" i="1"/>
  <c r="K16" i="1"/>
  <c r="AB98" i="1"/>
  <c r="F710" i="1"/>
  <c r="B721" i="1"/>
  <c r="J740" i="1"/>
  <c r="F768" i="1"/>
  <c r="J750" i="1"/>
  <c r="N78" i="1"/>
  <c r="N79" i="1"/>
  <c r="N80" i="1"/>
  <c r="P223" i="1"/>
  <c r="O71" i="1"/>
  <c r="AI137" i="1" l="1"/>
  <c r="O324" i="1"/>
  <c r="O551" i="1"/>
  <c r="O553" i="1" s="1"/>
  <c r="I32" i="8"/>
  <c r="M4" i="8"/>
  <c r="M6" i="8" s="1"/>
  <c r="I31" i="8" s="1"/>
  <c r="I33" i="8" s="1"/>
  <c r="L472" i="1"/>
  <c r="K236" i="1"/>
  <c r="F846" i="1"/>
  <c r="F849" i="1"/>
  <c r="F841" i="1"/>
  <c r="F845" i="1"/>
  <c r="F842" i="1"/>
  <c r="F844" i="1"/>
  <c r="F848" i="1"/>
  <c r="F840" i="1"/>
  <c r="F847" i="1"/>
  <c r="F843" i="1"/>
  <c r="P72" i="1"/>
  <c r="P77" i="1"/>
  <c r="F667" i="1"/>
  <c r="F669" i="1"/>
  <c r="F668" i="1"/>
  <c r="F675" i="1"/>
  <c r="F670" i="1"/>
  <c r="F673" i="1"/>
  <c r="F666" i="1"/>
  <c r="F671" i="1"/>
  <c r="F672" i="1"/>
  <c r="F674" i="1"/>
  <c r="O175" i="1"/>
  <c r="O268" i="1" s="1"/>
  <c r="O425" i="1"/>
  <c r="O88" i="1"/>
  <c r="O426" i="1" s="1"/>
  <c r="M26" i="8"/>
  <c r="N326" i="1"/>
  <c r="L249" i="1"/>
  <c r="M516" i="1"/>
  <c r="M520" i="1" s="1"/>
  <c r="L831" i="1"/>
  <c r="AH138" i="1"/>
  <c r="AH139" i="1" s="1"/>
  <c r="AH140" i="1" s="1"/>
  <c r="L24" i="8"/>
  <c r="K556" i="1"/>
  <c r="I808" i="1"/>
  <c r="H808" i="1" s="1"/>
  <c r="G808" i="1" s="1"/>
  <c r="K808" i="1"/>
  <c r="L808" i="1" s="1"/>
  <c r="K682" i="1"/>
  <c r="L682" i="1" s="1"/>
  <c r="I682" i="1"/>
  <c r="H682" i="1" s="1"/>
  <c r="G682" i="1" s="1"/>
  <c r="P538" i="1"/>
  <c r="AA117" i="1"/>
  <c r="I856" i="1"/>
  <c r="H856" i="1" s="1"/>
  <c r="G856" i="1" s="1"/>
  <c r="K856" i="1"/>
  <c r="L856" i="1" s="1"/>
  <c r="K866" i="1"/>
  <c r="L866" i="1" s="1"/>
  <c r="I866" i="1"/>
  <c r="H866" i="1" s="1"/>
  <c r="G866" i="1" s="1"/>
  <c r="I798" i="1"/>
  <c r="H798" i="1" s="1"/>
  <c r="G798" i="1" s="1"/>
  <c r="K798" i="1"/>
  <c r="L798" i="1" s="1"/>
  <c r="I692" i="1"/>
  <c r="H692" i="1" s="1"/>
  <c r="G692" i="1" s="1"/>
  <c r="K692" i="1"/>
  <c r="L692" i="1" s="1"/>
  <c r="G631" i="1"/>
  <c r="G619" i="1"/>
  <c r="L543" i="1"/>
  <c r="G444" i="1"/>
  <c r="G457" i="1" s="1"/>
  <c r="K466" i="1"/>
  <c r="J230" i="1"/>
  <c r="AG138" i="1"/>
  <c r="AG139" i="1" s="1"/>
  <c r="AG140" i="1" s="1"/>
  <c r="K24" i="8"/>
  <c r="O72" i="1"/>
  <c r="O77" i="1"/>
  <c r="F782" i="1"/>
  <c r="F789" i="1"/>
  <c r="F787" i="1"/>
  <c r="F785" i="1"/>
  <c r="F788" i="1"/>
  <c r="F783" i="1"/>
  <c r="F790" i="1"/>
  <c r="F784" i="1"/>
  <c r="F786" i="1"/>
  <c r="F791" i="1"/>
  <c r="G449" i="1"/>
  <c r="O218" i="1"/>
  <c r="F729" i="1"/>
  <c r="F727" i="1"/>
  <c r="F732" i="1"/>
  <c r="F724" i="1"/>
  <c r="F730" i="1"/>
  <c r="F733" i="1"/>
  <c r="F731" i="1"/>
  <c r="F725" i="1"/>
  <c r="F726" i="1"/>
  <c r="F728" i="1"/>
  <c r="M328" i="1"/>
  <c r="P217" i="1"/>
  <c r="O219" i="1"/>
  <c r="O280" i="1"/>
  <c r="O282" i="1" s="1"/>
  <c r="M28" i="8" s="1"/>
  <c r="P287" i="1"/>
  <c r="P418" i="1" s="1"/>
  <c r="P86" i="1"/>
  <c r="N27" i="8"/>
  <c r="I750" i="1"/>
  <c r="H750" i="1" s="1"/>
  <c r="G750" i="1" s="1"/>
  <c r="K750" i="1"/>
  <c r="L750" i="1" s="1"/>
  <c r="I740" i="1"/>
  <c r="H740" i="1" s="1"/>
  <c r="G740" i="1" s="1"/>
  <c r="K740" i="1"/>
  <c r="L740" i="1" s="1"/>
  <c r="P278" i="1"/>
  <c r="P282" i="1" s="1"/>
  <c r="N28" i="8" s="1"/>
  <c r="K18" i="1"/>
  <c r="P171" i="1"/>
  <c r="P172" i="1" s="1"/>
  <c r="P174" i="1" s="1"/>
  <c r="P94" i="1"/>
  <c r="P213" i="1"/>
  <c r="P231" i="1"/>
  <c r="P280" i="1" s="1"/>
  <c r="AJ137" i="1" l="1"/>
  <c r="P324" i="1"/>
  <c r="P551" i="1"/>
  <c r="P553" i="1" s="1"/>
  <c r="B598" i="1"/>
  <c r="AA121" i="1"/>
  <c r="L556" i="1"/>
  <c r="K21" i="1"/>
  <c r="K22" i="1" s="1"/>
  <c r="K24" i="1" s="1"/>
  <c r="P543" i="1"/>
  <c r="N328" i="1"/>
  <c r="L475" i="1"/>
  <c r="L181" i="1"/>
  <c r="L473" i="1" s="1"/>
  <c r="N516" i="1"/>
  <c r="N520" i="1" s="1"/>
  <c r="M249" i="1"/>
  <c r="M831" i="1"/>
  <c r="K631" i="1"/>
  <c r="Q28" i="1" s="1"/>
  <c r="H631" i="1"/>
  <c r="N28" i="1" s="1"/>
  <c r="L631" i="1"/>
  <c r="R28" i="1" s="1"/>
  <c r="I631" i="1"/>
  <c r="O28" i="1" s="1"/>
  <c r="J631" i="1"/>
  <c r="P28" i="1" s="1"/>
  <c r="D35" i="8"/>
  <c r="J233" i="1"/>
  <c r="P425" i="1"/>
  <c r="P175" i="1"/>
  <c r="P268" i="1" s="1"/>
  <c r="P88" i="1"/>
  <c r="P426" i="1" s="1"/>
  <c r="N26" i="8"/>
  <c r="P80" i="1"/>
  <c r="P78" i="1"/>
  <c r="P79" i="1"/>
  <c r="K180" i="1"/>
  <c r="H619" i="1"/>
  <c r="I619" i="1"/>
  <c r="L619" i="1"/>
  <c r="J619" i="1"/>
  <c r="K619" i="1"/>
  <c r="P218" i="1"/>
  <c r="P219" i="1" s="1"/>
  <c r="O78" i="1"/>
  <c r="O79" i="1"/>
  <c r="O80" i="1"/>
  <c r="O326" i="1"/>
  <c r="G194" i="1"/>
  <c r="G458" i="1"/>
  <c r="G459" i="1" s="1"/>
  <c r="P97" i="1"/>
  <c r="K25" i="8"/>
  <c r="K29" i="8" s="1"/>
  <c r="L25" i="8"/>
  <c r="L29" i="8"/>
  <c r="O427" i="1"/>
  <c r="O177" i="1"/>
  <c r="G267" i="1" l="1"/>
  <c r="G195" i="1"/>
  <c r="G245" i="1"/>
  <c r="M472" i="1"/>
  <c r="L236" i="1"/>
  <c r="G197" i="1"/>
  <c r="G201" i="1" s="1"/>
  <c r="P326" i="1"/>
  <c r="K467" i="1"/>
  <c r="K469" i="1" s="1"/>
  <c r="M556" i="1"/>
  <c r="O328" i="1"/>
  <c r="P427" i="1"/>
  <c r="AI138" i="1"/>
  <c r="AI139" i="1" s="1"/>
  <c r="AI140" i="1" s="1"/>
  <c r="M24" i="8"/>
  <c r="N249" i="1"/>
  <c r="O516" i="1"/>
  <c r="O520" i="1" s="1"/>
  <c r="N831" i="1"/>
  <c r="P177" i="1"/>
  <c r="K230" i="1" l="1"/>
  <c r="L466" i="1"/>
  <c r="N556" i="1"/>
  <c r="P328" i="1"/>
  <c r="M181" i="1"/>
  <c r="M473" i="1" s="1"/>
  <c r="M475" i="1" s="1"/>
  <c r="AJ138" i="1"/>
  <c r="AJ139" i="1" s="1"/>
  <c r="AJ140" i="1" s="1"/>
  <c r="N24" i="8"/>
  <c r="O249" i="1"/>
  <c r="P516" i="1"/>
  <c r="P520" i="1" s="1"/>
  <c r="O831" i="1"/>
  <c r="M25" i="8"/>
  <c r="M29" i="8"/>
  <c r="G266" i="1"/>
  <c r="G275" i="1" s="1"/>
  <c r="G284" i="1" s="1"/>
  <c r="G289" i="1" s="1"/>
  <c r="G250" i="1"/>
  <c r="M236" i="1" l="1"/>
  <c r="N472" i="1"/>
  <c r="G309" i="1"/>
  <c r="G488" i="1"/>
  <c r="G251" i="1"/>
  <c r="N25" i="8"/>
  <c r="N29" i="8" s="1"/>
  <c r="P249" i="1"/>
  <c r="P831" i="1"/>
  <c r="K233" i="1"/>
  <c r="O556" i="1"/>
  <c r="L180" i="1"/>
  <c r="G303" i="1" l="1"/>
  <c r="G489" i="1"/>
  <c r="G496" i="1"/>
  <c r="G504" i="1" s="1"/>
  <c r="G512" i="1" s="1"/>
  <c r="P556" i="1"/>
  <c r="N181" i="1"/>
  <c r="N473" i="1" s="1"/>
  <c r="N475" i="1" s="1"/>
  <c r="G480" i="1"/>
  <c r="L467" i="1"/>
  <c r="L469" i="1" s="1"/>
  <c r="G306" i="1" l="1"/>
  <c r="G771" i="1"/>
  <c r="G513" i="1"/>
  <c r="O472" i="1"/>
  <c r="N236" i="1"/>
  <c r="M466" i="1"/>
  <c r="L230" i="1"/>
  <c r="H485" i="1"/>
  <c r="G238" i="1"/>
  <c r="G305" i="1"/>
  <c r="G307" i="1" s="1"/>
  <c r="G713" i="1"/>
  <c r="G505" i="1"/>
  <c r="G304" i="1"/>
  <c r="G655" i="1"/>
  <c r="G497" i="1"/>
  <c r="G310" i="1" l="1"/>
  <c r="G481" i="1" s="1"/>
  <c r="G482" i="1" s="1"/>
  <c r="H183" i="1"/>
  <c r="H486" i="1" s="1"/>
  <c r="H487" i="1"/>
  <c r="H295" i="1" s="1"/>
  <c r="H500" i="1"/>
  <c r="G240" i="1"/>
  <c r="G715" i="1"/>
  <c r="G733" i="1"/>
  <c r="G727" i="1"/>
  <c r="G730" i="1"/>
  <c r="G726" i="1"/>
  <c r="G729" i="1"/>
  <c r="G725" i="1"/>
  <c r="G732" i="1"/>
  <c r="G728" i="1"/>
  <c r="G731" i="1"/>
  <c r="L233" i="1"/>
  <c r="M180" i="1"/>
  <c r="H492" i="1"/>
  <c r="G239" i="1"/>
  <c r="G377" i="1" s="1"/>
  <c r="G378" i="1" s="1"/>
  <c r="G379" i="1" s="1"/>
  <c r="G657" i="1"/>
  <c r="O181" i="1"/>
  <c r="O473" i="1" s="1"/>
  <c r="O475" i="1" s="1"/>
  <c r="G668" i="1"/>
  <c r="G674" i="1"/>
  <c r="G675" i="1"/>
  <c r="G667" i="1"/>
  <c r="G671" i="1"/>
  <c r="G670" i="1"/>
  <c r="G672" i="1"/>
  <c r="G673" i="1"/>
  <c r="G669" i="1"/>
  <c r="H508" i="1"/>
  <c r="G241" i="1"/>
  <c r="G773" i="1"/>
  <c r="G791" i="1"/>
  <c r="G785" i="1"/>
  <c r="G784" i="1"/>
  <c r="G788" i="1"/>
  <c r="G789" i="1"/>
  <c r="G783" i="1"/>
  <c r="G787" i="1"/>
  <c r="G790" i="1"/>
  <c r="G786" i="1"/>
  <c r="G312" i="1" l="1"/>
  <c r="G525" i="1" s="1"/>
  <c r="G526" i="1" s="1"/>
  <c r="G210" i="1" s="1"/>
  <c r="P472" i="1"/>
  <c r="O236" i="1"/>
  <c r="M467" i="1"/>
  <c r="M469" i="1" s="1"/>
  <c r="H185" i="1"/>
  <c r="H503" i="1"/>
  <c r="H511" i="1"/>
  <c r="H186" i="1"/>
  <c r="H495" i="1"/>
  <c r="H184" i="1"/>
  <c r="H478" i="1"/>
  <c r="G237" i="1"/>
  <c r="H523" i="1" l="1"/>
  <c r="G373" i="1"/>
  <c r="G242" i="1"/>
  <c r="G369" i="1"/>
  <c r="H298" i="1"/>
  <c r="H297" i="1"/>
  <c r="G559" i="1"/>
  <c r="G215" i="1"/>
  <c r="N466" i="1"/>
  <c r="M230" i="1"/>
  <c r="H182" i="1"/>
  <c r="H501" i="1"/>
  <c r="H502" i="1"/>
  <c r="H189" i="1"/>
  <c r="H509" i="1"/>
  <c r="H510" i="1"/>
  <c r="H493" i="1"/>
  <c r="H654" i="1"/>
  <c r="H296" i="1"/>
  <c r="H300" i="1" s="1"/>
  <c r="P181" i="1"/>
  <c r="P473" i="1" s="1"/>
  <c r="P475" i="1" s="1"/>
  <c r="P236" i="1" s="1"/>
  <c r="M233" i="1" l="1"/>
  <c r="G226" i="1"/>
  <c r="G383" i="1"/>
  <c r="N180" i="1"/>
  <c r="H272" i="1"/>
  <c r="H712" i="1" s="1"/>
  <c r="H524" i="1"/>
  <c r="H273" i="1"/>
  <c r="H770" i="1" s="1"/>
  <c r="E46" i="1"/>
  <c r="G370" i="1"/>
  <c r="G371" i="1" s="1"/>
  <c r="G398" i="1"/>
  <c r="E41" i="1" s="1"/>
  <c r="G387" i="1"/>
  <c r="G391" i="1"/>
  <c r="G386" i="1"/>
  <c r="G390" i="1"/>
  <c r="G555" i="1"/>
  <c r="G557" i="1" s="1"/>
  <c r="G562" i="1" s="1"/>
  <c r="G247" i="1"/>
  <c r="G253" i="1" s="1"/>
  <c r="G255" i="1" s="1"/>
  <c r="H479" i="1"/>
  <c r="H187" i="1"/>
  <c r="H191" i="1" s="1"/>
  <c r="H331" i="1"/>
  <c r="G395" i="1"/>
  <c r="G394" i="1"/>
  <c r="G374" i="1"/>
  <c r="G375" i="1" s="1"/>
  <c r="N467" i="1" l="1"/>
  <c r="N469" i="1" s="1"/>
  <c r="H414" i="1"/>
  <c r="E47" i="1"/>
  <c r="G718" i="1"/>
  <c r="G724" i="1" s="1"/>
  <c r="E724" i="1" s="1"/>
  <c r="G660" i="1"/>
  <c r="G666" i="1" s="1"/>
  <c r="E666" i="1" s="1"/>
  <c r="G572" i="1"/>
  <c r="E572" i="1" s="1"/>
  <c r="G594" i="1"/>
  <c r="G595" i="1" s="1"/>
  <c r="G601" i="1" s="1"/>
  <c r="E601" i="1" s="1"/>
  <c r="G563" i="1"/>
  <c r="G834" i="1"/>
  <c r="G840" i="1" s="1"/>
  <c r="E840" i="1" s="1"/>
  <c r="G776" i="1"/>
  <c r="G782" i="1" s="1"/>
  <c r="E782" i="1" s="1"/>
  <c r="H338" i="1"/>
  <c r="H344" i="1"/>
  <c r="H350" i="1"/>
  <c r="H332" i="1"/>
  <c r="AB136" i="1"/>
  <c r="H333" i="1"/>
  <c r="O53" i="1"/>
  <c r="H339" i="1" l="1"/>
  <c r="F31" i="1" s="1"/>
  <c r="H345" i="1"/>
  <c r="F36" i="1" s="1"/>
  <c r="H351" i="1"/>
  <c r="H334" i="1"/>
  <c r="H340" i="1"/>
  <c r="F32" i="1" s="1"/>
  <c r="H346" i="1"/>
  <c r="F37" i="1" s="1"/>
  <c r="H352" i="1"/>
  <c r="AB141" i="1"/>
  <c r="AB145" i="1" s="1"/>
  <c r="AB146" i="1"/>
  <c r="O466" i="1"/>
  <c r="N230" i="1"/>
  <c r="AB149" i="1" l="1"/>
  <c r="H419" i="1" s="1"/>
  <c r="H422" i="1" s="1"/>
  <c r="H429" i="1" s="1"/>
  <c r="AB147" i="1"/>
  <c r="AC144" i="1" s="1"/>
  <c r="H341" i="1"/>
  <c r="F33" i="1" s="1"/>
  <c r="H347" i="1"/>
  <c r="F38" i="1" s="1"/>
  <c r="H353" i="1"/>
  <c r="O180" i="1"/>
  <c r="N233" i="1"/>
  <c r="O467" i="1" l="1"/>
  <c r="O469" i="1" s="1"/>
  <c r="H433" i="1"/>
  <c r="H434" i="1"/>
  <c r="H437" i="1" s="1"/>
  <c r="H439" i="1" l="1"/>
  <c r="H442" i="1" s="1"/>
  <c r="H443" i="1" s="1"/>
  <c r="H447" i="1"/>
  <c r="H435" i="1"/>
  <c r="I432" i="1" s="1"/>
  <c r="P466" i="1"/>
  <c r="O230" i="1"/>
  <c r="H452" i="1"/>
  <c r="H448" i="1" l="1"/>
  <c r="P180" i="1"/>
  <c r="O233" i="1"/>
  <c r="H453" i="1"/>
  <c r="H454" i="1" s="1"/>
  <c r="H449" i="1"/>
  <c r="H444" i="1"/>
  <c r="H457" i="1" l="1"/>
  <c r="H194" i="1"/>
  <c r="H458" i="1"/>
  <c r="H459" i="1" s="1"/>
  <c r="P467" i="1"/>
  <c r="P469" i="1" s="1"/>
  <c r="P230" i="1" s="1"/>
  <c r="H195" i="1" l="1"/>
  <c r="H267" i="1"/>
  <c r="H245" i="1"/>
  <c r="H197" i="1"/>
  <c r="H201" i="1" s="1"/>
  <c r="P233" i="1"/>
  <c r="H266" i="1" l="1"/>
  <c r="H275" i="1" s="1"/>
  <c r="H284" i="1" s="1"/>
  <c r="H289" i="1" s="1"/>
  <c r="H250" i="1"/>
  <c r="H488" i="1" l="1"/>
  <c r="H309" i="1"/>
  <c r="H251" i="1"/>
  <c r="H303" i="1" l="1"/>
  <c r="H489" i="1"/>
  <c r="H480" i="1"/>
  <c r="H496" i="1"/>
  <c r="H304" i="1" l="1"/>
  <c r="H655" i="1"/>
  <c r="H497" i="1"/>
  <c r="I485" i="1"/>
  <c r="H238" i="1"/>
  <c r="H504" i="1"/>
  <c r="H669" i="1" l="1"/>
  <c r="H672" i="1"/>
  <c r="H674" i="1"/>
  <c r="H670" i="1"/>
  <c r="H668" i="1"/>
  <c r="H671" i="1"/>
  <c r="H673" i="1"/>
  <c r="H675" i="1"/>
  <c r="H305" i="1"/>
  <c r="H713" i="1"/>
  <c r="H505" i="1"/>
  <c r="I183" i="1"/>
  <c r="I486" i="1" s="1"/>
  <c r="I487" i="1"/>
  <c r="I295" i="1" s="1"/>
  <c r="I492" i="1"/>
  <c r="H239" i="1"/>
  <c r="H377" i="1" s="1"/>
  <c r="H378" i="1" s="1"/>
  <c r="H379" i="1" s="1"/>
  <c r="H657" i="1"/>
  <c r="H512" i="1"/>
  <c r="H731" i="1" l="1"/>
  <c r="H730" i="1"/>
  <c r="H729" i="1"/>
  <c r="H733" i="1"/>
  <c r="H728" i="1"/>
  <c r="H732" i="1"/>
  <c r="H726" i="1"/>
  <c r="H727" i="1"/>
  <c r="I495" i="1"/>
  <c r="I184" i="1"/>
  <c r="H306" i="1"/>
  <c r="H307" i="1" s="1"/>
  <c r="H771" i="1"/>
  <c r="H513" i="1"/>
  <c r="I500" i="1"/>
  <c r="H240" i="1"/>
  <c r="H715" i="1"/>
  <c r="H310" i="1" l="1"/>
  <c r="H481" i="1" s="1"/>
  <c r="H482" i="1" s="1"/>
  <c r="I296" i="1"/>
  <c r="I185" i="1"/>
  <c r="I503" i="1"/>
  <c r="I654" i="1"/>
  <c r="I493" i="1"/>
  <c r="I508" i="1"/>
  <c r="H241" i="1"/>
  <c r="H773" i="1"/>
  <c r="H791" i="1"/>
  <c r="H789" i="1"/>
  <c r="H785" i="1"/>
  <c r="H788" i="1"/>
  <c r="H784" i="1"/>
  <c r="H787" i="1"/>
  <c r="H786" i="1"/>
  <c r="H790" i="1"/>
  <c r="I501" i="1" l="1"/>
  <c r="I502" i="1"/>
  <c r="I511" i="1"/>
  <c r="I186" i="1"/>
  <c r="I478" i="1"/>
  <c r="H237" i="1"/>
  <c r="I297" i="1"/>
  <c r="H312" i="1"/>
  <c r="H525" i="1" s="1"/>
  <c r="H526" i="1" s="1"/>
  <c r="H242" i="1" l="1"/>
  <c r="H373" i="1"/>
  <c r="H369" i="1"/>
  <c r="I509" i="1"/>
  <c r="I510" i="1"/>
  <c r="I298" i="1"/>
  <c r="I300" i="1" s="1"/>
  <c r="I182" i="1"/>
  <c r="I523" i="1"/>
  <c r="H210" i="1"/>
  <c r="I272" i="1"/>
  <c r="I712" i="1" s="1"/>
  <c r="H215" i="1" l="1"/>
  <c r="H559" i="1"/>
  <c r="I189" i="1"/>
  <c r="I273" i="1"/>
  <c r="I770" i="1" s="1"/>
  <c r="H395" i="1"/>
  <c r="H374" i="1"/>
  <c r="H375" i="1" s="1"/>
  <c r="H394" i="1"/>
  <c r="I479" i="1"/>
  <c r="I187" i="1"/>
  <c r="I331" i="1"/>
  <c r="H370" i="1"/>
  <c r="H371" i="1" s="1"/>
  <c r="F46" i="1"/>
  <c r="H398" i="1"/>
  <c r="F41" i="1" s="1"/>
  <c r="H387" i="1"/>
  <c r="H391" i="1"/>
  <c r="H386" i="1"/>
  <c r="H390" i="1"/>
  <c r="H555" i="1"/>
  <c r="H557" i="1" s="1"/>
  <c r="H562" i="1" s="1"/>
  <c r="H247" i="1"/>
  <c r="H253" i="1" s="1"/>
  <c r="I338" i="1" l="1"/>
  <c r="I344" i="1"/>
  <c r="I350" i="1"/>
  <c r="F47" i="1"/>
  <c r="H594" i="1"/>
  <c r="H595" i="1" s="1"/>
  <c r="H602" i="1" s="1"/>
  <c r="E602" i="1" s="1"/>
  <c r="H563" i="1"/>
  <c r="H573" i="1"/>
  <c r="E573" i="1" s="1"/>
  <c r="H660" i="1"/>
  <c r="H667" i="1" s="1"/>
  <c r="E667" i="1" s="1"/>
  <c r="H834" i="1"/>
  <c r="H841" i="1" s="1"/>
  <c r="E841" i="1" s="1"/>
  <c r="H718" i="1"/>
  <c r="H725" i="1" s="1"/>
  <c r="E725" i="1" s="1"/>
  <c r="H776" i="1"/>
  <c r="H783" i="1" s="1"/>
  <c r="E783" i="1" s="1"/>
  <c r="I191" i="1"/>
  <c r="I524" i="1"/>
  <c r="I332" i="1"/>
  <c r="AC136" i="1"/>
  <c r="I333" i="1"/>
  <c r="P53" i="1"/>
  <c r="H383" i="1"/>
  <c r="H226" i="1"/>
  <c r="H255" i="1" s="1"/>
  <c r="I334" i="1" l="1"/>
  <c r="I340" i="1"/>
  <c r="G32" i="1" s="1"/>
  <c r="I346" i="1"/>
  <c r="G37" i="1" s="1"/>
  <c r="I352" i="1"/>
  <c r="I339" i="1"/>
  <c r="G31" i="1" s="1"/>
  <c r="I345" i="1"/>
  <c r="G36" i="1" s="1"/>
  <c r="I351" i="1"/>
  <c r="I414" i="1"/>
  <c r="AC141" i="1"/>
  <c r="AC145" i="1" s="1"/>
  <c r="AC146" i="1"/>
  <c r="AC149" i="1" l="1"/>
  <c r="I419" i="1" s="1"/>
  <c r="AC147" i="1"/>
  <c r="AD144" i="1" s="1"/>
  <c r="I422" i="1"/>
  <c r="I429" i="1" s="1"/>
  <c r="I341" i="1"/>
  <c r="G33" i="1" s="1"/>
  <c r="I347" i="1"/>
  <c r="G38" i="1" s="1"/>
  <c r="I353" i="1"/>
  <c r="I433" i="1" l="1"/>
  <c r="I434" i="1"/>
  <c r="I437" i="1" s="1"/>
  <c r="I452" i="1" l="1"/>
  <c r="I435" i="1"/>
  <c r="J432" i="1" s="1"/>
  <c r="I439" i="1"/>
  <c r="I442" i="1" l="1"/>
  <c r="I443" i="1" s="1"/>
  <c r="I447" i="1"/>
  <c r="I453" i="1"/>
  <c r="I454" i="1" s="1"/>
  <c r="I444" i="1" l="1"/>
  <c r="I448" i="1"/>
  <c r="I449" i="1" s="1"/>
  <c r="I457" i="1" s="1"/>
  <c r="I458" i="1" l="1"/>
  <c r="I459" i="1" s="1"/>
  <c r="I194" i="1"/>
  <c r="I195" i="1" l="1"/>
  <c r="I267" i="1"/>
  <c r="I245" i="1"/>
  <c r="I197" i="1"/>
  <c r="I201" i="1" s="1"/>
  <c r="I266" i="1" l="1"/>
  <c r="I275" i="1" s="1"/>
  <c r="I284" i="1" s="1"/>
  <c r="I289" i="1" s="1"/>
  <c r="I250" i="1"/>
  <c r="I251" i="1" l="1"/>
  <c r="I309" i="1"/>
  <c r="I488" i="1"/>
  <c r="I303" i="1" l="1"/>
  <c r="I489" i="1"/>
  <c r="I496" i="1"/>
  <c r="I480" i="1"/>
  <c r="I304" i="1" l="1"/>
  <c r="I497" i="1"/>
  <c r="I655" i="1"/>
  <c r="J485" i="1"/>
  <c r="I238" i="1"/>
  <c r="I504" i="1"/>
  <c r="I512" i="1" s="1"/>
  <c r="I306" i="1" l="1"/>
  <c r="I771" i="1"/>
  <c r="I513" i="1"/>
  <c r="I305" i="1"/>
  <c r="I713" i="1"/>
  <c r="I505" i="1"/>
  <c r="J487" i="1"/>
  <c r="J295" i="1" s="1"/>
  <c r="J183" i="1"/>
  <c r="J486" i="1" s="1"/>
  <c r="I670" i="1"/>
  <c r="I669" i="1"/>
  <c r="I672" i="1"/>
  <c r="I674" i="1"/>
  <c r="I675" i="1"/>
  <c r="I671" i="1"/>
  <c r="I673" i="1"/>
  <c r="J492" i="1"/>
  <c r="I239" i="1"/>
  <c r="I377" i="1" s="1"/>
  <c r="I378" i="1" s="1"/>
  <c r="I379" i="1" s="1"/>
  <c r="I657" i="1"/>
  <c r="I307" i="1" l="1"/>
  <c r="J495" i="1"/>
  <c r="J184" i="1"/>
  <c r="J500" i="1"/>
  <c r="I240" i="1"/>
  <c r="I715" i="1"/>
  <c r="I729" i="1"/>
  <c r="I727" i="1"/>
  <c r="I728" i="1"/>
  <c r="I732" i="1"/>
  <c r="I731" i="1"/>
  <c r="I730" i="1"/>
  <c r="I733" i="1"/>
  <c r="I790" i="1"/>
  <c r="I788" i="1"/>
  <c r="I791" i="1"/>
  <c r="I785" i="1"/>
  <c r="I789" i="1"/>
  <c r="I787" i="1"/>
  <c r="I786" i="1"/>
  <c r="I310" i="1"/>
  <c r="I481" i="1" s="1"/>
  <c r="I482" i="1" s="1"/>
  <c r="J508" i="1"/>
  <c r="I241" i="1"/>
  <c r="I773" i="1"/>
  <c r="J186" i="1" l="1"/>
  <c r="J511" i="1"/>
  <c r="I312" i="1"/>
  <c r="I525" i="1" s="1"/>
  <c r="I526" i="1" s="1"/>
  <c r="J503" i="1"/>
  <c r="J185" i="1"/>
  <c r="J478" i="1"/>
  <c r="I237" i="1"/>
  <c r="J654" i="1"/>
  <c r="J493" i="1"/>
  <c r="J296" i="1"/>
  <c r="J523" i="1" l="1"/>
  <c r="I210" i="1"/>
  <c r="I242" i="1"/>
  <c r="I373" i="1"/>
  <c r="I369" i="1"/>
  <c r="J182" i="1"/>
  <c r="J298" i="1"/>
  <c r="J501" i="1"/>
  <c r="J502" i="1"/>
  <c r="J509" i="1"/>
  <c r="J510" i="1"/>
  <c r="J297" i="1"/>
  <c r="J300" i="1" l="1"/>
  <c r="J479" i="1"/>
  <c r="J331" i="1"/>
  <c r="J187" i="1"/>
  <c r="I370" i="1"/>
  <c r="I371" i="1" s="1"/>
  <c r="G46" i="1"/>
  <c r="J273" i="1"/>
  <c r="J770" i="1" s="1"/>
  <c r="J272" i="1"/>
  <c r="J712" i="1" s="1"/>
  <c r="I215" i="1"/>
  <c r="I559" i="1"/>
  <c r="I394" i="1"/>
  <c r="I374" i="1"/>
  <c r="I375" i="1" s="1"/>
  <c r="I395" i="1"/>
  <c r="I398" i="1"/>
  <c r="G41" i="1" s="1"/>
  <c r="I386" i="1"/>
  <c r="I387" i="1"/>
  <c r="I391" i="1"/>
  <c r="I390" i="1"/>
  <c r="I555" i="1"/>
  <c r="I557" i="1" s="1"/>
  <c r="I247" i="1"/>
  <c r="I253" i="1" s="1"/>
  <c r="J189" i="1"/>
  <c r="I226" i="1" l="1"/>
  <c r="I255" i="1" s="1"/>
  <c r="I383" i="1"/>
  <c r="G47" i="1"/>
  <c r="I562" i="1"/>
  <c r="J332" i="1"/>
  <c r="J333" i="1"/>
  <c r="AD136" i="1"/>
  <c r="Q53" i="1"/>
  <c r="J191" i="1"/>
  <c r="J524" i="1"/>
  <c r="J338" i="1"/>
  <c r="J344" i="1"/>
  <c r="J350" i="1"/>
  <c r="J334" i="1" l="1"/>
  <c r="J340" i="1"/>
  <c r="H32" i="1" s="1"/>
  <c r="J346" i="1"/>
  <c r="H37" i="1" s="1"/>
  <c r="J352" i="1"/>
  <c r="J414" i="1"/>
  <c r="J339" i="1"/>
  <c r="H31" i="1" s="1"/>
  <c r="J345" i="1"/>
  <c r="H36" i="1" s="1"/>
  <c r="J351" i="1"/>
  <c r="AD146" i="1"/>
  <c r="AD141" i="1"/>
  <c r="AD145" i="1" s="1"/>
  <c r="I574" i="1"/>
  <c r="E574" i="1" s="1"/>
  <c r="I594" i="1"/>
  <c r="I595" i="1" s="1"/>
  <c r="I603" i="1" s="1"/>
  <c r="E603" i="1" s="1"/>
  <c r="I563" i="1"/>
  <c r="I660" i="1"/>
  <c r="I668" i="1" s="1"/>
  <c r="E668" i="1" s="1"/>
  <c r="I834" i="1"/>
  <c r="I842" i="1" s="1"/>
  <c r="E842" i="1" s="1"/>
  <c r="I776" i="1"/>
  <c r="I784" i="1" s="1"/>
  <c r="E784" i="1" s="1"/>
  <c r="I718" i="1"/>
  <c r="I726" i="1" s="1"/>
  <c r="E726" i="1" s="1"/>
  <c r="AD149" i="1" l="1"/>
  <c r="J419" i="1" s="1"/>
  <c r="J422" i="1" s="1"/>
  <c r="J429" i="1" s="1"/>
  <c r="AD147" i="1"/>
  <c r="AE144" i="1" s="1"/>
  <c r="J341" i="1"/>
  <c r="H33" i="1" s="1"/>
  <c r="J347" i="1"/>
  <c r="H38" i="1" s="1"/>
  <c r="J353" i="1"/>
  <c r="J434" i="1" l="1"/>
  <c r="J437" i="1" s="1"/>
  <c r="J433" i="1"/>
  <c r="J439" i="1" l="1"/>
  <c r="J435" i="1"/>
  <c r="K432" i="1" s="1"/>
  <c r="J447" i="1"/>
  <c r="J448" i="1"/>
  <c r="J442" i="1"/>
  <c r="J443" i="1" s="1"/>
  <c r="J452" i="1"/>
  <c r="J453" i="1"/>
  <c r="J454" i="1" l="1"/>
  <c r="J444" i="1"/>
  <c r="J449" i="1"/>
  <c r="J458" i="1" l="1"/>
  <c r="J194" i="1"/>
  <c r="J457" i="1"/>
  <c r="J459" i="1" l="1"/>
  <c r="J267" i="1" s="1"/>
  <c r="J245" i="1" l="1"/>
  <c r="J195" i="1"/>
  <c r="J197" i="1" s="1"/>
  <c r="J201" i="1" s="1"/>
  <c r="J266" i="1" s="1"/>
  <c r="J275" i="1" s="1"/>
  <c r="J284" i="1" s="1"/>
  <c r="J289" i="1" s="1"/>
  <c r="J250" i="1"/>
  <c r="J251" i="1" l="1"/>
  <c r="J309" i="1"/>
  <c r="J488" i="1"/>
  <c r="J496" i="1" s="1"/>
  <c r="J304" i="1" l="1"/>
  <c r="J497" i="1"/>
  <c r="J655" i="1"/>
  <c r="J504" i="1"/>
  <c r="J480" i="1"/>
  <c r="J303" i="1"/>
  <c r="J489" i="1"/>
  <c r="J238" i="1" l="1"/>
  <c r="K485" i="1"/>
  <c r="J305" i="1"/>
  <c r="J713" i="1"/>
  <c r="J505" i="1"/>
  <c r="J512" i="1"/>
  <c r="J671" i="1"/>
  <c r="J673" i="1"/>
  <c r="J672" i="1"/>
  <c r="J670" i="1"/>
  <c r="J674" i="1"/>
  <c r="J675" i="1"/>
  <c r="K492" i="1"/>
  <c r="J239" i="1"/>
  <c r="J377" i="1" s="1"/>
  <c r="J378" i="1" s="1"/>
  <c r="J379" i="1" s="1"/>
  <c r="J657" i="1"/>
  <c r="J306" i="1" l="1"/>
  <c r="J307" i="1" s="1"/>
  <c r="J771" i="1"/>
  <c r="J513" i="1"/>
  <c r="J732" i="1"/>
  <c r="J730" i="1"/>
  <c r="J733" i="1"/>
  <c r="J729" i="1"/>
  <c r="J728" i="1"/>
  <c r="J731" i="1"/>
  <c r="K500" i="1"/>
  <c r="J240" i="1"/>
  <c r="J715" i="1"/>
  <c r="K184" i="1"/>
  <c r="K495" i="1"/>
  <c r="K183" i="1"/>
  <c r="K486" i="1" s="1"/>
  <c r="K487" i="1"/>
  <c r="K295" i="1" s="1"/>
  <c r="K185" i="1" l="1"/>
  <c r="K503" i="1"/>
  <c r="J241" i="1"/>
  <c r="K508" i="1"/>
  <c r="J773" i="1"/>
  <c r="K654" i="1"/>
  <c r="K493" i="1"/>
  <c r="J788" i="1"/>
  <c r="J787" i="1"/>
  <c r="J786" i="1"/>
  <c r="J789" i="1"/>
  <c r="J791" i="1"/>
  <c r="J790" i="1"/>
  <c r="K296" i="1"/>
  <c r="J310" i="1"/>
  <c r="J481" i="1" s="1"/>
  <c r="J482" i="1" s="1"/>
  <c r="K511" i="1" l="1"/>
  <c r="K186" i="1"/>
  <c r="K297" i="1"/>
  <c r="J312" i="1"/>
  <c r="J525" i="1" s="1"/>
  <c r="J526" i="1" s="1"/>
  <c r="K501" i="1"/>
  <c r="K502" i="1"/>
  <c r="K478" i="1"/>
  <c r="J237" i="1"/>
  <c r="K182" i="1" l="1"/>
  <c r="K272" i="1"/>
  <c r="K712" i="1" s="1"/>
  <c r="K509" i="1"/>
  <c r="K510" i="1"/>
  <c r="J242" i="1"/>
  <c r="J373" i="1"/>
  <c r="J369" i="1"/>
  <c r="K523" i="1"/>
  <c r="J210" i="1"/>
  <c r="K298" i="1"/>
  <c r="K300" i="1" s="1"/>
  <c r="H46" i="1" l="1"/>
  <c r="J370" i="1"/>
  <c r="J371" i="1" s="1"/>
  <c r="K273" i="1"/>
  <c r="K770" i="1" s="1"/>
  <c r="K189" i="1"/>
  <c r="J398" i="1"/>
  <c r="H41" i="1" s="1"/>
  <c r="J387" i="1"/>
  <c r="J391" i="1"/>
  <c r="J386" i="1"/>
  <c r="J390" i="1"/>
  <c r="J555" i="1"/>
  <c r="J557" i="1" s="1"/>
  <c r="J247" i="1"/>
  <c r="J253" i="1" s="1"/>
  <c r="K479" i="1"/>
  <c r="K331" i="1"/>
  <c r="K187" i="1"/>
  <c r="J374" i="1"/>
  <c r="J375" i="1" s="1"/>
  <c r="J394" i="1"/>
  <c r="J395" i="1"/>
  <c r="J215" i="1"/>
  <c r="J559" i="1"/>
  <c r="K338" i="1" l="1"/>
  <c r="K344" i="1"/>
  <c r="K350" i="1"/>
  <c r="K191" i="1"/>
  <c r="K524" i="1"/>
  <c r="H47" i="1"/>
  <c r="AE136" i="1"/>
  <c r="K332" i="1"/>
  <c r="K333" i="1"/>
  <c r="R53" i="1"/>
  <c r="J226" i="1"/>
  <c r="J255" i="1" s="1"/>
  <c r="J383" i="1"/>
  <c r="J562" i="1"/>
  <c r="AE141" i="1" l="1"/>
  <c r="AE145" i="1" s="1"/>
  <c r="AE146" i="1"/>
  <c r="J718" i="1"/>
  <c r="J727" i="1" s="1"/>
  <c r="E727" i="1" s="1"/>
  <c r="J575" i="1"/>
  <c r="E575" i="1" s="1"/>
  <c r="J563" i="1"/>
  <c r="J660" i="1"/>
  <c r="J669" i="1" s="1"/>
  <c r="E669" i="1" s="1"/>
  <c r="J834" i="1"/>
  <c r="J843" i="1" s="1"/>
  <c r="E843" i="1" s="1"/>
  <c r="J594" i="1"/>
  <c r="J595" i="1" s="1"/>
  <c r="J604" i="1" s="1"/>
  <c r="E604" i="1" s="1"/>
  <c r="J776" i="1"/>
  <c r="J785" i="1" s="1"/>
  <c r="E785" i="1" s="1"/>
  <c r="K334" i="1"/>
  <c r="K340" i="1"/>
  <c r="I32" i="1" s="1"/>
  <c r="K346" i="1"/>
  <c r="I37" i="1" s="1"/>
  <c r="K352" i="1"/>
  <c r="K339" i="1"/>
  <c r="I31" i="1" s="1"/>
  <c r="K345" i="1"/>
  <c r="I36" i="1" s="1"/>
  <c r="K351" i="1"/>
  <c r="K414" i="1"/>
  <c r="K341" i="1" l="1"/>
  <c r="I33" i="1" s="1"/>
  <c r="K347" i="1"/>
  <c r="I38" i="1" s="1"/>
  <c r="K353" i="1"/>
  <c r="AE149" i="1"/>
  <c r="K419" i="1" s="1"/>
  <c r="K422" i="1" s="1"/>
  <c r="K429" i="1" s="1"/>
  <c r="AE147" i="1"/>
  <c r="AF144" i="1" s="1"/>
  <c r="K433" i="1" l="1"/>
  <c r="K434" i="1"/>
  <c r="K437" i="1" s="1"/>
  <c r="K452" i="1" l="1"/>
  <c r="K453" i="1"/>
  <c r="K439" i="1"/>
  <c r="K435" i="1"/>
  <c r="L432" i="1" s="1"/>
  <c r="K442" i="1" l="1"/>
  <c r="K443" i="1"/>
  <c r="K447" i="1"/>
  <c r="K448" i="1" s="1"/>
  <c r="K454" i="1"/>
  <c r="K449" i="1" l="1"/>
  <c r="K444" i="1"/>
  <c r="K457" i="1" l="1"/>
  <c r="K194" i="1"/>
  <c r="K458" i="1"/>
  <c r="K459" i="1" s="1"/>
  <c r="K195" i="1" l="1"/>
  <c r="K267" i="1"/>
  <c r="K245" i="1"/>
  <c r="K197" i="1"/>
  <c r="K201" i="1" s="1"/>
  <c r="K266" i="1" l="1"/>
  <c r="K275" i="1" s="1"/>
  <c r="K284" i="1" s="1"/>
  <c r="K289" i="1" s="1"/>
  <c r="K250" i="1"/>
  <c r="K251" i="1" l="1"/>
  <c r="K309" i="1"/>
  <c r="K488" i="1"/>
  <c r="K480" i="1" l="1"/>
  <c r="K303" i="1"/>
  <c r="K489" i="1"/>
  <c r="K496" i="1"/>
  <c r="K304" i="1" l="1"/>
  <c r="K497" i="1"/>
  <c r="K655" i="1"/>
  <c r="K504" i="1"/>
  <c r="K238" i="1"/>
  <c r="L485" i="1"/>
  <c r="K305" i="1" l="1"/>
  <c r="K713" i="1"/>
  <c r="K505" i="1"/>
  <c r="K512" i="1"/>
  <c r="L183" i="1"/>
  <c r="L486" i="1" s="1"/>
  <c r="L487" i="1"/>
  <c r="L295" i="1" s="1"/>
  <c r="K674" i="1"/>
  <c r="K675" i="1"/>
  <c r="K673" i="1"/>
  <c r="K672" i="1"/>
  <c r="K671" i="1"/>
  <c r="K239" i="1"/>
  <c r="K377" i="1" s="1"/>
  <c r="K378" i="1" s="1"/>
  <c r="K379" i="1" s="1"/>
  <c r="L492" i="1"/>
  <c r="K657" i="1"/>
  <c r="L184" i="1" l="1"/>
  <c r="L495" i="1"/>
  <c r="K730" i="1"/>
  <c r="K733" i="1"/>
  <c r="K732" i="1"/>
  <c r="K729" i="1"/>
  <c r="K731" i="1"/>
  <c r="K306" i="1"/>
  <c r="K307" i="1" s="1"/>
  <c r="K771" i="1"/>
  <c r="K513" i="1"/>
  <c r="L500" i="1"/>
  <c r="K240" i="1"/>
  <c r="K715" i="1"/>
  <c r="K791" i="1" l="1"/>
  <c r="K787" i="1"/>
  <c r="K788" i="1"/>
  <c r="K789" i="1"/>
  <c r="K790" i="1"/>
  <c r="L296" i="1"/>
  <c r="K241" i="1"/>
  <c r="L508" i="1"/>
  <c r="K773" i="1"/>
  <c r="K310" i="1"/>
  <c r="K481" i="1" s="1"/>
  <c r="K482" i="1" s="1"/>
  <c r="L185" i="1"/>
  <c r="L503" i="1"/>
  <c r="L654" i="1"/>
  <c r="L493" i="1"/>
  <c r="K312" i="1" l="1"/>
  <c r="K525" i="1" s="1"/>
  <c r="K526" i="1" s="1"/>
  <c r="L186" i="1"/>
  <c r="L511" i="1"/>
  <c r="L297" i="1"/>
  <c r="L501" i="1"/>
  <c r="L712" i="1"/>
  <c r="K210" i="1"/>
  <c r="L523" i="1"/>
  <c r="L478" i="1"/>
  <c r="K237" i="1"/>
  <c r="L189" i="1" l="1"/>
  <c r="L509" i="1"/>
  <c r="L770" i="1"/>
  <c r="L182" i="1"/>
  <c r="K559" i="1"/>
  <c r="K215" i="1"/>
  <c r="L298" i="1"/>
  <c r="L300" i="1" s="1"/>
  <c r="K242" i="1"/>
  <c r="K373" i="1"/>
  <c r="K369" i="1"/>
  <c r="K398" i="1" l="1"/>
  <c r="I41" i="1" s="1"/>
  <c r="K390" i="1"/>
  <c r="K387" i="1"/>
  <c r="K391" i="1"/>
  <c r="K386" i="1"/>
  <c r="K555" i="1"/>
  <c r="K557" i="1" s="1"/>
  <c r="K562" i="1" s="1"/>
  <c r="K247" i="1"/>
  <c r="K253" i="1" s="1"/>
  <c r="K255" i="1" s="1"/>
  <c r="I46" i="1"/>
  <c r="K370" i="1"/>
  <c r="K371" i="1" s="1"/>
  <c r="K394" i="1"/>
  <c r="K374" i="1"/>
  <c r="K375" i="1" s="1"/>
  <c r="K395" i="1"/>
  <c r="K383" i="1"/>
  <c r="K226" i="1"/>
  <c r="L479" i="1"/>
  <c r="L187" i="1"/>
  <c r="L331" i="1"/>
  <c r="L191" i="1"/>
  <c r="L524" i="1"/>
  <c r="L414" i="1" l="1"/>
  <c r="AF136" i="1"/>
  <c r="L332" i="1"/>
  <c r="L333" i="1"/>
  <c r="I47" i="1"/>
  <c r="L338" i="1"/>
  <c r="L344" i="1"/>
  <c r="L350" i="1"/>
  <c r="K632" i="1"/>
  <c r="K620" i="1" s="1"/>
  <c r="Q31" i="1" s="1"/>
  <c r="H632" i="1"/>
  <c r="H620" i="1" s="1"/>
  <c r="N31" i="1" s="1"/>
  <c r="J634" i="1"/>
  <c r="J622" i="1" s="1"/>
  <c r="P33" i="1" s="1"/>
  <c r="H635" i="1"/>
  <c r="H623" i="1" s="1"/>
  <c r="N34" i="1" s="1"/>
  <c r="L635" i="1"/>
  <c r="L623" i="1" s="1"/>
  <c r="R34" i="1" s="1"/>
  <c r="J633" i="1"/>
  <c r="J621" i="1" s="1"/>
  <c r="P32" i="1" s="1"/>
  <c r="I632" i="1"/>
  <c r="I620" i="1" s="1"/>
  <c r="O31" i="1" s="1"/>
  <c r="K634" i="1"/>
  <c r="K622" i="1" s="1"/>
  <c r="Q33" i="1" s="1"/>
  <c r="I635" i="1"/>
  <c r="I623" i="1" s="1"/>
  <c r="O34" i="1" s="1"/>
  <c r="K633" i="1"/>
  <c r="K621" i="1" s="1"/>
  <c r="Q32" i="1" s="1"/>
  <c r="K636" i="1"/>
  <c r="K624" i="1" s="1"/>
  <c r="Q35" i="1" s="1"/>
  <c r="J632" i="1"/>
  <c r="J620" i="1" s="1"/>
  <c r="P31" i="1" s="1"/>
  <c r="H634" i="1"/>
  <c r="H622" i="1" s="1"/>
  <c r="N33" i="1" s="1"/>
  <c r="L634" i="1"/>
  <c r="L622" i="1" s="1"/>
  <c r="R33" i="1" s="1"/>
  <c r="J635" i="1"/>
  <c r="J623" i="1" s="1"/>
  <c r="P34" i="1" s="1"/>
  <c r="H633" i="1"/>
  <c r="H621" i="1" s="1"/>
  <c r="N32" i="1" s="1"/>
  <c r="L633" i="1"/>
  <c r="L621" i="1" s="1"/>
  <c r="R32" i="1" s="1"/>
  <c r="H636" i="1"/>
  <c r="H624" i="1" s="1"/>
  <c r="N35" i="1" s="1"/>
  <c r="L636" i="1"/>
  <c r="L624" i="1" s="1"/>
  <c r="R35" i="1" s="1"/>
  <c r="I634" i="1"/>
  <c r="I622" i="1" s="1"/>
  <c r="O33" i="1" s="1"/>
  <c r="K635" i="1"/>
  <c r="K623" i="1" s="1"/>
  <c r="Q34" i="1" s="1"/>
  <c r="L632" i="1"/>
  <c r="L620" i="1" s="1"/>
  <c r="R31" i="1" s="1"/>
  <c r="I633" i="1"/>
  <c r="I621" i="1" s="1"/>
  <c r="O32" i="1" s="1"/>
  <c r="I636" i="1"/>
  <c r="I624" i="1" s="1"/>
  <c r="O35" i="1" s="1"/>
  <c r="J636" i="1"/>
  <c r="J624" i="1" s="1"/>
  <c r="P35" i="1" s="1"/>
  <c r="K563" i="1"/>
  <c r="G634" i="1"/>
  <c r="G622" i="1" s="1"/>
  <c r="G635" i="1"/>
  <c r="G623" i="1" s="1"/>
  <c r="J693" i="1"/>
  <c r="J683" i="1" s="1"/>
  <c r="I694" i="1"/>
  <c r="I684" i="1" s="1"/>
  <c r="I695" i="1"/>
  <c r="I685" i="1" s="1"/>
  <c r="H696" i="1"/>
  <c r="H686" i="1" s="1"/>
  <c r="G697" i="1"/>
  <c r="G687" i="1" s="1"/>
  <c r="K751" i="1"/>
  <c r="K741" i="1" s="1"/>
  <c r="G636" i="1"/>
  <c r="G624" i="1" s="1"/>
  <c r="K660" i="1"/>
  <c r="K670" i="1" s="1"/>
  <c r="E670" i="1" s="1"/>
  <c r="K694" i="1"/>
  <c r="K684" i="1" s="1"/>
  <c r="K695" i="1"/>
  <c r="K685" i="1" s="1"/>
  <c r="J696" i="1"/>
  <c r="J686" i="1" s="1"/>
  <c r="I697" i="1"/>
  <c r="I687" i="1" s="1"/>
  <c r="G632" i="1"/>
  <c r="G620" i="1" s="1"/>
  <c r="G693" i="1"/>
  <c r="G683" i="1" s="1"/>
  <c r="L693" i="1"/>
  <c r="L683" i="1" s="1"/>
  <c r="L694" i="1"/>
  <c r="L684" i="1" s="1"/>
  <c r="L695" i="1"/>
  <c r="L685" i="1" s="1"/>
  <c r="K696" i="1"/>
  <c r="K686" i="1" s="1"/>
  <c r="J697" i="1"/>
  <c r="J687" i="1" s="1"/>
  <c r="K576" i="1"/>
  <c r="E576" i="1" s="1"/>
  <c r="G633" i="1"/>
  <c r="G621" i="1" s="1"/>
  <c r="H694" i="1"/>
  <c r="H684" i="1" s="1"/>
  <c r="H697" i="1"/>
  <c r="H687" i="1" s="1"/>
  <c r="L752" i="1"/>
  <c r="L742" i="1" s="1"/>
  <c r="L754" i="1"/>
  <c r="L744" i="1" s="1"/>
  <c r="K776" i="1"/>
  <c r="K786" i="1" s="1"/>
  <c r="E786" i="1" s="1"/>
  <c r="H869" i="1"/>
  <c r="H859" i="1" s="1"/>
  <c r="K871" i="1"/>
  <c r="K861" i="1" s="1"/>
  <c r="L751" i="1"/>
  <c r="L741" i="1" s="1"/>
  <c r="L755" i="1"/>
  <c r="L745" i="1" s="1"/>
  <c r="H809" i="1"/>
  <c r="H799" i="1" s="1"/>
  <c r="G810" i="1"/>
  <c r="G800" i="1" s="1"/>
  <c r="G811" i="1"/>
  <c r="G801" i="1" s="1"/>
  <c r="L812" i="1"/>
  <c r="L802" i="1" s="1"/>
  <c r="K813" i="1"/>
  <c r="K803" i="1" s="1"/>
  <c r="G696" i="1"/>
  <c r="G686" i="1" s="1"/>
  <c r="G751" i="1"/>
  <c r="G741" i="1" s="1"/>
  <c r="G753" i="1"/>
  <c r="G743" i="1" s="1"/>
  <c r="J867" i="1"/>
  <c r="J857" i="1" s="1"/>
  <c r="I868" i="1"/>
  <c r="I858" i="1" s="1"/>
  <c r="I869" i="1"/>
  <c r="I859" i="1" s="1"/>
  <c r="H870" i="1"/>
  <c r="H860" i="1" s="1"/>
  <c r="G871" i="1"/>
  <c r="G861" i="1" s="1"/>
  <c r="J694" i="1"/>
  <c r="J684" i="1" s="1"/>
  <c r="K697" i="1"/>
  <c r="K687" i="1" s="1"/>
  <c r="G752" i="1"/>
  <c r="G742" i="1" s="1"/>
  <c r="G754" i="1"/>
  <c r="G744" i="1" s="1"/>
  <c r="I809" i="1"/>
  <c r="I799" i="1" s="1"/>
  <c r="H810" i="1"/>
  <c r="H800" i="1" s="1"/>
  <c r="H811" i="1"/>
  <c r="H801" i="1" s="1"/>
  <c r="G812" i="1"/>
  <c r="G802" i="1" s="1"/>
  <c r="L813" i="1"/>
  <c r="L803" i="1" s="1"/>
  <c r="J868" i="1"/>
  <c r="J858" i="1" s="1"/>
  <c r="I870" i="1"/>
  <c r="I860" i="1" s="1"/>
  <c r="H871" i="1"/>
  <c r="H861" i="1" s="1"/>
  <c r="K594" i="1"/>
  <c r="K595" i="1" s="1"/>
  <c r="K605" i="1" s="1"/>
  <c r="E605" i="1" s="1"/>
  <c r="J695" i="1"/>
  <c r="J685" i="1" s="1"/>
  <c r="H693" i="1"/>
  <c r="H683" i="1" s="1"/>
  <c r="L697" i="1"/>
  <c r="L687" i="1" s="1"/>
  <c r="H751" i="1"/>
  <c r="H741" i="1" s="1"/>
  <c r="H753" i="1"/>
  <c r="H743" i="1" s="1"/>
  <c r="G755" i="1"/>
  <c r="G745" i="1" s="1"/>
  <c r="J869" i="1"/>
  <c r="J859" i="1" s="1"/>
  <c r="G868" i="1"/>
  <c r="G858" i="1" s="1"/>
  <c r="I693" i="1"/>
  <c r="I683" i="1" s="1"/>
  <c r="I696" i="1"/>
  <c r="I686" i="1" s="1"/>
  <c r="H752" i="1"/>
  <c r="H742" i="1" s="1"/>
  <c r="H754" i="1"/>
  <c r="H744" i="1" s="1"/>
  <c r="J809" i="1"/>
  <c r="J799" i="1" s="1"/>
  <c r="I810" i="1"/>
  <c r="I800" i="1" s="1"/>
  <c r="I811" i="1"/>
  <c r="I801" i="1" s="1"/>
  <c r="H812" i="1"/>
  <c r="H802" i="1" s="1"/>
  <c r="G813" i="1"/>
  <c r="G803" i="1" s="1"/>
  <c r="K867" i="1"/>
  <c r="K857" i="1" s="1"/>
  <c r="J751" i="1"/>
  <c r="J741" i="1" s="1"/>
  <c r="J753" i="1"/>
  <c r="J743" i="1" s="1"/>
  <c r="L868" i="1"/>
  <c r="L858" i="1" s="1"/>
  <c r="J871" i="1"/>
  <c r="J861" i="1" s="1"/>
  <c r="K752" i="1"/>
  <c r="K742" i="1" s="1"/>
  <c r="L870" i="1"/>
  <c r="L860" i="1" s="1"/>
  <c r="G695" i="1"/>
  <c r="G685" i="1" s="1"/>
  <c r="I751" i="1"/>
  <c r="I741" i="1" s="1"/>
  <c r="I753" i="1"/>
  <c r="I743" i="1" s="1"/>
  <c r="H755" i="1"/>
  <c r="H745" i="1" s="1"/>
  <c r="K834" i="1"/>
  <c r="K844" i="1" s="1"/>
  <c r="E844" i="1" s="1"/>
  <c r="K868" i="1"/>
  <c r="K858" i="1" s="1"/>
  <c r="K869" i="1"/>
  <c r="K859" i="1" s="1"/>
  <c r="J870" i="1"/>
  <c r="J860" i="1" s="1"/>
  <c r="I871" i="1"/>
  <c r="I861" i="1" s="1"/>
  <c r="K809" i="1"/>
  <c r="K799" i="1" s="1"/>
  <c r="L867" i="1"/>
  <c r="L857" i="1" s="1"/>
  <c r="L869" i="1"/>
  <c r="L859" i="1" s="1"/>
  <c r="K754" i="1"/>
  <c r="K744" i="1" s="1"/>
  <c r="H695" i="1"/>
  <c r="H685" i="1" s="1"/>
  <c r="I752" i="1"/>
  <c r="I742" i="1" s="1"/>
  <c r="I754" i="1"/>
  <c r="I744" i="1" s="1"/>
  <c r="I755" i="1"/>
  <c r="I745" i="1" s="1"/>
  <c r="J810" i="1"/>
  <c r="J800" i="1" s="1"/>
  <c r="J811" i="1"/>
  <c r="J801" i="1" s="1"/>
  <c r="I812" i="1"/>
  <c r="I802" i="1" s="1"/>
  <c r="H813" i="1"/>
  <c r="H803" i="1" s="1"/>
  <c r="J754" i="1"/>
  <c r="J744" i="1" s="1"/>
  <c r="G867" i="1"/>
  <c r="G857" i="1" s="1"/>
  <c r="K870" i="1"/>
  <c r="K860" i="1" s="1"/>
  <c r="L696" i="1"/>
  <c r="L686" i="1" s="1"/>
  <c r="K693" i="1"/>
  <c r="K683" i="1" s="1"/>
  <c r="K718" i="1"/>
  <c r="K728" i="1" s="1"/>
  <c r="E728" i="1" s="1"/>
  <c r="J752" i="1"/>
  <c r="J742" i="1" s="1"/>
  <c r="K753" i="1"/>
  <c r="K743" i="1" s="1"/>
  <c r="J755" i="1"/>
  <c r="J745" i="1" s="1"/>
  <c r="K810" i="1"/>
  <c r="K800" i="1" s="1"/>
  <c r="K811" i="1"/>
  <c r="K801" i="1" s="1"/>
  <c r="J812" i="1"/>
  <c r="J802" i="1" s="1"/>
  <c r="I813" i="1"/>
  <c r="I803" i="1" s="1"/>
  <c r="H867" i="1"/>
  <c r="H857" i="1" s="1"/>
  <c r="G694" i="1"/>
  <c r="G684" i="1" s="1"/>
  <c r="L753" i="1"/>
  <c r="L743" i="1" s="1"/>
  <c r="K755" i="1"/>
  <c r="K745" i="1" s="1"/>
  <c r="G809" i="1"/>
  <c r="G799" i="1" s="1"/>
  <c r="L809" i="1"/>
  <c r="L799" i="1" s="1"/>
  <c r="L810" i="1"/>
  <c r="L800" i="1" s="1"/>
  <c r="L811" i="1"/>
  <c r="L801" i="1" s="1"/>
  <c r="K812" i="1"/>
  <c r="K802" i="1" s="1"/>
  <c r="J813" i="1"/>
  <c r="J803" i="1" s="1"/>
  <c r="I867" i="1"/>
  <c r="I857" i="1" s="1"/>
  <c r="H868" i="1"/>
  <c r="H858" i="1" s="1"/>
  <c r="G870" i="1"/>
  <c r="G860" i="1" s="1"/>
  <c r="L871" i="1"/>
  <c r="L861" i="1" s="1"/>
  <c r="G869" i="1"/>
  <c r="G859" i="1" s="1"/>
  <c r="L334" i="1" l="1"/>
  <c r="L340" i="1"/>
  <c r="L346" i="1"/>
  <c r="L352" i="1"/>
  <c r="L339" i="1"/>
  <c r="L345" i="1"/>
  <c r="L351" i="1"/>
  <c r="AF141" i="1"/>
  <c r="AF145" i="1" s="1"/>
  <c r="AF146" i="1"/>
  <c r="AF149" i="1" l="1"/>
  <c r="L419" i="1" s="1"/>
  <c r="L422" i="1" s="1"/>
  <c r="L429" i="1" s="1"/>
  <c r="AF147" i="1"/>
  <c r="AG144" i="1" s="1"/>
  <c r="L341" i="1"/>
  <c r="L347" i="1"/>
  <c r="L353" i="1"/>
  <c r="L433" i="1" l="1"/>
  <c r="L434" i="1"/>
  <c r="L437" i="1" s="1"/>
  <c r="L452" i="1" l="1"/>
  <c r="L453" i="1"/>
  <c r="L439" i="1"/>
  <c r="L435" i="1"/>
  <c r="M432" i="1" s="1"/>
  <c r="L447" i="1" l="1"/>
  <c r="L442" i="1"/>
  <c r="L454" i="1"/>
  <c r="L448" i="1" l="1"/>
  <c r="L449" i="1" s="1"/>
  <c r="L443" i="1"/>
  <c r="L444" i="1" s="1"/>
  <c r="L194" i="1" l="1"/>
  <c r="L458" i="1"/>
  <c r="L457" i="1"/>
  <c r="L459" i="1" s="1"/>
  <c r="L195" i="1" l="1"/>
  <c r="L267" i="1"/>
  <c r="L245" i="1"/>
  <c r="L197" i="1"/>
  <c r="L201" i="1" s="1"/>
  <c r="L266" i="1" l="1"/>
  <c r="L275" i="1" s="1"/>
  <c r="L284" i="1" s="1"/>
  <c r="L289" i="1" s="1"/>
  <c r="L250" i="1"/>
  <c r="L251" i="1" l="1"/>
  <c r="L488" i="1"/>
  <c r="L309" i="1"/>
  <c r="L480" i="1" l="1"/>
  <c r="L303" i="1"/>
  <c r="L489" i="1"/>
  <c r="L496" i="1"/>
  <c r="M485" i="1" l="1"/>
  <c r="L238" i="1"/>
  <c r="L304" i="1"/>
  <c r="L497" i="1"/>
  <c r="L655" i="1"/>
  <c r="L504" i="1"/>
  <c r="L305" i="1" l="1"/>
  <c r="L505" i="1"/>
  <c r="L713" i="1"/>
  <c r="M492" i="1"/>
  <c r="L239" i="1"/>
  <c r="L377" i="1" s="1"/>
  <c r="L378" i="1" s="1"/>
  <c r="L379" i="1" s="1"/>
  <c r="L657" i="1"/>
  <c r="L512" i="1"/>
  <c r="L674" i="1"/>
  <c r="L675" i="1"/>
  <c r="L673" i="1"/>
  <c r="L672" i="1"/>
  <c r="M183" i="1"/>
  <c r="M486" i="1" s="1"/>
  <c r="M487" i="1"/>
  <c r="M295" i="1" s="1"/>
  <c r="M184" i="1" l="1"/>
  <c r="M495" i="1"/>
  <c r="M500" i="1"/>
  <c r="L240" i="1"/>
  <c r="L715" i="1"/>
  <c r="L306" i="1"/>
  <c r="L307" i="1" s="1"/>
  <c r="L513" i="1"/>
  <c r="L771" i="1"/>
  <c r="L733" i="1"/>
  <c r="L731" i="1"/>
  <c r="L730" i="1"/>
  <c r="L732" i="1"/>
  <c r="L310" i="1" l="1"/>
  <c r="L481" i="1" s="1"/>
  <c r="L482" i="1" s="1"/>
  <c r="M508" i="1"/>
  <c r="L241" i="1"/>
  <c r="L773" i="1"/>
  <c r="M503" i="1"/>
  <c r="M185" i="1"/>
  <c r="L791" i="1"/>
  <c r="L788" i="1"/>
  <c r="L790" i="1"/>
  <c r="L789" i="1"/>
  <c r="M296" i="1"/>
  <c r="M493" i="1"/>
  <c r="M654" i="1"/>
  <c r="M501" i="1" l="1"/>
  <c r="M712" i="1"/>
  <c r="M478" i="1"/>
  <c r="L237" i="1"/>
  <c r="M297" i="1"/>
  <c r="M186" i="1"/>
  <c r="M511" i="1"/>
  <c r="L312" i="1"/>
  <c r="L525" i="1" s="1"/>
  <c r="L526" i="1" s="1"/>
  <c r="M298" i="1" l="1"/>
  <c r="M300" i="1" s="1"/>
  <c r="M182" i="1"/>
  <c r="M509" i="1"/>
  <c r="M770" i="1"/>
  <c r="L242" i="1"/>
  <c r="L373" i="1"/>
  <c r="L369" i="1"/>
  <c r="M523" i="1"/>
  <c r="L210" i="1"/>
  <c r="M189" i="1" l="1"/>
  <c r="L374" i="1"/>
  <c r="L375" i="1" s="1"/>
  <c r="L394" i="1"/>
  <c r="L395" i="1"/>
  <c r="L215" i="1"/>
  <c r="L559" i="1"/>
  <c r="M479" i="1"/>
  <c r="M187" i="1"/>
  <c r="M331" i="1"/>
  <c r="E50" i="1"/>
  <c r="L370" i="1"/>
  <c r="L371" i="1" s="1"/>
  <c r="L391" i="1"/>
  <c r="L386" i="1"/>
  <c r="L398" i="1"/>
  <c r="L390" i="1"/>
  <c r="L387" i="1"/>
  <c r="L555" i="1"/>
  <c r="L557" i="1" s="1"/>
  <c r="L247" i="1"/>
  <c r="L253" i="1" s="1"/>
  <c r="M338" i="1" l="1"/>
  <c r="M344" i="1"/>
  <c r="M350" i="1"/>
  <c r="AG136" i="1"/>
  <c r="M332" i="1"/>
  <c r="M333" i="1"/>
  <c r="L562" i="1"/>
  <c r="L383" i="1"/>
  <c r="L226" i="1"/>
  <c r="L255" i="1" s="1"/>
  <c r="E51" i="1"/>
  <c r="M191" i="1"/>
  <c r="M524" i="1"/>
  <c r="M339" i="1" l="1"/>
  <c r="M345" i="1"/>
  <c r="M351" i="1"/>
  <c r="L594" i="1"/>
  <c r="L595" i="1" s="1"/>
  <c r="L606" i="1" s="1"/>
  <c r="E606" i="1" s="1"/>
  <c r="L563" i="1"/>
  <c r="L577" i="1"/>
  <c r="E577" i="1" s="1"/>
  <c r="L660" i="1"/>
  <c r="L671" i="1" s="1"/>
  <c r="E671" i="1" s="1"/>
  <c r="L776" i="1"/>
  <c r="L787" i="1" s="1"/>
  <c r="E787" i="1" s="1"/>
  <c r="L834" i="1"/>
  <c r="L845" i="1" s="1"/>
  <c r="E845" i="1" s="1"/>
  <c r="L718" i="1"/>
  <c r="L729" i="1" s="1"/>
  <c r="E729" i="1" s="1"/>
  <c r="M334" i="1"/>
  <c r="M340" i="1"/>
  <c r="M346" i="1"/>
  <c r="M352" i="1"/>
  <c r="AG141" i="1"/>
  <c r="AG145" i="1" s="1"/>
  <c r="AG146" i="1"/>
  <c r="M414" i="1"/>
  <c r="AG149" i="1" l="1"/>
  <c r="M419" i="1" s="1"/>
  <c r="AG147" i="1"/>
  <c r="AH144" i="1" s="1"/>
  <c r="M341" i="1"/>
  <c r="M347" i="1"/>
  <c r="M353" i="1"/>
  <c r="M422" i="1"/>
  <c r="M429" i="1" s="1"/>
  <c r="M434" i="1" l="1"/>
  <c r="M437" i="1" s="1"/>
  <c r="M433" i="1"/>
  <c r="M435" i="1" s="1"/>
  <c r="N432" i="1" s="1"/>
  <c r="M439" i="1" l="1"/>
  <c r="M452" i="1"/>
  <c r="M453" i="1" l="1"/>
  <c r="M454" i="1" s="1"/>
  <c r="M442" i="1"/>
  <c r="M447" i="1"/>
  <c r="M443" i="1" l="1"/>
  <c r="M444" i="1" s="1"/>
  <c r="M448" i="1"/>
  <c r="M449" i="1" s="1"/>
  <c r="M457" i="1" s="1"/>
  <c r="M458" i="1" l="1"/>
  <c r="M459" i="1" s="1"/>
  <c r="M194" i="1"/>
  <c r="M195" i="1" l="1"/>
  <c r="M267" i="1"/>
  <c r="M245" i="1"/>
  <c r="M197" i="1"/>
  <c r="M201" i="1" s="1"/>
  <c r="M266" i="1" l="1"/>
  <c r="M275" i="1" s="1"/>
  <c r="M284" i="1" s="1"/>
  <c r="M289" i="1" s="1"/>
  <c r="M250" i="1"/>
  <c r="M251" i="1" l="1"/>
  <c r="M309" i="1"/>
  <c r="M488" i="1"/>
  <c r="M496" i="1" s="1"/>
  <c r="M304" i="1" l="1"/>
  <c r="M497" i="1"/>
  <c r="M655" i="1"/>
  <c r="M303" i="1"/>
  <c r="M489" i="1"/>
  <c r="M504" i="1"/>
  <c r="M512" i="1" s="1"/>
  <c r="M480" i="1"/>
  <c r="M306" i="1" l="1"/>
  <c r="M771" i="1"/>
  <c r="M513" i="1"/>
  <c r="N485" i="1"/>
  <c r="M238" i="1"/>
  <c r="M305" i="1"/>
  <c r="M505" i="1"/>
  <c r="M713" i="1"/>
  <c r="M307" i="1"/>
  <c r="M674" i="1"/>
  <c r="M675" i="1"/>
  <c r="M673" i="1"/>
  <c r="N492" i="1"/>
  <c r="M239" i="1"/>
  <c r="M377" i="1" s="1"/>
  <c r="M378" i="1" s="1"/>
  <c r="M379" i="1" s="1"/>
  <c r="M657" i="1"/>
  <c r="N500" i="1" l="1"/>
  <c r="M240" i="1"/>
  <c r="M715" i="1"/>
  <c r="M731" i="1"/>
  <c r="M732" i="1"/>
  <c r="M733" i="1"/>
  <c r="M310" i="1"/>
  <c r="M481" i="1" s="1"/>
  <c r="M482" i="1" s="1"/>
  <c r="N487" i="1"/>
  <c r="N295" i="1" s="1"/>
  <c r="N183" i="1"/>
  <c r="N486" i="1" s="1"/>
  <c r="N495" i="1"/>
  <c r="N184" i="1"/>
  <c r="N508" i="1"/>
  <c r="M241" i="1"/>
  <c r="M773" i="1"/>
  <c r="M789" i="1"/>
  <c r="M791" i="1"/>
  <c r="M790" i="1"/>
  <c r="M312" i="1" l="1"/>
  <c r="M525" i="1" s="1"/>
  <c r="M526" i="1" s="1"/>
  <c r="N186" i="1"/>
  <c r="N511" i="1"/>
  <c r="N493" i="1"/>
  <c r="N654" i="1"/>
  <c r="N478" i="1"/>
  <c r="M237" i="1"/>
  <c r="N296" i="1"/>
  <c r="N503" i="1"/>
  <c r="N185" i="1"/>
  <c r="N297" i="1" l="1"/>
  <c r="N712" i="1"/>
  <c r="N501" i="1"/>
  <c r="N509" i="1"/>
  <c r="N770" i="1"/>
  <c r="M242" i="1"/>
  <c r="M373" i="1"/>
  <c r="M369" i="1"/>
  <c r="N182" i="1"/>
  <c r="N298" i="1"/>
  <c r="N523" i="1"/>
  <c r="M210" i="1"/>
  <c r="N300" i="1" l="1"/>
  <c r="N479" i="1"/>
  <c r="N187" i="1"/>
  <c r="N331" i="1"/>
  <c r="F50" i="1"/>
  <c r="M370" i="1"/>
  <c r="M371" i="1" s="1"/>
  <c r="M387" i="1"/>
  <c r="M390" i="1"/>
  <c r="M398" i="1"/>
  <c r="M391" i="1"/>
  <c r="M386" i="1"/>
  <c r="M555" i="1"/>
  <c r="M557" i="1" s="1"/>
  <c r="M247" i="1"/>
  <c r="M253" i="1" s="1"/>
  <c r="M394" i="1"/>
  <c r="M374" i="1"/>
  <c r="M375" i="1" s="1"/>
  <c r="M395" i="1"/>
  <c r="M215" i="1"/>
  <c r="M559" i="1"/>
  <c r="N189" i="1"/>
  <c r="N338" i="1" l="1"/>
  <c r="N344" i="1"/>
  <c r="N350" i="1"/>
  <c r="M562" i="1"/>
  <c r="AH136" i="1"/>
  <c r="N333" i="1"/>
  <c r="N332" i="1"/>
  <c r="N191" i="1"/>
  <c r="N524" i="1"/>
  <c r="M383" i="1"/>
  <c r="M226" i="1"/>
  <c r="M255" i="1" s="1"/>
  <c r="F51" i="1"/>
  <c r="AH141" i="1" l="1"/>
  <c r="AH145" i="1" s="1"/>
  <c r="AH146" i="1"/>
  <c r="N414" i="1"/>
  <c r="N334" i="1"/>
  <c r="N340" i="1"/>
  <c r="N346" i="1"/>
  <c r="N352" i="1"/>
  <c r="N339" i="1"/>
  <c r="N345" i="1"/>
  <c r="N351" i="1"/>
  <c r="M594" i="1"/>
  <c r="M595" i="1" s="1"/>
  <c r="M607" i="1" s="1"/>
  <c r="E607" i="1" s="1"/>
  <c r="M563" i="1"/>
  <c r="M776" i="1"/>
  <c r="M788" i="1" s="1"/>
  <c r="E788" i="1" s="1"/>
  <c r="M578" i="1"/>
  <c r="E578" i="1" s="1"/>
  <c r="M660" i="1"/>
  <c r="M672" i="1" s="1"/>
  <c r="E672" i="1" s="1"/>
  <c r="M834" i="1"/>
  <c r="M846" i="1" s="1"/>
  <c r="E846" i="1" s="1"/>
  <c r="M718" i="1"/>
  <c r="M730" i="1" s="1"/>
  <c r="E730" i="1" s="1"/>
  <c r="N341" i="1" l="1"/>
  <c r="N347" i="1"/>
  <c r="N353" i="1"/>
  <c r="AH149" i="1"/>
  <c r="N419" i="1" s="1"/>
  <c r="N422" i="1" s="1"/>
  <c r="N429" i="1" s="1"/>
  <c r="AH147" i="1"/>
  <c r="AI144" i="1" s="1"/>
  <c r="N433" i="1" l="1"/>
  <c r="N434" i="1"/>
  <c r="N437" i="1" s="1"/>
  <c r="N439" i="1" s="1"/>
  <c r="N442" i="1" l="1"/>
  <c r="N447" i="1"/>
  <c r="N443" i="1"/>
  <c r="N452" i="1"/>
  <c r="N435" i="1"/>
  <c r="O432" i="1" s="1"/>
  <c r="N453" i="1" l="1"/>
  <c r="N454" i="1" s="1"/>
  <c r="N448" i="1"/>
  <c r="N449" i="1" s="1"/>
  <c r="N444" i="1"/>
  <c r="N457" i="1" l="1"/>
  <c r="N194" i="1"/>
  <c r="N458" i="1"/>
  <c r="N459" i="1" l="1"/>
  <c r="N267" i="1" l="1"/>
  <c r="N195" i="1"/>
  <c r="N197" i="1" s="1"/>
  <c r="N201" i="1" s="1"/>
  <c r="N245" i="1"/>
  <c r="N266" i="1" l="1"/>
  <c r="N275" i="1" s="1"/>
  <c r="N284" i="1" s="1"/>
  <c r="N289" i="1" s="1"/>
  <c r="N250" i="1"/>
  <c r="N251" i="1" l="1"/>
  <c r="N488" i="1"/>
  <c r="N309" i="1"/>
  <c r="N480" i="1" l="1"/>
  <c r="N303" i="1"/>
  <c r="N489" i="1"/>
  <c r="N496" i="1"/>
  <c r="N304" i="1" l="1"/>
  <c r="N497" i="1"/>
  <c r="N655" i="1"/>
  <c r="N504" i="1"/>
  <c r="N512" i="1" s="1"/>
  <c r="N238" i="1"/>
  <c r="O485" i="1"/>
  <c r="N306" i="1" l="1"/>
  <c r="N771" i="1"/>
  <c r="N513" i="1"/>
  <c r="O487" i="1"/>
  <c r="O295" i="1" s="1"/>
  <c r="O183" i="1"/>
  <c r="O486" i="1" s="1"/>
  <c r="N305" i="1"/>
  <c r="N307" i="1" s="1"/>
  <c r="N713" i="1"/>
  <c r="N505" i="1"/>
  <c r="N675" i="1"/>
  <c r="N674" i="1"/>
  <c r="O492" i="1"/>
  <c r="N239" i="1"/>
  <c r="N377" i="1" s="1"/>
  <c r="N378" i="1" s="1"/>
  <c r="N379" i="1" s="1"/>
  <c r="N657" i="1"/>
  <c r="N310" i="1" l="1"/>
  <c r="N481" i="1" s="1"/>
  <c r="N482" i="1" s="1"/>
  <c r="N732" i="1"/>
  <c r="N733" i="1"/>
  <c r="O495" i="1"/>
  <c r="O184" i="1"/>
  <c r="N790" i="1"/>
  <c r="N791" i="1"/>
  <c r="O500" i="1"/>
  <c r="N240" i="1"/>
  <c r="N715" i="1"/>
  <c r="N241" i="1"/>
  <c r="O508" i="1"/>
  <c r="N773" i="1"/>
  <c r="O478" i="1" l="1"/>
  <c r="N237" i="1"/>
  <c r="O654" i="1"/>
  <c r="O493" i="1"/>
  <c r="O503" i="1"/>
  <c r="O185" i="1"/>
  <c r="N312" i="1"/>
  <c r="N525" i="1" s="1"/>
  <c r="N526" i="1" s="1"/>
  <c r="O296" i="1"/>
  <c r="O186" i="1"/>
  <c r="O511" i="1"/>
  <c r="O501" i="1" l="1"/>
  <c r="O712" i="1"/>
  <c r="O297" i="1"/>
  <c r="O523" i="1"/>
  <c r="N210" i="1"/>
  <c r="N242" i="1"/>
  <c r="N373" i="1"/>
  <c r="N369" i="1"/>
  <c r="O298" i="1"/>
  <c r="O300" i="1" s="1"/>
  <c r="O182" i="1"/>
  <c r="O509" i="1"/>
  <c r="O770" i="1"/>
  <c r="N390" i="1" l="1"/>
  <c r="N386" i="1"/>
  <c r="N398" i="1"/>
  <c r="N387" i="1"/>
  <c r="N391" i="1"/>
  <c r="N555" i="1"/>
  <c r="N557" i="1" s="1"/>
  <c r="N247" i="1"/>
  <c r="N253" i="1" s="1"/>
  <c r="O189" i="1"/>
  <c r="N395" i="1"/>
  <c r="N394" i="1"/>
  <c r="N374" i="1"/>
  <c r="N375" i="1" s="1"/>
  <c r="N215" i="1"/>
  <c r="N559" i="1"/>
  <c r="N370" i="1"/>
  <c r="N371" i="1" s="1"/>
  <c r="G50" i="1"/>
  <c r="O479" i="1"/>
  <c r="O187" i="1"/>
  <c r="O331" i="1"/>
  <c r="O191" i="1" l="1"/>
  <c r="O524" i="1"/>
  <c r="N383" i="1"/>
  <c r="N226" i="1"/>
  <c r="N255" i="1" s="1"/>
  <c r="AI136" i="1"/>
  <c r="O332" i="1"/>
  <c r="O333" i="1"/>
  <c r="O338" i="1"/>
  <c r="O344" i="1"/>
  <c r="O350" i="1"/>
  <c r="G51" i="1"/>
  <c r="N562" i="1"/>
  <c r="AI141" i="1" l="1"/>
  <c r="AI145" i="1" s="1"/>
  <c r="AI146" i="1"/>
  <c r="O334" i="1"/>
  <c r="O340" i="1"/>
  <c r="O346" i="1"/>
  <c r="O352" i="1"/>
  <c r="O339" i="1"/>
  <c r="O345" i="1"/>
  <c r="O351" i="1"/>
  <c r="N594" i="1"/>
  <c r="N595" i="1" s="1"/>
  <c r="N608" i="1" s="1"/>
  <c r="E608" i="1" s="1"/>
  <c r="N563" i="1"/>
  <c r="N718" i="1"/>
  <c r="N731" i="1" s="1"/>
  <c r="E731" i="1" s="1"/>
  <c r="N579" i="1"/>
  <c r="E579" i="1" s="1"/>
  <c r="N776" i="1"/>
  <c r="N789" i="1" s="1"/>
  <c r="E789" i="1" s="1"/>
  <c r="N660" i="1"/>
  <c r="N673" i="1" s="1"/>
  <c r="E673" i="1" s="1"/>
  <c r="N834" i="1"/>
  <c r="N847" i="1" s="1"/>
  <c r="E847" i="1" s="1"/>
  <c r="O414" i="1"/>
  <c r="O341" i="1" l="1"/>
  <c r="O347" i="1"/>
  <c r="O353" i="1"/>
  <c r="AI149" i="1"/>
  <c r="O419" i="1" s="1"/>
  <c r="O422" i="1" s="1"/>
  <c r="O429" i="1" s="1"/>
  <c r="AI147" i="1"/>
  <c r="AJ144" i="1" s="1"/>
  <c r="O433" i="1" l="1"/>
  <c r="O434" i="1"/>
  <c r="O437" i="1" s="1"/>
  <c r="O439" i="1" s="1"/>
  <c r="O447" i="1" l="1"/>
  <c r="O442" i="1"/>
  <c r="O452" i="1"/>
  <c r="O453" i="1" s="1"/>
  <c r="O435" i="1"/>
  <c r="P432" i="1" s="1"/>
  <c r="O454" i="1" l="1"/>
  <c r="O448" i="1"/>
  <c r="O449" i="1" s="1"/>
  <c r="O443" i="1"/>
  <c r="O444" i="1" s="1"/>
  <c r="O194" i="1" l="1"/>
  <c r="O458" i="1"/>
  <c r="O457" i="1"/>
  <c r="O459" i="1" s="1"/>
  <c r="O195" i="1" l="1"/>
  <c r="O267" i="1"/>
  <c r="O245" i="1"/>
  <c r="O197" i="1"/>
  <c r="O201" i="1" s="1"/>
  <c r="O266" i="1" l="1"/>
  <c r="O275" i="1" s="1"/>
  <c r="O284" i="1" s="1"/>
  <c r="O289" i="1" s="1"/>
  <c r="O250" i="1"/>
  <c r="O251" i="1" l="1"/>
  <c r="O488" i="1"/>
  <c r="O309" i="1"/>
  <c r="O496" i="1"/>
  <c r="O504" i="1" s="1"/>
  <c r="O305" i="1" l="1"/>
  <c r="O505" i="1"/>
  <c r="O713" i="1"/>
  <c r="O304" i="1"/>
  <c r="O497" i="1"/>
  <c r="O655" i="1"/>
  <c r="O480" i="1"/>
  <c r="O303" i="1"/>
  <c r="O489" i="1"/>
  <c r="O512" i="1"/>
  <c r="P485" i="1" l="1"/>
  <c r="O238" i="1"/>
  <c r="P492" i="1"/>
  <c r="O239" i="1"/>
  <c r="O377" i="1" s="1"/>
  <c r="O378" i="1" s="1"/>
  <c r="O379" i="1" s="1"/>
  <c r="O657" i="1"/>
  <c r="O306" i="1"/>
  <c r="O771" i="1"/>
  <c r="O513" i="1"/>
  <c r="O307" i="1"/>
  <c r="O675" i="1"/>
  <c r="O733" i="1"/>
  <c r="P500" i="1"/>
  <c r="O715" i="1"/>
  <c r="O240" i="1"/>
  <c r="P508" i="1" l="1"/>
  <c r="O241" i="1"/>
  <c r="O773" i="1"/>
  <c r="O310" i="1"/>
  <c r="O481" i="1" s="1"/>
  <c r="O482" i="1" s="1"/>
  <c r="O791" i="1"/>
  <c r="P503" i="1"/>
  <c r="P185" i="1"/>
  <c r="P495" i="1"/>
  <c r="P184" i="1"/>
  <c r="P183" i="1"/>
  <c r="P486" i="1" s="1"/>
  <c r="P487" i="1"/>
  <c r="P295" i="1" s="1"/>
  <c r="P478" i="1" l="1"/>
  <c r="O237" i="1"/>
  <c r="O312" i="1"/>
  <c r="O525" i="1" s="1"/>
  <c r="O526" i="1" s="1"/>
  <c r="P296" i="1"/>
  <c r="P297" i="1"/>
  <c r="P654" i="1"/>
  <c r="P493" i="1"/>
  <c r="P511" i="1"/>
  <c r="P186" i="1"/>
  <c r="P501" i="1"/>
  <c r="P712" i="1"/>
  <c r="O242" i="1" l="1"/>
  <c r="O373" i="1"/>
  <c r="O369" i="1"/>
  <c r="O210" i="1"/>
  <c r="P523" i="1"/>
  <c r="P182" i="1"/>
  <c r="P509" i="1"/>
  <c r="P770" i="1"/>
  <c r="P298" i="1"/>
  <c r="P300" i="1" s="1"/>
  <c r="O559" i="1" l="1"/>
  <c r="O215" i="1"/>
  <c r="O374" i="1"/>
  <c r="O375" i="1" s="1"/>
  <c r="O395" i="1"/>
  <c r="O394" i="1"/>
  <c r="P479" i="1"/>
  <c r="P331" i="1"/>
  <c r="P187" i="1"/>
  <c r="P189" i="1"/>
  <c r="H50" i="1"/>
  <c r="O370" i="1"/>
  <c r="O371" i="1" s="1"/>
  <c r="O391" i="1"/>
  <c r="O387" i="1"/>
  <c r="O386" i="1"/>
  <c r="O398" i="1"/>
  <c r="O390" i="1"/>
  <c r="O555" i="1"/>
  <c r="O557" i="1" s="1"/>
  <c r="O562" i="1" s="1"/>
  <c r="O247" i="1"/>
  <c r="O253" i="1" s="1"/>
  <c r="P191" i="1" l="1"/>
  <c r="P524" i="1"/>
  <c r="O580" i="1"/>
  <c r="E580" i="1" s="1"/>
  <c r="O594" i="1"/>
  <c r="O595" i="1" s="1"/>
  <c r="O609" i="1" s="1"/>
  <c r="E609" i="1" s="1"/>
  <c r="O563" i="1"/>
  <c r="O718" i="1"/>
  <c r="O732" i="1" s="1"/>
  <c r="E732" i="1" s="1"/>
  <c r="O834" i="1"/>
  <c r="O848" i="1" s="1"/>
  <c r="E848" i="1" s="1"/>
  <c r="O776" i="1"/>
  <c r="O790" i="1" s="1"/>
  <c r="E790" i="1" s="1"/>
  <c r="O660" i="1"/>
  <c r="O674" i="1" s="1"/>
  <c r="E674" i="1" s="1"/>
  <c r="P332" i="1"/>
  <c r="P333" i="1"/>
  <c r="AJ136" i="1"/>
  <c r="O226" i="1"/>
  <c r="O383" i="1"/>
  <c r="P338" i="1"/>
  <c r="P344" i="1"/>
  <c r="P350" i="1"/>
  <c r="H51" i="1"/>
  <c r="O255" i="1"/>
  <c r="AJ141" i="1" l="1"/>
  <c r="AJ145" i="1" s="1"/>
  <c r="AJ146" i="1"/>
  <c r="P334" i="1"/>
  <c r="P340" i="1"/>
  <c r="P346" i="1"/>
  <c r="P352" i="1"/>
  <c r="P339" i="1"/>
  <c r="P345" i="1"/>
  <c r="P351" i="1"/>
  <c r="P414" i="1"/>
  <c r="P341" i="1" l="1"/>
  <c r="P347" i="1"/>
  <c r="P353" i="1"/>
  <c r="AJ149" i="1"/>
  <c r="P419" i="1" s="1"/>
  <c r="P422" i="1" s="1"/>
  <c r="P429" i="1" s="1"/>
  <c r="AJ147" i="1"/>
  <c r="P434" i="1" l="1"/>
  <c r="P437" i="1" s="1"/>
  <c r="P433" i="1"/>
  <c r="P435" i="1" s="1"/>
  <c r="P439" i="1" l="1"/>
  <c r="P452" i="1"/>
  <c r="P453" i="1" l="1"/>
  <c r="P454" i="1" s="1"/>
  <c r="P442" i="1"/>
  <c r="P443" i="1"/>
  <c r="P447" i="1"/>
  <c r="P448" i="1" s="1"/>
  <c r="P449" i="1" l="1"/>
  <c r="P444" i="1"/>
  <c r="P457" i="1" l="1"/>
  <c r="P458" i="1"/>
  <c r="P194" i="1"/>
  <c r="P459" i="1"/>
  <c r="P195" i="1" l="1"/>
  <c r="P267" i="1"/>
  <c r="P245" i="1"/>
  <c r="P197" i="1"/>
  <c r="P201" i="1" s="1"/>
  <c r="P266" i="1" l="1"/>
  <c r="P275" i="1" s="1"/>
  <c r="P284" i="1" s="1"/>
  <c r="P289" i="1" s="1"/>
  <c r="P250" i="1"/>
  <c r="P251" i="1" s="1"/>
  <c r="P309" i="1" l="1"/>
  <c r="P488" i="1"/>
  <c r="P303" i="1" l="1"/>
  <c r="P489" i="1"/>
  <c r="P238" i="1" s="1"/>
  <c r="P480" i="1"/>
  <c r="P496" i="1"/>
  <c r="P504" i="1" s="1"/>
  <c r="P305" i="1" l="1"/>
  <c r="P505" i="1"/>
  <c r="P713" i="1"/>
  <c r="P304" i="1"/>
  <c r="P497" i="1"/>
  <c r="P655" i="1"/>
  <c r="P512" i="1"/>
  <c r="P306" i="1" l="1"/>
  <c r="P307" i="1" s="1"/>
  <c r="P513" i="1"/>
  <c r="P771" i="1"/>
  <c r="P239" i="1"/>
  <c r="P377" i="1" s="1"/>
  <c r="P378" i="1" s="1"/>
  <c r="P379" i="1" s="1"/>
  <c r="P657" i="1"/>
  <c r="P240" i="1"/>
  <c r="P715" i="1"/>
  <c r="P241" i="1" l="1"/>
  <c r="P773" i="1"/>
  <c r="P310" i="1"/>
  <c r="P481" i="1" s="1"/>
  <c r="P482" i="1" s="1"/>
  <c r="P237" i="1" s="1"/>
  <c r="P242" i="1" l="1"/>
  <c r="P373" i="1"/>
  <c r="P369" i="1"/>
  <c r="P312" i="1"/>
  <c r="P525" i="1" s="1"/>
  <c r="P526" i="1" s="1"/>
  <c r="P210" i="1" s="1"/>
  <c r="P394" i="1" l="1"/>
  <c r="P395" i="1"/>
  <c r="P374" i="1"/>
  <c r="P375" i="1" s="1"/>
  <c r="P215" i="1"/>
  <c r="P559" i="1"/>
  <c r="P370" i="1"/>
  <c r="P371" i="1" s="1"/>
  <c r="I51" i="1" s="1"/>
  <c r="I50" i="1"/>
  <c r="P390" i="1"/>
  <c r="P387" i="1"/>
  <c r="P398" i="1"/>
  <c r="P386" i="1"/>
  <c r="P391" i="1"/>
  <c r="P555" i="1"/>
  <c r="P557" i="1" s="1"/>
  <c r="P562" i="1" s="1"/>
  <c r="P247" i="1"/>
  <c r="P253" i="1" s="1"/>
  <c r="P383" i="1" l="1"/>
  <c r="P226" i="1"/>
  <c r="P255" i="1"/>
  <c r="P660" i="1"/>
  <c r="P675" i="1" s="1"/>
  <c r="E675" i="1" s="1"/>
  <c r="P594" i="1"/>
  <c r="P595" i="1" s="1"/>
  <c r="P610" i="1" s="1"/>
  <c r="E610" i="1" s="1"/>
  <c r="P563" i="1"/>
  <c r="P581" i="1"/>
  <c r="E581" i="1" s="1"/>
  <c r="P718" i="1"/>
  <c r="P733" i="1" s="1"/>
  <c r="E733" i="1" s="1"/>
  <c r="P776" i="1"/>
  <c r="P791" i="1" s="1"/>
  <c r="E791" i="1" s="1"/>
  <c r="P834" i="1"/>
  <c r="P849" i="1" s="1"/>
  <c r="E84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Aithepalli, Chohan Kumar</author>
  </authors>
  <commentList>
    <comment ref="V78" authorId="0" shapeId="0" xr:uid="{330BD933-AE84-4323-AB53-093E8DCAB25F}">
      <text>
        <r>
          <rPr>
            <b/>
            <sz val="9"/>
            <color indexed="81"/>
            <rFont val="Tahoma"/>
            <family val="2"/>
          </rPr>
          <t xml:space="preserve">Since, it is german company we are considering regional tax as 0%  and Federal tax as 26%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<sst xmlns="http://schemas.openxmlformats.org/spreadsheetml/2006/main" count="734" uniqueCount="452">
  <si>
    <t>(All numbers are in $millions unless stated)</t>
  </si>
  <si>
    <t>Taken Private Companies</t>
  </si>
  <si>
    <t>Target/Issuer</t>
  </si>
  <si>
    <t>Announced Date</t>
  </si>
  <si>
    <t>Total Enterprise Value</t>
  </si>
  <si>
    <t>TEV/LTM EBITDA</t>
  </si>
  <si>
    <t>Fabryka Obrabiarek RAFAMET S.A. (WSE:RAF)</t>
  </si>
  <si>
    <t>Marel hf. (ICSE:MAREL)</t>
  </si>
  <si>
    <t>Ðuro Ðakovic Grupa d.d. (ZGSE:DDJH)</t>
  </si>
  <si>
    <t>Avg. TEV/LTM EBITDA</t>
  </si>
  <si>
    <t>Hermle Group (Acquisition)</t>
  </si>
  <si>
    <t>Public Companies</t>
  </si>
  <si>
    <t>Company Name</t>
  </si>
  <si>
    <t xml:space="preserve">Market Capitalization </t>
  </si>
  <si>
    <t>Shares Outstanding (#)</t>
  </si>
  <si>
    <t>Stock price ($)</t>
  </si>
  <si>
    <t xml:space="preserve">Total Enterprise Value </t>
  </si>
  <si>
    <t>LTM Total Revenue</t>
  </si>
  <si>
    <t>TEV/LTM Total Revenues</t>
  </si>
  <si>
    <t>TEV/LTM EBIT</t>
  </si>
  <si>
    <t>Net Debt/EBITDA [LTM]</t>
  </si>
  <si>
    <t>RATIONAL Aktiengesellschaft (XTRA:RAA)</t>
  </si>
  <si>
    <t>GEA Group Aktiengesellschaft (XTRA:G1A)</t>
  </si>
  <si>
    <t>Krones AG (XTRA:KRN)</t>
  </si>
  <si>
    <t>DMG MORI AKTIENGESELLSCHAFT (XTRA:GIL)</t>
  </si>
  <si>
    <t>Dürr Aktiengesellschaft (XTRA:DUE)</t>
  </si>
  <si>
    <t>Pfeiffer Vacuum Technology AG (XTRA:PFV)</t>
  </si>
  <si>
    <t>Stabilus SE (XTRA:STM)</t>
  </si>
  <si>
    <t>KSB SE &amp; Co. KGaA (XTRA:KSB)</t>
  </si>
  <si>
    <t>Maschinenfabrik Berthold Hermle AG (DB:MBH3)</t>
  </si>
  <si>
    <t>NORMA Group SE (XTRA:NOEJ)</t>
  </si>
  <si>
    <t>Mühlbauer Holding AG (XTRA:MUB)</t>
  </si>
  <si>
    <t>Schaltbau Holding AG (HMSE:SLT)</t>
  </si>
  <si>
    <t>WashTec AG (XTRA:WSU)</t>
  </si>
  <si>
    <t>Koenig &amp; Bauer AG (XTRA:SKB)</t>
  </si>
  <si>
    <t>MAX Automation SE (XTRA:MXHN)</t>
  </si>
  <si>
    <t>Heidelberger Druckmaschinen Aktiengesellschaft (XTRA:HDD)</t>
  </si>
  <si>
    <t>Gesco SE (XTRA:GSC1)</t>
  </si>
  <si>
    <t>R. STAHL AG (XTRA:RSL2)</t>
  </si>
  <si>
    <t>(* Information from S&amp;P CIQ)</t>
  </si>
  <si>
    <t>Average</t>
  </si>
  <si>
    <t>Median</t>
  </si>
  <si>
    <t>Hermle Group (Current Financials)</t>
  </si>
  <si>
    <t>Latest Capitalization ($ millions)</t>
  </si>
  <si>
    <t>Assumptions</t>
  </si>
  <si>
    <t>Terminal Value</t>
  </si>
  <si>
    <t>Perpetual Growth</t>
  </si>
  <si>
    <t>Share Price</t>
  </si>
  <si>
    <t>WACC</t>
  </si>
  <si>
    <t>EV/EBITDA</t>
  </si>
  <si>
    <t>Shares Outstanding</t>
  </si>
  <si>
    <t>Growth rate</t>
  </si>
  <si>
    <t>Exit Year</t>
  </si>
  <si>
    <t>Market Capitalization</t>
  </si>
  <si>
    <t>Exit EV/EBITDA</t>
  </si>
  <si>
    <t>Cash &amp; Short Term Investments</t>
  </si>
  <si>
    <t>Exit EBITDA</t>
  </si>
  <si>
    <t>Total Debt</t>
  </si>
  <si>
    <t>(* USD Exchange Rate = 1.067)</t>
  </si>
  <si>
    <t>Discounted Cashflow Analysis</t>
  </si>
  <si>
    <t>Year</t>
  </si>
  <si>
    <t xml:space="preserve"> EBIT</t>
  </si>
  <si>
    <t xml:space="preserve"> Less: Cash Taxes </t>
  </si>
  <si>
    <t xml:space="preserve"> Plus: D&amp;A </t>
  </si>
  <si>
    <t xml:space="preserve"> Less: Capex </t>
  </si>
  <si>
    <t xml:space="preserve"> Less: Changes in NWC </t>
  </si>
  <si>
    <t xml:space="preserve"> Unlevered FCF </t>
  </si>
  <si>
    <t xml:space="preserve"> (Entry)/Exit </t>
  </si>
  <si>
    <t>PV of FCFF</t>
  </si>
  <si>
    <t>PV of Terminal</t>
  </si>
  <si>
    <t>Intrinsic Value</t>
  </si>
  <si>
    <t>Valuation Summary</t>
  </si>
  <si>
    <t>Total Enterprise Value (Range)</t>
  </si>
  <si>
    <t>Public Comparables</t>
  </si>
  <si>
    <t>DCF Analysis</t>
  </si>
  <si>
    <t>52 Week Low/High</t>
  </si>
  <si>
    <t>Low (Bar)</t>
  </si>
  <si>
    <t>Low (Label)</t>
  </si>
  <si>
    <t>High (Bar)</t>
  </si>
  <si>
    <t>High (Label)</t>
  </si>
  <si>
    <t>(Dollars in millions unless stated otherwise)</t>
  </si>
  <si>
    <t>Case Name:</t>
  </si>
  <si>
    <t>Capital Structure:</t>
  </si>
  <si>
    <t xml:space="preserve">GENERAL INFORMATION </t>
  </si>
  <si>
    <t>Current Case Triggers</t>
  </si>
  <si>
    <t>Constants</t>
  </si>
  <si>
    <t xml:space="preserve">Project name </t>
  </si>
  <si>
    <t>Hermle Group</t>
  </si>
  <si>
    <t>Operating Case Number</t>
  </si>
  <si>
    <t># Days in Year</t>
  </si>
  <si>
    <t>ACQUISTION MULTIPLES</t>
  </si>
  <si>
    <t xml:space="preserve">Type of transaction </t>
  </si>
  <si>
    <t xml:space="preserve"> Leveraged Buyout</t>
  </si>
  <si>
    <t>Capital Structure Case Number</t>
  </si>
  <si>
    <t>Uses:</t>
  </si>
  <si>
    <t>Sources:</t>
  </si>
  <si>
    <t>% of Srces</t>
  </si>
  <si>
    <t>% of FD</t>
  </si>
  <si>
    <t>Enterprise Value at Closing</t>
  </si>
  <si>
    <t>Multiple</t>
  </si>
  <si>
    <t xml:space="preserve">Model prepared by </t>
  </si>
  <si>
    <t>Team CCD</t>
  </si>
  <si>
    <t>Average Balance Switch (1=Yes)</t>
  </si>
  <si>
    <t>Sponsor</t>
  </si>
  <si>
    <t>Triton Partners</t>
  </si>
  <si>
    <t>First Projected Year ("Year")</t>
  </si>
  <si>
    <t>Company's FYE ("FYE")</t>
  </si>
  <si>
    <t>December 31,</t>
  </si>
  <si>
    <t>TAX INFORMATION</t>
  </si>
  <si>
    <t>Expected Closing Date</t>
  </si>
  <si>
    <t>New tax regulation (1=Yes); if Yes,  assumptions are below:</t>
  </si>
  <si>
    <t>EXIT ASSUMPTIONS</t>
  </si>
  <si>
    <t>Years to amortize goodwill (tax only)</t>
  </si>
  <si>
    <t>Federal tax rate</t>
  </si>
  <si>
    <t>Assumed Exit Year</t>
  </si>
  <si>
    <t>% of transaction costs that are capitalized (&amp; tax-deduct.)</t>
  </si>
  <si>
    <t>Tax-deductible CapEx as a % of total CapEx</t>
  </si>
  <si>
    <t>Assumed Exit EBITDA Multiple</t>
  </si>
  <si>
    <t>Years to amortize capitalized financing costs</t>
  </si>
  <si>
    <t>Last year of eligible CapEx full-deductibility</t>
  </si>
  <si>
    <t>Exit Multiple of EBITDA</t>
  </si>
  <si>
    <t>Annual phasing down of CapEx tax deductibility</t>
  </si>
  <si>
    <t>Promoted Equity:</t>
  </si>
  <si>
    <t>Exit multiple step increments</t>
  </si>
  <si>
    <t>First year int. exp. tax-deduct. is tied to EBIT (vs. EBITDA)</t>
  </si>
  <si>
    <t>Promote step increments (IRR sponsor)</t>
  </si>
  <si>
    <t>Net interest expense deductibility ceiling (% of EBITDA, EBIT,</t>
  </si>
  <si>
    <t>Fully-diluted step increments (IRR lenders / PS)</t>
  </si>
  <si>
    <t>% of taxable income for NOL carryforwards purposes</t>
  </si>
  <si>
    <t>Total Equity</t>
  </si>
  <si>
    <t>Total Promoted Equity</t>
  </si>
  <si>
    <t>Total Sources</t>
  </si>
  <si>
    <t>COVERAGE RATIOS</t>
  </si>
  <si>
    <t>SENSITIVITY ANLAYSIS OF RETURNS</t>
  </si>
  <si>
    <t>CAPITAL STRUCTURE CASES</t>
  </si>
  <si>
    <t>OPERATING SCENARIOS</t>
  </si>
  <si>
    <t>Pro Forma</t>
  </si>
  <si>
    <t>Ownership:</t>
  </si>
  <si>
    <t>Based on Promote:</t>
  </si>
  <si>
    <t>Base</t>
  </si>
  <si>
    <t>Low Price</t>
  </si>
  <si>
    <t>High Price</t>
  </si>
  <si>
    <t>Revenues Growth</t>
  </si>
  <si>
    <t>EBITDA /</t>
  </si>
  <si>
    <t>Sources</t>
  </si>
  <si>
    <t xml:space="preserve">Case Name </t>
  </si>
  <si>
    <t>Case Description</t>
  </si>
  <si>
    <t>Case #</t>
  </si>
  <si>
    <t>Cash Interest Expense</t>
  </si>
  <si>
    <t>Excess Cash in Company</t>
  </si>
  <si>
    <t>Case 1</t>
  </si>
  <si>
    <t>Management Case</t>
  </si>
  <si>
    <t>Total Interest Expense</t>
  </si>
  <si>
    <t>EBITDA</t>
  </si>
  <si>
    <t>Revolver</t>
  </si>
  <si>
    <t>Case 2</t>
  </si>
  <si>
    <t>Base Case</t>
  </si>
  <si>
    <t>Total Fixed Charges</t>
  </si>
  <si>
    <t>Term Loan</t>
  </si>
  <si>
    <t>Case 3</t>
  </si>
  <si>
    <t>Downside Case</t>
  </si>
  <si>
    <t>Senior Unsecured Debt</t>
  </si>
  <si>
    <t>EBITDA less CapEx /</t>
  </si>
  <si>
    <t>Subordinated Debt</t>
  </si>
  <si>
    <r>
      <t>COGS (</t>
    </r>
    <r>
      <rPr>
        <b/>
        <i/>
        <sz val="11"/>
        <color theme="1"/>
        <rFont val="Aptos Narrow"/>
        <family val="2"/>
        <scheme val="minor"/>
      </rPr>
      <t>% of sales</t>
    </r>
    <r>
      <rPr>
        <b/>
        <sz val="11"/>
        <color theme="1"/>
        <rFont val="Aptos Narrow"/>
        <family val="2"/>
        <scheme val="minor"/>
      </rPr>
      <t>)</t>
    </r>
  </si>
  <si>
    <t>Mezzanine</t>
  </si>
  <si>
    <t>Preferred Stock</t>
  </si>
  <si>
    <t>Common Equity</t>
  </si>
  <si>
    <t>SUMMARY PROJECTED FINANCIAL INFORMATION</t>
  </si>
  <si>
    <t xml:space="preserve">Long-term Debt less Excess Cash / </t>
  </si>
  <si>
    <t>Actual</t>
  </si>
  <si>
    <r>
      <t>SG&amp;A and Other Operating Expenses(</t>
    </r>
    <r>
      <rPr>
        <b/>
        <i/>
        <sz val="11"/>
        <color theme="1"/>
        <rFont val="Aptos Narrow"/>
        <family val="2"/>
        <scheme val="minor"/>
      </rPr>
      <t>% of sales</t>
    </r>
    <r>
      <rPr>
        <b/>
        <sz val="11"/>
        <color theme="1"/>
        <rFont val="Aptos Narrow"/>
        <family val="2"/>
        <scheme val="minor"/>
      </rPr>
      <t>)</t>
    </r>
  </si>
  <si>
    <t>Uses</t>
  </si>
  <si>
    <t>REPAYMENT OF BANK DEBT</t>
  </si>
  <si>
    <t>Revenues</t>
  </si>
  <si>
    <t>Equity Purchase Price</t>
  </si>
  <si>
    <t>Closing</t>
  </si>
  <si>
    <t>Growth</t>
  </si>
  <si>
    <t>Transaction Expenses</t>
  </si>
  <si>
    <t>Total Bank Debt Outstanding</t>
  </si>
  <si>
    <t>Total Equity Purchase Price</t>
  </si>
  <si>
    <t>Cumulative Percent Repaid</t>
  </si>
  <si>
    <t>Gr. Profit</t>
  </si>
  <si>
    <t>Refinancings</t>
  </si>
  <si>
    <t>Margin</t>
  </si>
  <si>
    <t>Prepayment Penalties</t>
  </si>
  <si>
    <t>Cash for WC</t>
  </si>
  <si>
    <t>Total Uses</t>
  </si>
  <si>
    <t>Balance Check</t>
  </si>
  <si>
    <t>Int. Exp.</t>
  </si>
  <si>
    <t>CapEx</t>
  </si>
  <si>
    <t>Book Depreciation</t>
  </si>
  <si>
    <t>INTEREST RATE ASSUMPTIONS</t>
  </si>
  <si>
    <t xml:space="preserve">Spread </t>
  </si>
  <si>
    <t>over LIBOR</t>
  </si>
  <si>
    <t>OPERATING WORKING CAPITAL AND CAPEX ASSUMPTIONS</t>
  </si>
  <si>
    <t>Short-term Debt</t>
  </si>
  <si>
    <t>Cash Balance</t>
  </si>
  <si>
    <t>Total Sales</t>
  </si>
  <si>
    <t>Senior D.?</t>
  </si>
  <si>
    <t>LIBOR</t>
  </si>
  <si>
    <t>Annual Growth Rate</t>
  </si>
  <si>
    <t>C.A.G.R.</t>
  </si>
  <si>
    <t>Existing Debt</t>
  </si>
  <si>
    <t>Cost of Sales (excl. D&amp;A)</t>
  </si>
  <si>
    <t>As a % of Sales</t>
  </si>
  <si>
    <t>Gross Profit</t>
  </si>
  <si>
    <t>Gross Margin</t>
  </si>
  <si>
    <t>Interest on Cash Balance</t>
  </si>
  <si>
    <t>SG&amp;A and Other Operating Expense</t>
  </si>
  <si>
    <t>Inflation</t>
  </si>
  <si>
    <t>TAX RATE ASSUMPTIONS</t>
  </si>
  <si>
    <t>Federal Tax Rate</t>
  </si>
  <si>
    <t>State Tax Rate</t>
  </si>
  <si>
    <t>DEBT / PS AMORTIZATION SCHEDULES (% Of BOY debt to be repaid)</t>
  </si>
  <si>
    <t>Capital Expenditures</t>
  </si>
  <si>
    <t>Special CapEx (+R&amp;D)</t>
  </si>
  <si>
    <t>As a % of CapEx</t>
  </si>
  <si>
    <t>Tax Depreciation</t>
  </si>
  <si>
    <t>Working Capital Assumptions:</t>
  </si>
  <si>
    <t>DEBT CHARACTERSTICS</t>
  </si>
  <si>
    <t>Accounts Receivable</t>
  </si>
  <si>
    <t>(% of Sales)</t>
  </si>
  <si>
    <t>Days Receivable (avge)</t>
  </si>
  <si>
    <t>DEBT/PS - OTHER FEATURES (WHEN APPLICABLE)</t>
  </si>
  <si>
    <t>Inventories</t>
  </si>
  <si>
    <t>(% of COGS)</t>
  </si>
  <si>
    <t>Optional</t>
  </si>
  <si>
    <t>PIK until</t>
  </si>
  <si>
    <t>Bought</t>
  </si>
  <si>
    <t>Free</t>
  </si>
  <si>
    <t>Fully Dilut.</t>
  </si>
  <si>
    <t>Inventory Turns (x) (avge)</t>
  </si>
  <si>
    <t>Repayment</t>
  </si>
  <si>
    <t xml:space="preserve">which year </t>
  </si>
  <si>
    <t>Equity</t>
  </si>
  <si>
    <t>Warrants</t>
  </si>
  <si>
    <t>Other Current Assets</t>
  </si>
  <si>
    <t>(0=No, 1=Yes)</t>
  </si>
  <si>
    <t>(1, 2, etc.)</t>
  </si>
  <si>
    <t>(%)</t>
  </si>
  <si>
    <t>(% Initial)</t>
  </si>
  <si>
    <t>Account Payable</t>
  </si>
  <si>
    <t>Days Payable (avge)</t>
  </si>
  <si>
    <t>Other Current Liabilities</t>
  </si>
  <si>
    <t>DEBT/PS - OTHER FEATURES (CORRECTED FOR CAPITAL STRUCTURE)</t>
  </si>
  <si>
    <t>Floating Rate Debt Based on:</t>
  </si>
  <si>
    <t>Applied on</t>
  </si>
  <si>
    <t>Avge Balance?</t>
  </si>
  <si>
    <t>INVESTOR GROUP EQUITY INFORMATION</t>
  </si>
  <si>
    <t xml:space="preserve">Promoted </t>
  </si>
  <si>
    <t>(%FD)</t>
  </si>
  <si>
    <t>XYZ CP</t>
  </si>
  <si>
    <t>Management</t>
  </si>
  <si>
    <t>Other Equity</t>
  </si>
  <si>
    <t>CAPEX DEDUCTIBILITY - PHASING OUT</t>
  </si>
  <si>
    <t>Phasing out length (# years)</t>
  </si>
  <si>
    <t>BALANCE SHEET ADJUSTMENTS AT CLOSING</t>
  </si>
  <si>
    <t>% eligible CapEx</t>
  </si>
  <si>
    <t>Adjustments</t>
  </si>
  <si>
    <t>Debit</t>
  </si>
  <si>
    <t>Credit</t>
  </si>
  <si>
    <t>NET INTEREST EXPENSE DEDUCTIBILITY SCHEDULE</t>
  </si>
  <si>
    <t>Assets</t>
  </si>
  <si>
    <t>Liabilities and Equity</t>
  </si>
  <si>
    <t>Current:</t>
  </si>
  <si>
    <t>Excess Cash</t>
  </si>
  <si>
    <t>Net Interest Expense (NIE)</t>
  </si>
  <si>
    <t>Cash for Working Capital</t>
  </si>
  <si>
    <t>EBIT</t>
  </si>
  <si>
    <t>Total Current Liabilities</t>
  </si>
  <si>
    <t>Benchmark</t>
  </si>
  <si>
    <t>Deductibility limit</t>
  </si>
  <si>
    <t>Total Current Assets</t>
  </si>
  <si>
    <t>Long-term Debt:</t>
  </si>
  <si>
    <t>Non-deductible NIE before NIE carryforwards</t>
  </si>
  <si>
    <t>P, P &amp; E and Capitalized Leases</t>
  </si>
  <si>
    <t xml:space="preserve">Net Interest Expense Carryforwards </t>
  </si>
  <si>
    <t>Less: Depreciation</t>
  </si>
  <si>
    <t>BOY NIE Carryforwards</t>
  </si>
  <si>
    <t>Net P, P &amp; E and Cap. Leases</t>
  </si>
  <si>
    <t>Addition</t>
  </si>
  <si>
    <t>Subtraction</t>
  </si>
  <si>
    <t>Other Non-current Assets:</t>
  </si>
  <si>
    <t>EOY NIE Carryforwards</t>
  </si>
  <si>
    <t>Goodwill</t>
  </si>
  <si>
    <t>Total Long-term Debt</t>
  </si>
  <si>
    <t>Capitalized Financing Costs</t>
  </si>
  <si>
    <t>Non-deductible NIE after NIE carryforwards</t>
  </si>
  <si>
    <t>Other Assets</t>
  </si>
  <si>
    <t>Other Liabilities</t>
  </si>
  <si>
    <t>Deferred Income Taxes</t>
  </si>
  <si>
    <t>Total Assets</t>
  </si>
  <si>
    <t>Total Liabilities</t>
  </si>
  <si>
    <t>DETERMINATION OF GOODWILL</t>
  </si>
  <si>
    <t>Excess Equity Purchase Price over Net Assets:</t>
  </si>
  <si>
    <t>Allocation of Excess:</t>
  </si>
  <si>
    <t>PP&amp;E Write-up</t>
  </si>
  <si>
    <t>Total Liabilities and Equity</t>
  </si>
  <si>
    <t>Total Allocation</t>
  </si>
  <si>
    <t>Excess Purch. Price over Net Assets</t>
  </si>
  <si>
    <t>Check</t>
  </si>
  <si>
    <t>INCOME STATEMENTS</t>
  </si>
  <si>
    <t>Cost of Sales (excl.D&amp;A)</t>
  </si>
  <si>
    <t>Selling, General and Administrative</t>
  </si>
  <si>
    <t>Depreciation</t>
  </si>
  <si>
    <t>Interest on:</t>
  </si>
  <si>
    <t>Interest income on Short-Term Investments</t>
  </si>
  <si>
    <t>Pre-Tax Income</t>
  </si>
  <si>
    <t>Income Taxes</t>
  </si>
  <si>
    <t xml:space="preserve">Current </t>
  </si>
  <si>
    <t>Deferred</t>
  </si>
  <si>
    <t>Net Income</t>
  </si>
  <si>
    <t>Preferred Dividends</t>
  </si>
  <si>
    <t>Income Available to Common</t>
  </si>
  <si>
    <t>BALANCE SHEETS</t>
  </si>
  <si>
    <t>ASSETS</t>
  </si>
  <si>
    <t>LIABILITIES AND EQUITY</t>
  </si>
  <si>
    <t>Current</t>
  </si>
  <si>
    <t>CASH FLOW STATEMENTS</t>
  </si>
  <si>
    <t>Funds from (Used by) Operating Activities</t>
  </si>
  <si>
    <t>Net Income Available to Common</t>
  </si>
  <si>
    <t>Deferred Taxes</t>
  </si>
  <si>
    <t>Amortization of Capitalized Financing Costs</t>
  </si>
  <si>
    <t xml:space="preserve">Accretion of: </t>
  </si>
  <si>
    <t>Subtotal</t>
  </si>
  <si>
    <t>Change in Accounts Receivable</t>
  </si>
  <si>
    <t>Change in Inventories</t>
  </si>
  <si>
    <t>Change in Other Current Assets</t>
  </si>
  <si>
    <t>Change in Account Payable</t>
  </si>
  <si>
    <t>Change in Other Current Liabilities</t>
  </si>
  <si>
    <t>Change in Working Capital</t>
  </si>
  <si>
    <t>Funds from Operations</t>
  </si>
  <si>
    <t>Funds Used by Investing Activities</t>
  </si>
  <si>
    <t>Cash Flow Available for Debt / Preferred Stock Repayment</t>
  </si>
  <si>
    <t>Funds Used by (From) Financing Activities</t>
  </si>
  <si>
    <t>Mandatory Debt / Preferred Stock Repayments:</t>
  </si>
  <si>
    <t>Total Mandatory Debt / preferred Stock Repayments</t>
  </si>
  <si>
    <t>Optional Debt Repayments:</t>
  </si>
  <si>
    <t>Total Optional Debt Repayments</t>
  </si>
  <si>
    <t>Revolver Drawdowns</t>
  </si>
  <si>
    <t>Revolver Repayments</t>
  </si>
  <si>
    <t>Increase in Free Cash</t>
  </si>
  <si>
    <t xml:space="preserve">CREDIT RATIO ANALYSIS </t>
  </si>
  <si>
    <t xml:space="preserve"> Income Statement Data</t>
  </si>
  <si>
    <t>Operating Income ( EBITDA)</t>
  </si>
  <si>
    <t>EBITDA Less: Capital Expenditures</t>
  </si>
  <si>
    <t xml:space="preserve">EBITDA Less Capital Expenditure &amp; </t>
  </si>
  <si>
    <t>Changes in Working Capital</t>
  </si>
  <si>
    <t>Senior Debt Interest Expense (1)</t>
  </si>
  <si>
    <t>Total Interest Expense (2)</t>
  </si>
  <si>
    <t>Total Fixed Charge (3)</t>
  </si>
  <si>
    <t>Income Statement Ratios:</t>
  </si>
  <si>
    <t>Operating Income (EBITDA) /</t>
  </si>
  <si>
    <t>Total Fixed Charges (3)</t>
  </si>
  <si>
    <t xml:space="preserve">EBITDA Less: Capital Expenditures/ </t>
  </si>
  <si>
    <t>Total Fixed charges (3)</t>
  </si>
  <si>
    <t>EBITDA Less: CapEx and WC Changes /</t>
  </si>
  <si>
    <t>Cash Interest</t>
  </si>
  <si>
    <t>Footnotes:</t>
  </si>
  <si>
    <t>(2) Includes all interest expense whether paid or accrued.</t>
  </si>
  <si>
    <t>(3) includes all interest expense and dividend expense whether paid or accrued.</t>
  </si>
  <si>
    <t>CREDIT RATIO ANALYSIS (CONTINUED)</t>
  </si>
  <si>
    <t>Balance Sheet Data</t>
  </si>
  <si>
    <t>Total Bank Debt outstanding</t>
  </si>
  <si>
    <t>Percent Repaid per Year</t>
  </si>
  <si>
    <t>Senior Debt Outstanding (1)</t>
  </si>
  <si>
    <t>Senior Unsecured Debt Outstanding</t>
  </si>
  <si>
    <t>Balance Sheet Ratios:</t>
  </si>
  <si>
    <t>Current Ratio</t>
  </si>
  <si>
    <t>Long-term Debt to:</t>
  </si>
  <si>
    <t>Total Capitalization</t>
  </si>
  <si>
    <t>Long-term Debt less Excess Cash to:</t>
  </si>
  <si>
    <t>Total Capitalization less Excess Cash</t>
  </si>
  <si>
    <t>Senior Debt (1) less Excess Cash to:</t>
  </si>
  <si>
    <t>Long-term Debt less Excess Cash</t>
  </si>
  <si>
    <t>TAX SCHEDULE</t>
  </si>
  <si>
    <t>Permanent Differences:</t>
  </si>
  <si>
    <t>Tax-Deductible CapEx</t>
  </si>
  <si>
    <t>Net-Interest Expense Add-Back / Carryforward</t>
  </si>
  <si>
    <t>Other Permanent Differences</t>
  </si>
  <si>
    <t>Tax Pre-tax income before Timing Differences</t>
  </si>
  <si>
    <t xml:space="preserve">Timing Differences (before NOL): </t>
  </si>
  <si>
    <t>Timing Differences (before NOL)</t>
  </si>
  <si>
    <t>Tax Pre-Tax Income before NOL</t>
  </si>
  <si>
    <t>NOL Carryforwards Table</t>
  </si>
  <si>
    <t>BOY NOL Carryforwards</t>
  </si>
  <si>
    <t>EOY NOL Carryforwards</t>
  </si>
  <si>
    <t>Utilization of NOL Carryforwards</t>
  </si>
  <si>
    <t>Tax Pre-Tax Income after NOL</t>
  </si>
  <si>
    <t xml:space="preserve">Tax Provision (Tax) </t>
  </si>
  <si>
    <t>Federal Income Taxes</t>
  </si>
  <si>
    <t>State Income Taxes</t>
  </si>
  <si>
    <t>Tax Provision (Tax)</t>
  </si>
  <si>
    <t xml:space="preserve">Net Deferred Income Taxes due to Timing Differences (excl. NOL) </t>
  </si>
  <si>
    <t>Net Deferred Taxes due to Timing Differences (excl. NOL)</t>
  </si>
  <si>
    <t>Total Net Deferred Income Taxes due to NOL</t>
  </si>
  <si>
    <t>Tax Provision (Book)</t>
  </si>
  <si>
    <t>Total Net Deferred Tax due to NOL</t>
  </si>
  <si>
    <t xml:space="preserve">Total Net Deferred Income Taxes </t>
  </si>
  <si>
    <t>Total Net Deferred Tax (positive = net tax liability)</t>
  </si>
  <si>
    <t>DEBT SCHEDULES</t>
  </si>
  <si>
    <t>Year:</t>
  </si>
  <si>
    <t>Beginning Balance</t>
  </si>
  <si>
    <t>Interest Expense</t>
  </si>
  <si>
    <t>Average Interest:</t>
  </si>
  <si>
    <t>Mandatory Repayment</t>
  </si>
  <si>
    <t>Ending Balance</t>
  </si>
  <si>
    <t>Optional Repayment</t>
  </si>
  <si>
    <t>Interest</t>
  </si>
  <si>
    <t>Accretion</t>
  </si>
  <si>
    <t xml:space="preserve">PREFERRED STOCK </t>
  </si>
  <si>
    <t>Redemption</t>
  </si>
  <si>
    <t>CASH &amp; SHORT-TERM INVESTMENTS</t>
  </si>
  <si>
    <t>Beginning Cash Balance</t>
  </si>
  <si>
    <t>Interest Income</t>
  </si>
  <si>
    <t>Addition / Subtraction</t>
  </si>
  <si>
    <t>Ending Cash Balance</t>
  </si>
  <si>
    <t>SCHEDULE OF EQUITY HOLDERS</t>
  </si>
  <si>
    <t>Fully</t>
  </si>
  <si>
    <t>Bought At</t>
  </si>
  <si>
    <t xml:space="preserve">Free </t>
  </si>
  <si>
    <t>Before</t>
  </si>
  <si>
    <t>Diluted</t>
  </si>
  <si>
    <t xml:space="preserve"> Warrants</t>
  </si>
  <si>
    <t>Promote</t>
  </si>
  <si>
    <t>Ownership</t>
  </si>
  <si>
    <t>Percent Attributable to Management</t>
  </si>
  <si>
    <t>Total Percent Attributable to Investor Group</t>
  </si>
  <si>
    <t>CALCULATION OF TERMINAL EQUITY VALUES</t>
  </si>
  <si>
    <t>Multiple of EBITDA at Exit</t>
  </si>
  <si>
    <t>Enterprise Value</t>
  </si>
  <si>
    <t>less: Debt on Balance Sheet</t>
  </si>
  <si>
    <t>Less: Preferred Stock</t>
  </si>
  <si>
    <t>Total Debt and Preferred Stock</t>
  </si>
  <si>
    <t>Plus: Cash on Balance Sheet</t>
  </si>
  <si>
    <t>Plus: Cash from Exercise of Bought Warrants at Exit</t>
  </si>
  <si>
    <t>Value of Common Equity</t>
  </si>
  <si>
    <t>Growth Rate</t>
  </si>
  <si>
    <t>RETURN ON EQUITY BOUGHT AT CLOSING (AFTER IMPACT OF DILUATION FROM WARRANTS AND BEFORE IMPACT OF PROMOTES)</t>
  </si>
  <si>
    <t>IRR</t>
  </si>
  <si>
    <t>Cash Outlay for Exercise of Bought Warrants at Exit</t>
  </si>
  <si>
    <t>Common Equity Owned</t>
  </si>
  <si>
    <t>Total Cash Flows at Exit</t>
  </si>
  <si>
    <t>Exit</t>
  </si>
  <si>
    <t>(of EBITDA)</t>
  </si>
  <si>
    <t>Initial Cash Outlay</t>
  </si>
  <si>
    <t>Purchase of Common Stock at Closing</t>
  </si>
  <si>
    <t>Cash Interest Income</t>
  </si>
  <si>
    <t>Principal Repayments</t>
  </si>
  <si>
    <t>Principal Balance Outstanding</t>
  </si>
  <si>
    <t>Cash Preferred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</si>
</sst>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_(* #,##0.00_);_(* \(#,##0.00\);_(* &quot;-&quot;??_);_(@_)"/>
    <numFmt numFmtId="165" formatCode="0.0%"/>
    <numFmt numFmtId="166" formatCode="#,##0.0"/>
    <numFmt numFmtId="167" formatCode="0.0"/>
    <numFmt numFmtId="168" formatCode="[$-409]d/mmm/yy;@"/>
    <numFmt numFmtId="169" formatCode="0.0&quot;x&quot;"/>
    <numFmt numFmtId="170" formatCode="[$-409]d\-mmm\-yyyy;@"/>
    <numFmt numFmtId="171" formatCode="0.0\ "/>
    <numFmt numFmtId="172" formatCode="General\ "/>
    <numFmt numFmtId="173" formatCode="0\ "/>
    <numFmt numFmtId="174" formatCode="[=1]&quot;Yes&quot;;[=0]&quot;No&quot;;&quot;Invalid&quot;"/>
    <numFmt numFmtId="175" formatCode="[=1]&quot;Yes&quot;;[=0]&quot;No &quot;;&quot;Invalid&quot;"/>
    <numFmt numFmtId="176" formatCode="0.000000000000"/>
    <numFmt numFmtId="177" formatCode="0.0\x"/>
    <numFmt numFmtId="178" formatCode="#,##0.0_);[Red]\(#,##0.0\)"/>
    <numFmt numFmtId="179" formatCode="#,##0.0_);\(#,##0.0\)"/>
    <numFmt numFmtId="180" formatCode="_(* #,##0.0_);_(* \(#,##0.0\);_(* &quot;-&quot;?_);_(@_)"/>
    <numFmt numFmtId="181" formatCode="0.0%;\(0.0%\)"/>
    <numFmt numFmtId="182" formatCode="#,##0.000_);[Red]\(#,##0.000\)"/>
    <numFmt numFmtId="183" formatCode="0.0_);\(0.0\)"/>
    <numFmt numFmtId="184" formatCode="0.000_);[Red]\(0.000\)"/>
    <numFmt numFmtId="185" formatCode="#,##0.000000000000_);\(#,##0.000000000000\)"/>
    <numFmt numFmtId="186" formatCode="mm/dd/yyyy"/>
  </numFmts>
  <fonts count="3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sz val="11"/>
      <color rgb="FFFFC000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u/>
      <sz val="11"/>
      <color rgb="FF000000"/>
      <name val="Aptos Narrow"/>
      <family val="2"/>
    </font>
    <font>
      <sz val="11"/>
      <color rgb="FF0070C0"/>
      <name val="Aptos Narrow"/>
      <family val="2"/>
    </font>
    <font>
      <u/>
      <sz val="11"/>
      <color rgb="FF000000"/>
      <name val="Aptos Narrow"/>
      <family val="2"/>
    </font>
    <font>
      <i/>
      <sz val="11"/>
      <color rgb="FF000000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rgb="FF0070C0"/>
      <name val="Aptos Narrow"/>
      <family val="2"/>
    </font>
    <font>
      <u/>
      <sz val="11"/>
      <name val="Aptos Narrow"/>
      <family val="2"/>
    </font>
    <font>
      <sz val="11"/>
      <color theme="1"/>
      <name val="Aptos Narrow"/>
      <family val="2"/>
      <scheme val="minor"/>
    </font>
    <font>
      <u val="singleAccounting"/>
      <sz val="11"/>
      <color rgb="FF0070C0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i/>
      <sz val="11"/>
      <color theme="1"/>
      <name val="Aptos Narrow"/>
      <family val="2"/>
    </font>
    <font>
      <b/>
      <sz val="9"/>
      <color indexed="81"/>
      <name val="Tahoma"/>
      <family val="2"/>
    </font>
    <font>
      <sz val="8"/>
      <color indexed="8"/>
      <name val="Arial"/>
      <family val="2"/>
    </font>
    <font>
      <sz val="10"/>
      <color theme="1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22" fillId="0" borderId="0" applyFont="0" applyFill="0" applyBorder="0" applyAlignment="0" applyProtection="0"/>
    <xf numFmtId="0" fontId="27" fillId="0" borderId="0" applyAlignment="0"/>
  </cellStyleXfs>
  <cellXfs count="426">
    <xf numFmtId="0" fontId="0" fillId="0" borderId="0" xfId="0"/>
    <xf numFmtId="0" fontId="2" fillId="2" borderId="0" xfId="0" applyFont="1" applyFill="1"/>
    <xf numFmtId="167" fontId="0" fillId="0" borderId="0" xfId="0" applyNumberFormat="1"/>
    <xf numFmtId="0" fontId="0" fillId="0" borderId="1" xfId="0" applyBorder="1"/>
    <xf numFmtId="0" fontId="2" fillId="2" borderId="2" xfId="0" applyFont="1" applyFill="1" applyBorder="1" applyAlignment="1">
      <alignment horizontal="right"/>
    </xf>
    <xf numFmtId="0" fontId="0" fillId="0" borderId="3" xfId="0" applyBorder="1"/>
    <xf numFmtId="0" fontId="2" fillId="2" borderId="4" xfId="0" applyFont="1" applyFill="1" applyBorder="1" applyAlignment="1">
      <alignment horizontal="right"/>
    </xf>
    <xf numFmtId="0" fontId="0" fillId="0" borderId="5" xfId="0" applyBorder="1"/>
    <xf numFmtId="0" fontId="1" fillId="0" borderId="1" xfId="0" applyFont="1" applyBorder="1"/>
    <xf numFmtId="0" fontId="0" fillId="0" borderId="7" xfId="0" applyBorder="1"/>
    <xf numFmtId="0" fontId="0" fillId="0" borderId="2" xfId="0" applyBorder="1"/>
    <xf numFmtId="0" fontId="4" fillId="0" borderId="3" xfId="0" applyFont="1" applyBorder="1"/>
    <xf numFmtId="0" fontId="4" fillId="0" borderId="0" xfId="0" applyFont="1"/>
    <xf numFmtId="10" fontId="0" fillId="0" borderId="0" xfId="0" applyNumberFormat="1"/>
    <xf numFmtId="10" fontId="0" fillId="0" borderId="4" xfId="0" applyNumberFormat="1" applyBorder="1"/>
    <xf numFmtId="0" fontId="1" fillId="0" borderId="3" xfId="0" applyFont="1" applyBorder="1"/>
    <xf numFmtId="0" fontId="0" fillId="0" borderId="4" xfId="0" applyBorder="1"/>
    <xf numFmtId="9" fontId="0" fillId="0" borderId="0" xfId="0" applyNumberFormat="1"/>
    <xf numFmtId="0" fontId="0" fillId="0" borderId="8" xfId="0" applyBorder="1"/>
    <xf numFmtId="167" fontId="0" fillId="0" borderId="4" xfId="0" applyNumberFormat="1" applyBorder="1"/>
    <xf numFmtId="167" fontId="0" fillId="0" borderId="8" xfId="0" applyNumberFormat="1" applyBorder="1"/>
    <xf numFmtId="167" fontId="0" fillId="0" borderId="6" xfId="0" applyNumberFormat="1" applyBorder="1"/>
    <xf numFmtId="0" fontId="0" fillId="0" borderId="0" xfId="0" applyAlignment="1">
      <alignment horizontal="left" indent="1"/>
    </xf>
    <xf numFmtId="0" fontId="3" fillId="0" borderId="3" xfId="0" applyFont="1" applyBorder="1"/>
    <xf numFmtId="0" fontId="0" fillId="0" borderId="3" xfId="0" applyBorder="1" applyAlignment="1">
      <alignment horizontal="left" inden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3" xfId="0" applyFont="1" applyBorder="1"/>
    <xf numFmtId="0" fontId="0" fillId="0" borderId="15" xfId="0" applyBorder="1"/>
    <xf numFmtId="0" fontId="3" fillId="0" borderId="16" xfId="0" applyFont="1" applyBorder="1"/>
    <xf numFmtId="0" fontId="6" fillId="0" borderId="0" xfId="0" applyFont="1"/>
    <xf numFmtId="0" fontId="6" fillId="0" borderId="3" xfId="0" applyFont="1" applyBorder="1"/>
    <xf numFmtId="0" fontId="0" fillId="0" borderId="3" xfId="0" applyBorder="1" applyAlignment="1">
      <alignment horizontal="left" indent="2"/>
    </xf>
    <xf numFmtId="167" fontId="0" fillId="0" borderId="0" xfId="0" applyNumberFormat="1" applyAlignment="1">
      <alignment horizontal="right"/>
    </xf>
    <xf numFmtId="167" fontId="0" fillId="0" borderId="4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4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9" fillId="0" borderId="0" xfId="0" applyFont="1" applyAlignment="1">
      <alignment horizontal="right"/>
    </xf>
    <xf numFmtId="0" fontId="0" fillId="0" borderId="8" xfId="0" applyBorder="1" applyAlignment="1">
      <alignment horizontal="right"/>
    </xf>
    <xf numFmtId="165" fontId="6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10" fillId="2" borderId="0" xfId="0" applyNumberFormat="1" applyFont="1" applyFill="1"/>
    <xf numFmtId="165" fontId="10" fillId="2" borderId="4" xfId="0" applyNumberFormat="1" applyFont="1" applyFill="1" applyBorder="1"/>
    <xf numFmtId="165" fontId="10" fillId="2" borderId="8" xfId="0" applyNumberFormat="1" applyFont="1" applyFill="1" applyBorder="1"/>
    <xf numFmtId="165" fontId="10" fillId="2" borderId="6" xfId="0" applyNumberFormat="1" applyFont="1" applyFill="1" applyBorder="1"/>
    <xf numFmtId="0" fontId="6" fillId="0" borderId="8" xfId="0" applyFont="1" applyBorder="1"/>
    <xf numFmtId="0" fontId="12" fillId="0" borderId="0" xfId="0" applyFont="1"/>
    <xf numFmtId="0" fontId="3" fillId="0" borderId="0" xfId="0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indent="1"/>
    </xf>
    <xf numFmtId="0" fontId="1" fillId="0" borderId="0" xfId="0" applyFont="1"/>
    <xf numFmtId="165" fontId="2" fillId="2" borderId="4" xfId="0" applyNumberFormat="1" applyFont="1" applyFill="1" applyBorder="1" applyAlignment="1">
      <alignment horizontal="right"/>
    </xf>
    <xf numFmtId="0" fontId="12" fillId="0" borderId="1" xfId="0" applyFont="1" applyBorder="1"/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3" fillId="0" borderId="3" xfId="0" applyFont="1" applyBorder="1"/>
    <xf numFmtId="0" fontId="12" fillId="0" borderId="3" xfId="0" applyFont="1" applyBorder="1"/>
    <xf numFmtId="0" fontId="15" fillId="2" borderId="3" xfId="0" applyFont="1" applyFill="1" applyBorder="1"/>
    <xf numFmtId="167" fontId="5" fillId="2" borderId="0" xfId="0" applyNumberFormat="1" applyFont="1" applyFill="1"/>
    <xf numFmtId="167" fontId="5" fillId="2" borderId="4" xfId="0" applyNumberFormat="1" applyFont="1" applyFill="1" applyBorder="1"/>
    <xf numFmtId="0" fontId="12" fillId="0" borderId="3" xfId="0" applyFont="1" applyBorder="1" applyAlignment="1">
      <alignment horizontal="left" indent="1"/>
    </xf>
    <xf numFmtId="0" fontId="12" fillId="0" borderId="5" xfId="0" applyFont="1" applyBorder="1"/>
    <xf numFmtId="0" fontId="16" fillId="0" borderId="0" xfId="0" applyFont="1"/>
    <xf numFmtId="165" fontId="12" fillId="0" borderId="0" xfId="0" applyNumberFormat="1" applyFont="1"/>
    <xf numFmtId="0" fontId="12" fillId="0" borderId="19" xfId="0" applyFont="1" applyBorder="1" applyAlignment="1">
      <alignment horizontal="left" indent="1"/>
    </xf>
    <xf numFmtId="0" fontId="0" fillId="0" borderId="20" xfId="0" applyBorder="1"/>
    <xf numFmtId="167" fontId="0" fillId="0" borderId="21" xfId="0" applyNumberFormat="1" applyBorder="1"/>
    <xf numFmtId="0" fontId="12" fillId="0" borderId="20" xfId="0" applyFont="1" applyBorder="1"/>
    <xf numFmtId="165" fontId="12" fillId="0" borderId="21" xfId="0" applyNumberFormat="1" applyFont="1" applyBorder="1"/>
    <xf numFmtId="165" fontId="16" fillId="0" borderId="0" xfId="0" applyNumberFormat="1" applyFont="1"/>
    <xf numFmtId="0" fontId="17" fillId="0" borderId="0" xfId="0" applyFont="1"/>
    <xf numFmtId="0" fontId="1" fillId="0" borderId="7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 indent="2"/>
    </xf>
    <xf numFmtId="0" fontId="0" fillId="0" borderId="8" xfId="0" applyBorder="1" applyAlignment="1">
      <alignment horizontal="left" indent="2"/>
    </xf>
    <xf numFmtId="168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/>
    </xf>
    <xf numFmtId="4" fontId="0" fillId="0" borderId="0" xfId="0" applyNumberFormat="1"/>
    <xf numFmtId="166" fontId="0" fillId="0" borderId="0" xfId="0" applyNumberFormat="1"/>
    <xf numFmtId="166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4" fillId="0" borderId="1" xfId="0" applyFont="1" applyBorder="1"/>
    <xf numFmtId="0" fontId="3" fillId="0" borderId="7" xfId="0" applyFont="1" applyBorder="1"/>
    <xf numFmtId="0" fontId="3" fillId="0" borderId="2" xfId="0" applyFont="1" applyBorder="1"/>
    <xf numFmtId="0" fontId="14" fillId="0" borderId="0" xfId="0" applyFont="1" applyAlignment="1">
      <alignment horizontal="center"/>
    </xf>
    <xf numFmtId="0" fontId="14" fillId="0" borderId="3" xfId="0" applyFont="1" applyBorder="1"/>
    <xf numFmtId="0" fontId="12" fillId="0" borderId="3" xfId="0" applyFont="1" applyBorder="1" applyAlignment="1">
      <alignment horizontal="left" indent="2"/>
    </xf>
    <xf numFmtId="165" fontId="20" fillId="2" borderId="8" xfId="0" applyNumberFormat="1" applyFont="1" applyFill="1" applyBorder="1"/>
    <xf numFmtId="0" fontId="14" fillId="0" borderId="4" xfId="0" applyFont="1" applyBorder="1"/>
    <xf numFmtId="0" fontId="17" fillId="0" borderId="3" xfId="0" applyFont="1" applyBorder="1"/>
    <xf numFmtId="170" fontId="2" fillId="2" borderId="4" xfId="0" applyNumberFormat="1" applyFont="1" applyFill="1" applyBorder="1" applyAlignment="1">
      <alignment horizontal="right"/>
    </xf>
    <xf numFmtId="171" fontId="0" fillId="0" borderId="4" xfId="0" applyNumberFormat="1" applyBorder="1"/>
    <xf numFmtId="171" fontId="4" fillId="0" borderId="4" xfId="0" applyNumberFormat="1" applyFont="1" applyBorder="1"/>
    <xf numFmtId="172" fontId="14" fillId="0" borderId="0" xfId="0" applyNumberFormat="1" applyFont="1"/>
    <xf numFmtId="172" fontId="14" fillId="0" borderId="4" xfId="0" applyNumberFormat="1" applyFont="1" applyBorder="1"/>
    <xf numFmtId="173" fontId="2" fillId="2" borderId="4" xfId="0" applyNumberFormat="1" applyFont="1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/>
    <xf numFmtId="0" fontId="2" fillId="2" borderId="22" xfId="0" applyFont="1" applyFill="1" applyBorder="1"/>
    <xf numFmtId="0" fontId="2" fillId="2" borderId="24" xfId="0" applyFont="1" applyFill="1" applyBorder="1"/>
    <xf numFmtId="0" fontId="0" fillId="0" borderId="26" xfId="0" applyBorder="1"/>
    <xf numFmtId="0" fontId="0" fillId="0" borderId="27" xfId="0" applyBorder="1"/>
    <xf numFmtId="173" fontId="3" fillId="0" borderId="0" xfId="0" applyNumberFormat="1" applyFont="1"/>
    <xf numFmtId="173" fontId="3" fillId="0" borderId="4" xfId="0" applyNumberFormat="1" applyFont="1" applyBorder="1"/>
    <xf numFmtId="0" fontId="3" fillId="0" borderId="1" xfId="0" applyFont="1" applyBorder="1"/>
    <xf numFmtId="174" fontId="2" fillId="2" borderId="0" xfId="0" applyNumberFormat="1" applyFon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165" fontId="6" fillId="0" borderId="0" xfId="0" applyNumberFormat="1" applyFont="1"/>
    <xf numFmtId="165" fontId="6" fillId="0" borderId="4" xfId="0" applyNumberFormat="1" applyFont="1" applyBorder="1"/>
    <xf numFmtId="165" fontId="10" fillId="2" borderId="23" xfId="0" applyNumberFormat="1" applyFont="1" applyFill="1" applyBorder="1" applyAlignment="1">
      <alignment horizontal="center"/>
    </xf>
    <xf numFmtId="165" fontId="10" fillId="2" borderId="25" xfId="0" applyNumberFormat="1" applyFont="1" applyFill="1" applyBorder="1" applyAlignment="1">
      <alignment horizontal="center"/>
    </xf>
    <xf numFmtId="165" fontId="0" fillId="0" borderId="0" xfId="1" applyNumberFormat="1" applyFont="1"/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/>
    <xf numFmtId="0" fontId="3" fillId="0" borderId="4" xfId="0" applyFont="1" applyBorder="1"/>
    <xf numFmtId="165" fontId="2" fillId="2" borderId="0" xfId="1" applyNumberFormat="1" applyFont="1" applyFill="1" applyBorder="1"/>
    <xf numFmtId="165" fontId="2" fillId="2" borderId="4" xfId="1" applyNumberFormat="1" applyFont="1" applyFill="1" applyBorder="1"/>
    <xf numFmtId="165" fontId="2" fillId="2" borderId="8" xfId="1" applyNumberFormat="1" applyFont="1" applyFill="1" applyBorder="1"/>
    <xf numFmtId="165" fontId="2" fillId="2" borderId="6" xfId="1" applyNumberFormat="1" applyFont="1" applyFill="1" applyBorder="1"/>
    <xf numFmtId="176" fontId="0" fillId="0" borderId="0" xfId="0" applyNumberFormat="1"/>
    <xf numFmtId="173" fontId="3" fillId="0" borderId="11" xfId="0" applyNumberFormat="1" applyFont="1" applyBorder="1"/>
    <xf numFmtId="165" fontId="0" fillId="0" borderId="0" xfId="0" applyNumberFormat="1"/>
    <xf numFmtId="0" fontId="0" fillId="0" borderId="5" xfId="0" applyBorder="1" applyAlignment="1">
      <alignment horizontal="left" indent="1"/>
    </xf>
    <xf numFmtId="0" fontId="1" fillId="0" borderId="7" xfId="0" applyFont="1" applyBorder="1"/>
    <xf numFmtId="0" fontId="1" fillId="0" borderId="2" xfId="0" applyFont="1" applyBorder="1"/>
    <xf numFmtId="166" fontId="4" fillId="0" borderId="0" xfId="0" applyNumberFormat="1" applyFont="1"/>
    <xf numFmtId="166" fontId="4" fillId="0" borderId="4" xfId="0" applyNumberFormat="1" applyFont="1" applyBorder="1"/>
    <xf numFmtId="171" fontId="0" fillId="0" borderId="0" xfId="0" applyNumberFormat="1"/>
    <xf numFmtId="171" fontId="4" fillId="0" borderId="0" xfId="0" applyNumberFormat="1" applyFont="1"/>
    <xf numFmtId="0" fontId="1" fillId="0" borderId="4" xfId="0" applyFont="1" applyBorder="1"/>
    <xf numFmtId="0" fontId="0" fillId="2" borderId="7" xfId="0" applyFill="1" applyBorder="1"/>
    <xf numFmtId="0" fontId="0" fillId="2" borderId="8" xfId="0" applyFill="1" applyBorder="1"/>
    <xf numFmtId="173" fontId="3" fillId="0" borderId="0" xfId="0" applyNumberFormat="1" applyFont="1" applyAlignment="1">
      <alignment horizontal="center"/>
    </xf>
    <xf numFmtId="0" fontId="3" fillId="0" borderId="9" xfId="0" applyFont="1" applyBorder="1" applyAlignment="1">
      <alignment horizontal="center"/>
    </xf>
    <xf numFmtId="173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175" fontId="2" fillId="2" borderId="0" xfId="0" applyNumberFormat="1" applyFont="1" applyFill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175" fontId="18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4" xfId="0" applyFont="1" applyBorder="1" applyAlignment="1">
      <alignment horizontal="center"/>
    </xf>
    <xf numFmtId="165" fontId="18" fillId="0" borderId="0" xfId="1" applyNumberFormat="1" applyFont="1" applyFill="1" applyBorder="1" applyAlignment="1">
      <alignment horizontal="center"/>
    </xf>
    <xf numFmtId="165" fontId="18" fillId="0" borderId="4" xfId="1" applyNumberFormat="1" applyFont="1" applyFill="1" applyBorder="1" applyAlignment="1">
      <alignment horizontal="center"/>
    </xf>
    <xf numFmtId="175" fontId="18" fillId="0" borderId="8" xfId="0" applyNumberFormat="1" applyFont="1" applyBorder="1" applyAlignment="1">
      <alignment horizontal="center"/>
    </xf>
    <xf numFmtId="165" fontId="18" fillId="0" borderId="8" xfId="1" applyNumberFormat="1" applyFont="1" applyFill="1" applyBorder="1" applyAlignment="1">
      <alignment horizontal="center"/>
    </xf>
    <xf numFmtId="165" fontId="18" fillId="0" borderId="6" xfId="1" applyNumberFormat="1" applyFont="1" applyFill="1" applyBorder="1" applyAlignment="1">
      <alignment horizontal="center"/>
    </xf>
    <xf numFmtId="0" fontId="2" fillId="0" borderId="0" xfId="0" applyFont="1"/>
    <xf numFmtId="175" fontId="2" fillId="0" borderId="8" xfId="0" applyNumberFormat="1" applyFont="1" applyBorder="1" applyAlignment="1">
      <alignment horizontal="center"/>
    </xf>
    <xf numFmtId="165" fontId="4" fillId="0" borderId="0" xfId="0" applyNumberFormat="1" applyFont="1"/>
    <xf numFmtId="0" fontId="3" fillId="0" borderId="2" xfId="0" applyFont="1" applyBorder="1" applyAlignment="1">
      <alignment horizontal="center"/>
    </xf>
    <xf numFmtId="165" fontId="22" fillId="0" borderId="4" xfId="1" applyNumberFormat="1" applyFont="1" applyFill="1" applyBorder="1" applyAlignment="1">
      <alignment horizontal="center"/>
    </xf>
    <xf numFmtId="165" fontId="22" fillId="0" borderId="6" xfId="1" applyNumberFormat="1" applyFont="1" applyFill="1" applyBorder="1" applyAlignment="1">
      <alignment horizontal="center"/>
    </xf>
    <xf numFmtId="0" fontId="0" fillId="2" borderId="0" xfId="0" applyFill="1"/>
    <xf numFmtId="169" fontId="0" fillId="0" borderId="0" xfId="0" applyNumberFormat="1" applyAlignment="1">
      <alignment horizontal="center"/>
    </xf>
    <xf numFmtId="165" fontId="12" fillId="0" borderId="20" xfId="0" applyNumberFormat="1" applyFont="1" applyBorder="1"/>
    <xf numFmtId="169" fontId="2" fillId="2" borderId="4" xfId="0" applyNumberFormat="1" applyFont="1" applyFill="1" applyBorder="1"/>
    <xf numFmtId="165" fontId="2" fillId="2" borderId="4" xfId="1" applyNumberFormat="1" applyFont="1" applyFill="1" applyBorder="1" applyAlignment="1">
      <alignment horizontal="right"/>
    </xf>
    <xf numFmtId="165" fontId="2" fillId="2" borderId="6" xfId="1" applyNumberFormat="1" applyFont="1" applyFill="1" applyBorder="1" applyAlignment="1">
      <alignment horizontal="right"/>
    </xf>
    <xf numFmtId="0" fontId="0" fillId="3" borderId="0" xfId="0" applyFill="1"/>
    <xf numFmtId="173" fontId="2" fillId="3" borderId="0" xfId="0" applyNumberFormat="1" applyFont="1" applyFill="1" applyAlignment="1">
      <alignment horizontal="right"/>
    </xf>
    <xf numFmtId="177" fontId="4" fillId="0" borderId="0" xfId="0" applyNumberFormat="1" applyFont="1"/>
    <xf numFmtId="0" fontId="0" fillId="0" borderId="29" xfId="0" applyBorder="1" applyAlignment="1">
      <alignment horizontal="center"/>
    </xf>
    <xf numFmtId="165" fontId="0" fillId="0" borderId="29" xfId="0" applyNumberFormat="1" applyBorder="1"/>
    <xf numFmtId="165" fontId="4" fillId="0" borderId="29" xfId="0" applyNumberFormat="1" applyFont="1" applyBorder="1"/>
    <xf numFmtId="165" fontId="0" fillId="0" borderId="30" xfId="0" applyNumberFormat="1" applyBorder="1"/>
    <xf numFmtId="0" fontId="0" fillId="0" borderId="29" xfId="0" applyBorder="1"/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0" xfId="0" applyFont="1" applyAlignment="1">
      <alignment horizontal="right"/>
    </xf>
    <xf numFmtId="167" fontId="0" fillId="0" borderId="20" xfId="0" applyNumberFormat="1" applyBorder="1"/>
    <xf numFmtId="165" fontId="0" fillId="0" borderId="20" xfId="0" applyNumberFormat="1" applyBorder="1"/>
    <xf numFmtId="165" fontId="2" fillId="2" borderId="0" xfId="0" applyNumberFormat="1" applyFont="1" applyFill="1"/>
    <xf numFmtId="165" fontId="3" fillId="0" borderId="0" xfId="0" applyNumberFormat="1" applyFont="1"/>
    <xf numFmtId="169" fontId="1" fillId="0" borderId="0" xfId="0" applyNumberFormat="1" applyFont="1"/>
    <xf numFmtId="173" fontId="3" fillId="0" borderId="9" xfId="0" applyNumberFormat="1" applyFont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5" fontId="0" fillId="0" borderId="9" xfId="1" applyNumberFormat="1" applyFont="1" applyBorder="1"/>
    <xf numFmtId="165" fontId="0" fillId="0" borderId="29" xfId="1" applyNumberFormat="1" applyFont="1" applyBorder="1"/>
    <xf numFmtId="165" fontId="0" fillId="0" borderId="31" xfId="1" applyNumberFormat="1" applyFont="1" applyBorder="1"/>
    <xf numFmtId="165" fontId="0" fillId="0" borderId="30" xfId="1" applyNumberFormat="1" applyFont="1" applyBorder="1"/>
    <xf numFmtId="167" fontId="0" fillId="0" borderId="19" xfId="0" applyNumberFormat="1" applyBorder="1"/>
    <xf numFmtId="167" fontId="0" fillId="0" borderId="9" xfId="0" applyNumberFormat="1" applyBorder="1"/>
    <xf numFmtId="167" fontId="0" fillId="0" borderId="29" xfId="0" applyNumberFormat="1" applyBorder="1"/>
    <xf numFmtId="167" fontId="0" fillId="0" borderId="31" xfId="0" applyNumberFormat="1" applyBorder="1"/>
    <xf numFmtId="167" fontId="0" fillId="0" borderId="30" xfId="0" applyNumberFormat="1" applyBorder="1"/>
    <xf numFmtId="0" fontId="11" fillId="0" borderId="0" xfId="0" applyFont="1"/>
    <xf numFmtId="0" fontId="1" fillId="0" borderId="20" xfId="0" applyFont="1" applyBorder="1"/>
    <xf numFmtId="0" fontId="0" fillId="0" borderId="31" xfId="0" applyBorder="1" applyAlignment="1">
      <alignment horizontal="center"/>
    </xf>
    <xf numFmtId="0" fontId="0" fillId="0" borderId="0" xfId="0" applyAlignment="1">
      <alignment horizontal="left" indent="3"/>
    </xf>
    <xf numFmtId="178" fontId="0" fillId="0" borderId="0" xfId="0" applyNumberFormat="1"/>
    <xf numFmtId="178" fontId="4" fillId="0" borderId="0" xfId="0" applyNumberFormat="1" applyFont="1"/>
    <xf numFmtId="178" fontId="0" fillId="0" borderId="21" xfId="0" applyNumberFormat="1" applyBorder="1"/>
    <xf numFmtId="179" fontId="12" fillId="0" borderId="0" xfId="0" applyNumberFormat="1" applyFont="1"/>
    <xf numFmtId="179" fontId="16" fillId="0" borderId="0" xfId="0" applyNumberFormat="1" applyFont="1"/>
    <xf numFmtId="179" fontId="12" fillId="0" borderId="20" xfId="0" applyNumberFormat="1" applyFont="1" applyBorder="1"/>
    <xf numFmtId="179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69" fontId="0" fillId="0" borderId="19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1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1" fillId="0" borderId="31" xfId="0" applyNumberFormat="1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165" fontId="11" fillId="0" borderId="29" xfId="0" applyNumberFormat="1" applyFont="1" applyBorder="1" applyAlignment="1">
      <alignment horizontal="center"/>
    </xf>
    <xf numFmtId="39" fontId="0" fillId="0" borderId="0" xfId="0" applyNumberFormat="1"/>
    <xf numFmtId="164" fontId="0" fillId="0" borderId="0" xfId="0" applyNumberFormat="1" applyAlignment="1">
      <alignment horizontal="left" indent="3"/>
    </xf>
    <xf numFmtId="164" fontId="0" fillId="0" borderId="0" xfId="0" applyNumberFormat="1"/>
    <xf numFmtId="181" fontId="0" fillId="0" borderId="0" xfId="0" applyNumberFormat="1"/>
    <xf numFmtId="179" fontId="2" fillId="2" borderId="0" xfId="0" applyNumberFormat="1" applyFont="1" applyFill="1" applyAlignment="1">
      <alignment horizontal="right"/>
    </xf>
    <xf numFmtId="179" fontId="0" fillId="0" borderId="0" xfId="0" applyNumberFormat="1" applyAlignment="1">
      <alignment horizontal="right"/>
    </xf>
    <xf numFmtId="179" fontId="0" fillId="0" borderId="4" xfId="0" applyNumberFormat="1" applyBorder="1" applyAlignment="1">
      <alignment horizontal="right"/>
    </xf>
    <xf numFmtId="179" fontId="2" fillId="2" borderId="4" xfId="0" applyNumberFormat="1" applyFont="1" applyFill="1" applyBorder="1" applyAlignment="1">
      <alignment horizontal="right"/>
    </xf>
    <xf numFmtId="181" fontId="6" fillId="0" borderId="0" xfId="0" applyNumberFormat="1" applyFont="1"/>
    <xf numFmtId="181" fontId="6" fillId="0" borderId="0" xfId="0" applyNumberFormat="1" applyFont="1" applyAlignment="1">
      <alignment horizontal="right"/>
    </xf>
    <xf numFmtId="181" fontId="10" fillId="2" borderId="0" xfId="0" applyNumberFormat="1" applyFont="1" applyFill="1" applyAlignment="1">
      <alignment horizontal="right"/>
    </xf>
    <xf numFmtId="181" fontId="10" fillId="2" borderId="4" xfId="0" applyNumberFormat="1" applyFont="1" applyFill="1" applyBorder="1" applyAlignment="1">
      <alignment horizontal="right"/>
    </xf>
    <xf numFmtId="181" fontId="6" fillId="0" borderId="4" xfId="0" applyNumberFormat="1" applyFont="1" applyBorder="1" applyAlignment="1">
      <alignment horizontal="right"/>
    </xf>
    <xf numFmtId="181" fontId="6" fillId="0" borderId="8" xfId="0" applyNumberFormat="1" applyFont="1" applyBorder="1" applyAlignment="1">
      <alignment horizontal="right"/>
    </xf>
    <xf numFmtId="181" fontId="10" fillId="2" borderId="8" xfId="0" applyNumberFormat="1" applyFont="1" applyFill="1" applyBorder="1" applyAlignment="1">
      <alignment horizontal="right"/>
    </xf>
    <xf numFmtId="181" fontId="10" fillId="2" borderId="6" xfId="0" applyNumberFormat="1" applyFont="1" applyFill="1" applyBorder="1" applyAlignment="1">
      <alignment horizontal="right"/>
    </xf>
    <xf numFmtId="181" fontId="6" fillId="0" borderId="0" xfId="1" applyNumberFormat="1" applyFont="1" applyBorder="1"/>
    <xf numFmtId="181" fontId="6" fillId="0" borderId="4" xfId="1" applyNumberFormat="1" applyFont="1" applyBorder="1"/>
    <xf numFmtId="181" fontId="6" fillId="0" borderId="4" xfId="0" applyNumberFormat="1" applyFont="1" applyBorder="1"/>
    <xf numFmtId="181" fontId="6" fillId="0" borderId="8" xfId="1" applyNumberFormat="1" applyFont="1" applyBorder="1"/>
    <xf numFmtId="181" fontId="6" fillId="0" borderId="6" xfId="1" applyNumberFormat="1" applyFont="1" applyBorder="1"/>
    <xf numFmtId="181" fontId="6" fillId="0" borderId="0" xfId="0" applyNumberFormat="1" applyFont="1" applyAlignment="1">
      <alignment horizontal="center"/>
    </xf>
    <xf numFmtId="179" fontId="2" fillId="2" borderId="0" xfId="0" applyNumberFormat="1" applyFont="1" applyFill="1"/>
    <xf numFmtId="179" fontId="0" fillId="0" borderId="4" xfId="0" applyNumberFormat="1" applyBorder="1"/>
    <xf numFmtId="179" fontId="5" fillId="2" borderId="0" xfId="0" applyNumberFormat="1" applyFont="1" applyFill="1"/>
    <xf numFmtId="179" fontId="4" fillId="0" borderId="4" xfId="0" applyNumberFormat="1" applyFont="1" applyBorder="1"/>
    <xf numFmtId="179" fontId="4" fillId="0" borderId="0" xfId="0" applyNumberFormat="1" applyFont="1"/>
    <xf numFmtId="180" fontId="2" fillId="2" borderId="0" xfId="0" applyNumberFormat="1" applyFont="1" applyFill="1" applyAlignment="1">
      <alignment horizontal="left" indent="3"/>
    </xf>
    <xf numFmtId="180" fontId="0" fillId="0" borderId="0" xfId="0" applyNumberFormat="1" applyAlignment="1">
      <alignment horizontal="left" indent="3"/>
    </xf>
    <xf numFmtId="180" fontId="23" fillId="2" borderId="0" xfId="0" applyNumberFormat="1" applyFont="1" applyFill="1" applyAlignment="1">
      <alignment horizontal="left" indent="3"/>
    </xf>
    <xf numFmtId="180" fontId="24" fillId="0" borderId="0" xfId="0" applyNumberFormat="1" applyFont="1" applyAlignment="1">
      <alignment horizontal="left" indent="3"/>
    </xf>
    <xf numFmtId="39" fontId="0" fillId="0" borderId="8" xfId="0" applyNumberFormat="1" applyBorder="1"/>
    <xf numFmtId="39" fontId="2" fillId="2" borderId="0" xfId="0" applyNumberFormat="1" applyFont="1" applyFill="1"/>
    <xf numFmtId="182" fontId="0" fillId="0" borderId="8" xfId="0" applyNumberFormat="1" applyBorder="1"/>
    <xf numFmtId="182" fontId="0" fillId="0" borderId="6" xfId="0" applyNumberFormat="1" applyBorder="1"/>
    <xf numFmtId="179" fontId="4" fillId="0" borderId="0" xfId="0" applyNumberFormat="1" applyFont="1" applyAlignment="1">
      <alignment horizontal="right"/>
    </xf>
    <xf numFmtId="179" fontId="4" fillId="0" borderId="4" xfId="0" applyNumberFormat="1" applyFont="1" applyBorder="1" applyAlignment="1">
      <alignment horizontal="right"/>
    </xf>
    <xf numFmtId="179" fontId="5" fillId="0" borderId="0" xfId="0" applyNumberFormat="1" applyFont="1" applyAlignment="1">
      <alignment horizontal="right"/>
    </xf>
    <xf numFmtId="179" fontId="0" fillId="0" borderId="8" xfId="0" applyNumberFormat="1" applyBorder="1"/>
    <xf numFmtId="179" fontId="0" fillId="0" borderId="6" xfId="0" applyNumberFormat="1" applyBorder="1"/>
    <xf numFmtId="179" fontId="18" fillId="0" borderId="0" xfId="0" applyNumberFormat="1" applyFont="1"/>
    <xf numFmtId="180" fontId="0" fillId="0" borderId="0" xfId="0" applyNumberFormat="1" applyAlignment="1">
      <alignment horizontal="center"/>
    </xf>
    <xf numFmtId="180" fontId="0" fillId="0" borderId="8" xfId="0" applyNumberFormat="1" applyBorder="1" applyAlignment="1">
      <alignment horizontal="center"/>
    </xf>
    <xf numFmtId="181" fontId="0" fillId="0" borderId="0" xfId="1" applyNumberFormat="1" applyFont="1" applyBorder="1"/>
    <xf numFmtId="181" fontId="0" fillId="0" borderId="4" xfId="1" applyNumberFormat="1" applyFont="1" applyBorder="1"/>
    <xf numFmtId="181" fontId="0" fillId="0" borderId="4" xfId="0" applyNumberFormat="1" applyBorder="1"/>
    <xf numFmtId="179" fontId="15" fillId="2" borderId="0" xfId="0" applyNumberFormat="1" applyFont="1" applyFill="1" applyAlignment="1">
      <alignment horizontal="right"/>
    </xf>
    <xf numFmtId="179" fontId="15" fillId="2" borderId="4" xfId="0" applyNumberFormat="1" applyFont="1" applyFill="1" applyBorder="1" applyAlignment="1">
      <alignment horizontal="right"/>
    </xf>
    <xf numFmtId="179" fontId="19" fillId="0" borderId="0" xfId="0" applyNumberFormat="1" applyFont="1" applyAlignment="1">
      <alignment horizontal="right"/>
    </xf>
    <xf numFmtId="179" fontId="19" fillId="0" borderId="4" xfId="0" applyNumberFormat="1" applyFont="1" applyBorder="1" applyAlignment="1">
      <alignment horizontal="right"/>
    </xf>
    <xf numFmtId="179" fontId="21" fillId="0" borderId="0" xfId="0" applyNumberFormat="1" applyFont="1" applyAlignment="1">
      <alignment horizontal="right"/>
    </xf>
    <xf numFmtId="179" fontId="21" fillId="0" borderId="4" xfId="0" applyNumberFormat="1" applyFont="1" applyBorder="1" applyAlignment="1">
      <alignment horizontal="right"/>
    </xf>
    <xf numFmtId="179" fontId="16" fillId="0" borderId="0" xfId="0" applyNumberFormat="1" applyFont="1" applyAlignment="1">
      <alignment horizontal="right"/>
    </xf>
    <xf numFmtId="179" fontId="16" fillId="0" borderId="4" xfId="0" applyNumberFormat="1" applyFont="1" applyBorder="1" applyAlignment="1">
      <alignment horizontal="right"/>
    </xf>
    <xf numFmtId="179" fontId="0" fillId="0" borderId="8" xfId="0" applyNumberFormat="1" applyBorder="1" applyAlignment="1">
      <alignment horizontal="right"/>
    </xf>
    <xf numFmtId="179" fontId="0" fillId="0" borderId="6" xfId="0" applyNumberFormat="1" applyBorder="1" applyAlignment="1">
      <alignment horizontal="right"/>
    </xf>
    <xf numFmtId="0" fontId="12" fillId="0" borderId="7" xfId="0" applyFont="1" applyBorder="1"/>
    <xf numFmtId="179" fontId="12" fillId="0" borderId="0" xfId="0" applyNumberFormat="1" applyFont="1" applyAlignment="1">
      <alignment horizontal="right"/>
    </xf>
    <xf numFmtId="179" fontId="12" fillId="0" borderId="4" xfId="0" applyNumberFormat="1" applyFont="1" applyBorder="1" applyAlignment="1">
      <alignment horizontal="right"/>
    </xf>
    <xf numFmtId="179" fontId="12" fillId="0" borderId="8" xfId="0" applyNumberFormat="1" applyFont="1" applyBorder="1" applyAlignment="1">
      <alignment horizontal="right"/>
    </xf>
    <xf numFmtId="179" fontId="12" fillId="0" borderId="6" xfId="0" applyNumberFormat="1" applyFont="1" applyBorder="1" applyAlignment="1">
      <alignment horizontal="right"/>
    </xf>
    <xf numFmtId="179" fontId="0" fillId="0" borderId="20" xfId="0" applyNumberFormat="1" applyBorder="1"/>
    <xf numFmtId="0" fontId="0" fillId="0" borderId="19" xfId="0" applyBorder="1"/>
    <xf numFmtId="179" fontId="0" fillId="0" borderId="29" xfId="0" applyNumberFormat="1" applyBorder="1"/>
    <xf numFmtId="179" fontId="2" fillId="2" borderId="20" xfId="0" applyNumberFormat="1" applyFont="1" applyFill="1" applyBorder="1"/>
    <xf numFmtId="179" fontId="0" fillId="0" borderId="25" xfId="0" applyNumberFormat="1" applyBorder="1"/>
    <xf numFmtId="166" fontId="0" fillId="0" borderId="29" xfId="0" applyNumberFormat="1" applyBorder="1"/>
    <xf numFmtId="166" fontId="2" fillId="2" borderId="0" xfId="0" applyNumberFormat="1" applyFont="1" applyFill="1"/>
    <xf numFmtId="166" fontId="2" fillId="2" borderId="20" xfId="0" applyNumberFormat="1" applyFont="1" applyFill="1" applyBorder="1"/>
    <xf numFmtId="166" fontId="0" fillId="0" borderId="25" xfId="0" applyNumberFormat="1" applyBorder="1"/>
    <xf numFmtId="179" fontId="0" fillId="0" borderId="9" xfId="0" applyNumberFormat="1" applyBorder="1"/>
    <xf numFmtId="179" fontId="0" fillId="0" borderId="19" xfId="0" applyNumberFormat="1" applyBorder="1"/>
    <xf numFmtId="179" fontId="0" fillId="0" borderId="31" xfId="0" applyNumberFormat="1" applyBorder="1"/>
    <xf numFmtId="179" fontId="0" fillId="0" borderId="21" xfId="0" applyNumberFormat="1" applyBorder="1"/>
    <xf numFmtId="179" fontId="0" fillId="0" borderId="30" xfId="0" applyNumberFormat="1" applyBorder="1"/>
    <xf numFmtId="166" fontId="0" fillId="0" borderId="20" xfId="0" applyNumberFormat="1" applyBorder="1"/>
    <xf numFmtId="183" fontId="0" fillId="0" borderId="0" xfId="0" applyNumberFormat="1"/>
    <xf numFmtId="0" fontId="4" fillId="0" borderId="4" xfId="0" applyFont="1" applyBorder="1" applyAlignment="1">
      <alignment horizontal="center"/>
    </xf>
    <xf numFmtId="165" fontId="0" fillId="0" borderId="0" xfId="1" applyNumberFormat="1" applyFont="1" applyBorder="1"/>
    <xf numFmtId="165" fontId="0" fillId="0" borderId="4" xfId="1" applyNumberFormat="1" applyFont="1" applyBorder="1"/>
    <xf numFmtId="165" fontId="4" fillId="0" borderId="0" xfId="1" applyNumberFormat="1" applyFont="1" applyBorder="1"/>
    <xf numFmtId="165" fontId="4" fillId="0" borderId="4" xfId="1" applyNumberFormat="1" applyFont="1" applyBorder="1"/>
    <xf numFmtId="165" fontId="0" fillId="0" borderId="8" xfId="0" applyNumberFormat="1" applyBorder="1"/>
    <xf numFmtId="165" fontId="0" fillId="0" borderId="6" xfId="0" applyNumberFormat="1" applyBorder="1"/>
    <xf numFmtId="180" fontId="5" fillId="2" borderId="0" xfId="1" applyNumberFormat="1" applyFont="1" applyFill="1" applyBorder="1" applyAlignment="1"/>
    <xf numFmtId="179" fontId="2" fillId="2" borderId="4" xfId="0" applyNumberFormat="1" applyFont="1" applyFill="1" applyBorder="1"/>
    <xf numFmtId="179" fontId="5" fillId="2" borderId="4" xfId="0" applyNumberFormat="1" applyFont="1" applyFill="1" applyBorder="1"/>
    <xf numFmtId="184" fontId="0" fillId="0" borderId="8" xfId="0" applyNumberFormat="1" applyBorder="1"/>
    <xf numFmtId="184" fontId="0" fillId="0" borderId="6" xfId="0" applyNumberFormat="1" applyBorder="1"/>
    <xf numFmtId="1" fontId="18" fillId="0" borderId="0" xfId="1" applyNumberFormat="1" applyFont="1" applyFill="1" applyBorder="1" applyAlignment="1">
      <alignment horizontal="center"/>
    </xf>
    <xf numFmtId="1" fontId="18" fillId="0" borderId="8" xfId="1" applyNumberFormat="1" applyFont="1" applyFill="1" applyBorder="1" applyAlignment="1">
      <alignment horizontal="center"/>
    </xf>
    <xf numFmtId="179" fontId="0" fillId="0" borderId="0" xfId="0" applyNumberFormat="1" applyAlignment="1">
      <alignment horizontal="left" indent="3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9" fontId="0" fillId="0" borderId="32" xfId="0" applyNumberFormat="1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9" xfId="1" applyNumberFormat="1" applyFont="1" applyBorder="1" applyAlignment="1">
      <alignment horizontal="right"/>
    </xf>
    <xf numFmtId="165" fontId="0" fillId="0" borderId="29" xfId="1" applyNumberFormat="1" applyFont="1" applyBorder="1" applyAlignment="1">
      <alignment horizontal="right"/>
    </xf>
    <xf numFmtId="165" fontId="0" fillId="0" borderId="19" xfId="1" applyNumberFormat="1" applyFon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165" fontId="0" fillId="0" borderId="31" xfId="1" applyNumberFormat="1" applyFont="1" applyBorder="1" applyAlignment="1">
      <alignment horizontal="right"/>
    </xf>
    <xf numFmtId="165" fontId="0" fillId="0" borderId="21" xfId="1" applyNumberFormat="1" applyFont="1" applyBorder="1" applyAlignment="1">
      <alignment horizontal="right"/>
    </xf>
    <xf numFmtId="165" fontId="0" fillId="0" borderId="30" xfId="1" applyNumberFormat="1" applyFon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167" fontId="0" fillId="0" borderId="29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167" fontId="0" fillId="0" borderId="20" xfId="0" applyNumberFormat="1" applyBorder="1" applyAlignment="1">
      <alignment horizontal="right"/>
    </xf>
    <xf numFmtId="167" fontId="0" fillId="0" borderId="31" xfId="0" applyNumberFormat="1" applyBorder="1" applyAlignment="1">
      <alignment horizontal="right"/>
    </xf>
    <xf numFmtId="167" fontId="0" fillId="0" borderId="21" xfId="0" applyNumberFormat="1" applyBorder="1" applyAlignment="1">
      <alignment horizontal="right"/>
    </xf>
    <xf numFmtId="167" fontId="0" fillId="0" borderId="30" xfId="0" applyNumberFormat="1" applyBorder="1" applyAlignment="1">
      <alignment horizontal="right"/>
    </xf>
    <xf numFmtId="179" fontId="18" fillId="0" borderId="4" xfId="0" applyNumberFormat="1" applyFont="1" applyBorder="1"/>
    <xf numFmtId="9" fontId="0" fillId="0" borderId="0" xfId="1" applyFont="1"/>
    <xf numFmtId="0" fontId="0" fillId="0" borderId="33" xfId="0" applyBorder="1"/>
    <xf numFmtId="0" fontId="0" fillId="0" borderId="14" xfId="0" applyBorder="1"/>
    <xf numFmtId="174" fontId="2" fillId="2" borderId="15" xfId="0" applyNumberFormat="1" applyFont="1" applyFill="1" applyBorder="1"/>
    <xf numFmtId="0" fontId="0" fillId="0" borderId="34" xfId="0" applyBorder="1"/>
    <xf numFmtId="165" fontId="2" fillId="2" borderId="35" xfId="0" applyNumberFormat="1" applyFont="1" applyFill="1" applyBorder="1"/>
    <xf numFmtId="165" fontId="2" fillId="2" borderId="4" xfId="0" applyNumberFormat="1" applyFont="1" applyFill="1" applyBorder="1"/>
    <xf numFmtId="0" fontId="0" fillId="0" borderId="28" xfId="0" applyBorder="1"/>
    <xf numFmtId="165" fontId="2" fillId="2" borderId="36" xfId="0" applyNumberFormat="1" applyFont="1" applyFill="1" applyBorder="1"/>
    <xf numFmtId="165" fontId="2" fillId="2" borderId="6" xfId="0" applyNumberFormat="1" applyFont="1" applyFill="1" applyBorder="1"/>
    <xf numFmtId="165" fontId="25" fillId="0" borderId="0" xfId="0" applyNumberFormat="1" applyFont="1"/>
    <xf numFmtId="14" fontId="0" fillId="0" borderId="0" xfId="0" applyNumberFormat="1"/>
    <xf numFmtId="2" fontId="6" fillId="0" borderId="0" xfId="1" applyNumberFormat="1" applyFont="1"/>
    <xf numFmtId="185" fontId="0" fillId="0" borderId="0" xfId="0" applyNumberFormat="1"/>
    <xf numFmtId="0" fontId="28" fillId="0" borderId="0" xfId="0" applyFont="1"/>
    <xf numFmtId="0" fontId="31" fillId="0" borderId="0" xfId="0" applyFont="1"/>
    <xf numFmtId="179" fontId="28" fillId="0" borderId="0" xfId="0" applyNumberFormat="1" applyFont="1"/>
    <xf numFmtId="0" fontId="30" fillId="4" borderId="1" xfId="0" applyFont="1" applyFill="1" applyBorder="1"/>
    <xf numFmtId="0" fontId="30" fillId="4" borderId="7" xfId="0" applyFont="1" applyFill="1" applyBorder="1"/>
    <xf numFmtId="0" fontId="30" fillId="4" borderId="2" xfId="0" applyFont="1" applyFill="1" applyBorder="1"/>
    <xf numFmtId="0" fontId="28" fillId="0" borderId="3" xfId="0" applyFont="1" applyBorder="1"/>
    <xf numFmtId="177" fontId="28" fillId="0" borderId="0" xfId="0" applyNumberFormat="1" applyFont="1"/>
    <xf numFmtId="177" fontId="28" fillId="0" borderId="4" xfId="0" applyNumberFormat="1" applyFont="1" applyBorder="1"/>
    <xf numFmtId="0" fontId="28" fillId="0" borderId="5" xfId="0" applyFont="1" applyBorder="1"/>
    <xf numFmtId="179" fontId="28" fillId="0" borderId="8" xfId="0" applyNumberFormat="1" applyFont="1" applyBorder="1"/>
    <xf numFmtId="177" fontId="28" fillId="0" borderId="8" xfId="0" applyNumberFormat="1" applyFont="1" applyBorder="1"/>
    <xf numFmtId="177" fontId="28" fillId="0" borderId="6" xfId="0" applyNumberFormat="1" applyFont="1" applyBorder="1"/>
    <xf numFmtId="186" fontId="29" fillId="0" borderId="0" xfId="2" applyNumberFormat="1" applyFont="1" applyAlignment="1">
      <alignment horizontal="left" vertical="top"/>
    </xf>
    <xf numFmtId="179" fontId="28" fillId="0" borderId="4" xfId="0" applyNumberFormat="1" applyFont="1" applyBorder="1"/>
    <xf numFmtId="186" fontId="29" fillId="0" borderId="8" xfId="2" applyNumberFormat="1" applyFont="1" applyBorder="1" applyAlignment="1">
      <alignment horizontal="left" vertical="top"/>
    </xf>
    <xf numFmtId="179" fontId="28" fillId="0" borderId="6" xfId="0" applyNumberFormat="1" applyFont="1" applyBorder="1"/>
    <xf numFmtId="177" fontId="28" fillId="0" borderId="38" xfId="0" applyNumberFormat="1" applyFont="1" applyBorder="1"/>
    <xf numFmtId="177" fontId="28" fillId="0" borderId="39" xfId="0" applyNumberFormat="1" applyFont="1" applyBorder="1"/>
    <xf numFmtId="0" fontId="28" fillId="0" borderId="1" xfId="0" applyFont="1" applyBorder="1"/>
    <xf numFmtId="177" fontId="28" fillId="0" borderId="7" xfId="0" applyNumberFormat="1" applyFont="1" applyBorder="1"/>
    <xf numFmtId="177" fontId="28" fillId="0" borderId="2" xfId="0" applyNumberFormat="1" applyFont="1" applyBorder="1"/>
    <xf numFmtId="0" fontId="28" fillId="0" borderId="7" xfId="0" applyFont="1" applyBorder="1"/>
    <xf numFmtId="0" fontId="28" fillId="0" borderId="2" xfId="0" applyFont="1" applyBorder="1"/>
    <xf numFmtId="0" fontId="28" fillId="0" borderId="4" xfId="0" applyFont="1" applyBorder="1"/>
    <xf numFmtId="0" fontId="32" fillId="0" borderId="3" xfId="0" applyFont="1" applyBorder="1"/>
    <xf numFmtId="0" fontId="32" fillId="0" borderId="0" xfId="0" applyFont="1"/>
    <xf numFmtId="179" fontId="32" fillId="0" borderId="4" xfId="0" applyNumberFormat="1" applyFont="1" applyBorder="1"/>
    <xf numFmtId="0" fontId="28" fillId="0" borderId="8" xfId="0" applyFont="1" applyBorder="1"/>
    <xf numFmtId="0" fontId="30" fillId="0" borderId="1" xfId="0" applyFont="1" applyBorder="1"/>
    <xf numFmtId="0" fontId="28" fillId="0" borderId="5" xfId="0" applyFont="1" applyBorder="1" applyAlignment="1">
      <alignment horizontal="left" indent="1"/>
    </xf>
    <xf numFmtId="0" fontId="28" fillId="0" borderId="37" xfId="0" applyFont="1" applyBorder="1" applyAlignment="1">
      <alignment horizontal="right"/>
    </xf>
    <xf numFmtId="167" fontId="28" fillId="0" borderId="0" xfId="0" applyNumberFormat="1" applyFont="1"/>
    <xf numFmtId="0" fontId="28" fillId="0" borderId="6" xfId="0" applyFont="1" applyBorder="1"/>
    <xf numFmtId="167" fontId="28" fillId="0" borderId="2" xfId="0" applyNumberFormat="1" applyFont="1" applyBorder="1"/>
    <xf numFmtId="167" fontId="28" fillId="0" borderId="4" xfId="0" applyNumberFormat="1" applyFont="1" applyBorder="1"/>
    <xf numFmtId="167" fontId="32" fillId="0" borderId="4" xfId="0" applyNumberFormat="1" applyFont="1" applyBorder="1"/>
    <xf numFmtId="167" fontId="28" fillId="0" borderId="6" xfId="0" applyNumberFormat="1" applyFont="1" applyBorder="1"/>
    <xf numFmtId="179" fontId="32" fillId="0" borderId="0" xfId="0" applyNumberFormat="1" applyFont="1"/>
    <xf numFmtId="0" fontId="28" fillId="0" borderId="3" xfId="0" applyFont="1" applyBorder="1" applyAlignment="1">
      <alignment horizontal="left" indent="1"/>
    </xf>
    <xf numFmtId="0" fontId="30" fillId="0" borderId="7" xfId="0" applyFont="1" applyBorder="1"/>
    <xf numFmtId="0" fontId="30" fillId="0" borderId="2" xfId="0" applyFont="1" applyBorder="1"/>
    <xf numFmtId="0" fontId="30" fillId="0" borderId="3" xfId="0" applyFont="1" applyBorder="1"/>
    <xf numFmtId="0" fontId="30" fillId="0" borderId="0" xfId="0" applyFont="1"/>
    <xf numFmtId="0" fontId="30" fillId="0" borderId="4" xfId="0" applyFont="1" applyBorder="1"/>
    <xf numFmtId="165" fontId="28" fillId="0" borderId="4" xfId="0" applyNumberFormat="1" applyFont="1" applyBorder="1"/>
    <xf numFmtId="0" fontId="31" fillId="0" borderId="1" xfId="0" applyFont="1" applyBorder="1"/>
    <xf numFmtId="0" fontId="30" fillId="0" borderId="5" xfId="0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</cellXfs>
  <cellStyles count="3">
    <cellStyle name="Normal" xfId="0" builtinId="0"/>
    <cellStyle name="Percent" xfId="1" builtinId="5"/>
    <cellStyle name="TextNormal" xfId="2" xr:uid="{24F601BB-17B0-4B2F-9BAC-221ABA7FB6E8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34817"/>
      <color rgb="FF0E2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Valuation!$C$5:$E$5</c:f>
              <c:strCache>
                <c:ptCount val="3"/>
                <c:pt idx="0">
                  <c:v>Public Comparables</c:v>
                </c:pt>
                <c:pt idx="1">
                  <c:v>DCF Analysis</c:v>
                </c:pt>
                <c:pt idx="2">
                  <c:v>52 Week Low/High</c:v>
                </c:pt>
              </c:strCache>
            </c:strRef>
          </c:cat>
          <c:val>
            <c:numRef>
              <c:f>Valuation!$C$6:$E$6</c:f>
              <c:numCache>
                <c:formatCode>#,##0.0_);\(#,##0.0\)</c:formatCode>
                <c:ptCount val="3"/>
                <c:pt idx="0">
                  <c:v>1046.3795851705199</c:v>
                </c:pt>
                <c:pt idx="1">
                  <c:v>1171.4000000000001</c:v>
                </c:pt>
                <c:pt idx="2">
                  <c:v>811.90855930509997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E-4CEA-98BC-9FB1232FD1F2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Valuation!$C$5:$E$5</c:f>
              <c:strCache>
                <c:ptCount val="3"/>
                <c:pt idx="0">
                  <c:v>Public Comparables</c:v>
                </c:pt>
                <c:pt idx="1">
                  <c:v>DCF Analysis</c:v>
                </c:pt>
                <c:pt idx="2">
                  <c:v>52 Week Low/High</c:v>
                </c:pt>
              </c:strCache>
            </c:strRef>
          </c:cat>
          <c:val>
            <c:numRef>
              <c:f>Valuation!$C$7:$E$7</c:f>
              <c:numCache>
                <c:formatCode>#,##0.0_);\(#,##0.0\)</c:formatCode>
                <c:ptCount val="3"/>
                <c:pt idx="0">
                  <c:v>1046.3795851705199</c:v>
                </c:pt>
                <c:pt idx="1">
                  <c:v>1171.4000000000001</c:v>
                </c:pt>
                <c:pt idx="2">
                  <c:v>811.90855930509997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E-4CEA-98BC-9FB1232FD1F2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Valuation!$C$5:$E$5</c:f>
              <c:strCache>
                <c:ptCount val="3"/>
                <c:pt idx="0">
                  <c:v>Public Comparables</c:v>
                </c:pt>
                <c:pt idx="1">
                  <c:v>DCF Analysis</c:v>
                </c:pt>
                <c:pt idx="2">
                  <c:v>52 Week Low/High</c:v>
                </c:pt>
              </c:strCache>
            </c:strRef>
          </c:cat>
          <c:val>
            <c:numRef>
              <c:f>Valuation!$C$8:$E$8</c:f>
              <c:numCache>
                <c:formatCode>#,##0.0_);\(#,##0.0\)</c:formatCode>
                <c:ptCount val="3"/>
                <c:pt idx="0">
                  <c:v>1248.9121671001913</c:v>
                </c:pt>
                <c:pt idx="1">
                  <c:v>1477.9</c:v>
                </c:pt>
                <c:pt idx="2">
                  <c:v>1046.9085593051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E-4CEA-98BC-9FB1232FD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19833968"/>
        <c:axId val="51983540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Valuation!$C$5:$E$5</c15:sqref>
                        </c15:formulaRef>
                      </c:ext>
                    </c:extLst>
                    <c:strCache>
                      <c:ptCount val="3"/>
                      <c:pt idx="0">
                        <c:v>Public Comparables</c:v>
                      </c:pt>
                      <c:pt idx="1">
                        <c:v>DCF Analysis</c:v>
                      </c:pt>
                      <c:pt idx="2">
                        <c:v>52 Week Low/High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Valuation!$C$9:$E$9</c15:sqref>
                        </c15:formulaRef>
                      </c:ext>
                    </c:extLst>
                    <c:numCache>
                      <c:formatCode>#,##0.0_);\(#,##0.0\)</c:formatCode>
                      <c:ptCount val="3"/>
                      <c:pt idx="0">
                        <c:v>1248.9121671001913</c:v>
                      </c:pt>
                      <c:pt idx="1">
                        <c:v>1477.9</c:v>
                      </c:pt>
                      <c:pt idx="2">
                        <c:v>1046.9085593051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A9E-4CEA-98BC-9FB1232FD1F2}"/>
                  </c:ext>
                </c:extLst>
              </c15:ser>
            </c15:filteredLineSeries>
          </c:ext>
        </c:extLst>
      </c:stockChart>
      <c:catAx>
        <c:axId val="51983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35408"/>
        <c:crosses val="autoZero"/>
        <c:auto val="1"/>
        <c:lblAlgn val="ctr"/>
        <c:lblOffset val="100"/>
        <c:noMultiLvlLbl val="0"/>
      </c:catAx>
      <c:valAx>
        <c:axId val="519835408"/>
        <c:scaling>
          <c:orientation val="minMax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3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522922</xdr:colOff>
      <xdr:row>0</xdr:row>
      <xdr:rowOff>114300</xdr:rowOff>
    </xdr:from>
    <xdr:to>
      <xdr:col>13</xdr:col>
      <xdr:colOff>305752</xdr:colOff>
      <xdr:row>16</xdr:row>
      <xdr:rowOff>32385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5BBDE93-84E8-2066-F9DF-F423EA244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FCB7-7834-43CC-A37C-028D336D44BE}">
  <sheetPr>
    <pageSetUpPr fitToPage="1"/>
  </sheetPr>
  <dimension ref="B2:K40"/>
  <sheetViews>
    <sheetView showGridLines="0" zoomScaleNormal="100" zoomScaleSheetLayoutView="106" workbookViewId="0"/>
  </sheetViews>
  <sheetFormatPr defaultColWidth="9" defaultRowHeight="13.8" x14ac:dyDescent="0.3"/>
  <cols>
    <col min="1" max="1" width="9" style="358"/>
    <col min="2" max="2" width="41.44140625" style="358" bestFit="1" customWidth="1"/>
    <col min="3" max="3" width="18.109375" style="358" bestFit="1" customWidth="1"/>
    <col min="4" max="4" width="18.88671875" style="358" bestFit="1" customWidth="1"/>
    <col min="5" max="5" width="13.6640625" style="358" bestFit="1" customWidth="1"/>
    <col min="6" max="6" width="18.44140625" style="358" bestFit="1" customWidth="1"/>
    <col min="7" max="7" width="27.33203125" style="358" bestFit="1" customWidth="1"/>
    <col min="8" max="8" width="20" style="358" bestFit="1" customWidth="1"/>
    <col min="9" max="9" width="13.6640625" style="358" bestFit="1" customWidth="1"/>
    <col min="10" max="10" width="11.33203125" style="358" bestFit="1" customWidth="1"/>
    <col min="11" max="11" width="18.88671875" style="358" bestFit="1" customWidth="1"/>
    <col min="12" max="16384" width="9" style="358"/>
  </cols>
  <sheetData>
    <row r="2" spans="2:5" x14ac:dyDescent="0.3">
      <c r="B2" s="358" t="s">
        <v>0</v>
      </c>
    </row>
    <row r="4" spans="2:5" x14ac:dyDescent="0.3">
      <c r="B4" s="359" t="s">
        <v>1</v>
      </c>
    </row>
    <row r="5" spans="2:5" ht="15.75" customHeight="1" thickBot="1" x14ac:dyDescent="0.35"/>
    <row r="6" spans="2:5" x14ac:dyDescent="0.3">
      <c r="B6" s="361" t="s">
        <v>2</v>
      </c>
      <c r="C6" s="362" t="s">
        <v>3</v>
      </c>
      <c r="D6" s="362" t="s">
        <v>4</v>
      </c>
      <c r="E6" s="363" t="s">
        <v>5</v>
      </c>
    </row>
    <row r="7" spans="2:5" x14ac:dyDescent="0.3">
      <c r="B7" s="364" t="s">
        <v>6</v>
      </c>
      <c r="C7" s="371">
        <v>44480</v>
      </c>
      <c r="D7" s="360">
        <v>34.799999999999997</v>
      </c>
      <c r="E7" s="366">
        <v>24</v>
      </c>
    </row>
    <row r="8" spans="2:5" x14ac:dyDescent="0.3">
      <c r="B8" s="364" t="s">
        <v>7</v>
      </c>
      <c r="C8" s="371">
        <v>45254</v>
      </c>
      <c r="D8" s="360">
        <v>3444.8</v>
      </c>
      <c r="E8" s="366">
        <v>17.600000000000001</v>
      </c>
    </row>
    <row r="9" spans="2:5" ht="14.4" thickBot="1" x14ac:dyDescent="0.35">
      <c r="B9" s="367" t="s">
        <v>8</v>
      </c>
      <c r="C9" s="373">
        <v>44805</v>
      </c>
      <c r="D9" s="368">
        <v>19.2</v>
      </c>
      <c r="E9" s="370">
        <v>1.92</v>
      </c>
    </row>
    <row r="10" spans="2:5" ht="14.4" thickBot="1" x14ac:dyDescent="0.35"/>
    <row r="11" spans="2:5" x14ac:dyDescent="0.3">
      <c r="D11" s="377" t="s">
        <v>9</v>
      </c>
      <c r="E11" s="379">
        <f>AVERAGE(E7:E9)</f>
        <v>14.506666666666668</v>
      </c>
    </row>
    <row r="12" spans="2:5" ht="14.4" thickBot="1" x14ac:dyDescent="0.35">
      <c r="D12" s="367" t="s">
        <v>10</v>
      </c>
      <c r="E12" s="370">
        <f>LBO!Q11</f>
        <v>9.8332520441054712</v>
      </c>
    </row>
    <row r="15" spans="2:5" x14ac:dyDescent="0.3">
      <c r="B15" s="359" t="s">
        <v>11</v>
      </c>
    </row>
    <row r="16" spans="2:5" ht="14.4" thickBot="1" x14ac:dyDescent="0.35"/>
    <row r="17" spans="2:11" x14ac:dyDescent="0.3">
      <c r="B17" s="361" t="s">
        <v>12</v>
      </c>
      <c r="C17" s="362" t="s">
        <v>13</v>
      </c>
      <c r="D17" s="362" t="s">
        <v>14</v>
      </c>
      <c r="E17" s="362" t="s">
        <v>15</v>
      </c>
      <c r="F17" s="362" t="s">
        <v>16</v>
      </c>
      <c r="G17" s="362" t="s">
        <v>17</v>
      </c>
      <c r="H17" s="362" t="s">
        <v>18</v>
      </c>
      <c r="I17" s="362" t="s">
        <v>5</v>
      </c>
      <c r="J17" s="362" t="s">
        <v>19</v>
      </c>
      <c r="K17" s="363" t="s">
        <v>20</v>
      </c>
    </row>
    <row r="18" spans="2:11" x14ac:dyDescent="0.3">
      <c r="B18" s="364" t="s">
        <v>21</v>
      </c>
      <c r="C18" s="360">
        <v>9526.5</v>
      </c>
      <c r="D18" s="360">
        <v>11.4</v>
      </c>
      <c r="E18" s="360">
        <v>835.65789473684208</v>
      </c>
      <c r="F18" s="360">
        <v>9127</v>
      </c>
      <c r="G18" s="360">
        <v>1244.4000000000001</v>
      </c>
      <c r="H18" s="365">
        <v>7.6</v>
      </c>
      <c r="I18" s="365">
        <v>27.3</v>
      </c>
      <c r="J18" s="365">
        <v>30.4</v>
      </c>
      <c r="K18" s="366">
        <v>0</v>
      </c>
    </row>
    <row r="19" spans="2:11" x14ac:dyDescent="0.3">
      <c r="B19" s="364" t="s">
        <v>22</v>
      </c>
      <c r="C19" s="360">
        <v>7007</v>
      </c>
      <c r="D19" s="360">
        <v>177</v>
      </c>
      <c r="E19" s="360">
        <v>39.587570621468927</v>
      </c>
      <c r="F19" s="360">
        <v>6611.4</v>
      </c>
      <c r="G19" s="360">
        <v>5939.5</v>
      </c>
      <c r="H19" s="365">
        <v>1.1499999999999999</v>
      </c>
      <c r="I19" s="365">
        <v>9.32</v>
      </c>
      <c r="J19" s="365">
        <v>12</v>
      </c>
      <c r="K19" s="366">
        <v>0</v>
      </c>
    </row>
    <row r="20" spans="2:11" x14ac:dyDescent="0.3">
      <c r="B20" s="364" t="s">
        <v>23</v>
      </c>
      <c r="C20" s="360">
        <v>4138.3</v>
      </c>
      <c r="D20" s="360">
        <v>31.6</v>
      </c>
      <c r="E20" s="360">
        <v>130.95886075949366</v>
      </c>
      <c r="F20" s="360">
        <v>3808.6</v>
      </c>
      <c r="G20" s="360">
        <v>5267.5</v>
      </c>
      <c r="H20" s="365">
        <v>0.749</v>
      </c>
      <c r="I20" s="365">
        <v>7.7</v>
      </c>
      <c r="J20" s="365">
        <v>11.3</v>
      </c>
      <c r="K20" s="366">
        <v>0</v>
      </c>
    </row>
    <row r="21" spans="2:11" x14ac:dyDescent="0.3">
      <c r="B21" s="364" t="s">
        <v>24</v>
      </c>
      <c r="C21" s="360">
        <v>3707.6</v>
      </c>
      <c r="D21" s="360">
        <v>78.8</v>
      </c>
      <c r="E21" s="360">
        <v>47.050761421319798</v>
      </c>
      <c r="F21" s="360">
        <v>3647.5</v>
      </c>
      <c r="G21" s="360">
        <v>2776.4</v>
      </c>
      <c r="H21" s="365">
        <v>1.36</v>
      </c>
      <c r="I21" s="365">
        <v>11.7</v>
      </c>
      <c r="J21" s="365">
        <v>15.1</v>
      </c>
      <c r="K21" s="366">
        <v>0</v>
      </c>
    </row>
    <row r="22" spans="2:11" x14ac:dyDescent="0.3">
      <c r="B22" s="364" t="s">
        <v>25</v>
      </c>
      <c r="C22" s="360">
        <v>1660.9</v>
      </c>
      <c r="D22" s="360">
        <v>69.2</v>
      </c>
      <c r="E22" s="360">
        <v>24.001445086705203</v>
      </c>
      <c r="F22" s="360">
        <v>2178.4</v>
      </c>
      <c r="G22" s="360">
        <v>5114.8</v>
      </c>
      <c r="H22" s="365">
        <v>0.441</v>
      </c>
      <c r="I22" s="365">
        <v>6.38</v>
      </c>
      <c r="J22" s="365">
        <v>9.93</v>
      </c>
      <c r="K22" s="366">
        <v>1.49</v>
      </c>
    </row>
    <row r="23" spans="2:11" x14ac:dyDescent="0.3">
      <c r="B23" s="364" t="s">
        <v>26</v>
      </c>
      <c r="C23" s="360">
        <v>1620.9</v>
      </c>
      <c r="D23" s="360">
        <v>9.8699999999999992</v>
      </c>
      <c r="E23" s="360">
        <v>164.22492401215808</v>
      </c>
      <c r="F23" s="360">
        <v>1650.7</v>
      </c>
      <c r="G23" s="360">
        <v>1043.4000000000001</v>
      </c>
      <c r="H23" s="365">
        <v>1.57</v>
      </c>
      <c r="I23" s="365">
        <v>10.4</v>
      </c>
      <c r="J23" s="365">
        <v>13.3</v>
      </c>
      <c r="K23" s="366">
        <v>0.187</v>
      </c>
    </row>
    <row r="24" spans="2:11" x14ac:dyDescent="0.3">
      <c r="B24" s="364" t="s">
        <v>27</v>
      </c>
      <c r="C24" s="360">
        <v>1459.6</v>
      </c>
      <c r="D24" s="360">
        <v>24.7</v>
      </c>
      <c r="E24" s="360">
        <v>59.093117408906878</v>
      </c>
      <c r="F24" s="360">
        <v>1558.1</v>
      </c>
      <c r="G24" s="360">
        <v>1359.6</v>
      </c>
      <c r="H24" s="365">
        <v>1.19</v>
      </c>
      <c r="I24" s="365">
        <v>7.3</v>
      </c>
      <c r="J24" s="365">
        <v>10</v>
      </c>
      <c r="K24" s="366">
        <v>0.314</v>
      </c>
    </row>
    <row r="25" spans="2:11" x14ac:dyDescent="0.3">
      <c r="B25" s="364" t="s">
        <v>28</v>
      </c>
      <c r="C25" s="360">
        <v>1180</v>
      </c>
      <c r="D25" s="360">
        <v>1.75</v>
      </c>
      <c r="E25" s="360">
        <v>674.28571428571433</v>
      </c>
      <c r="F25" s="360">
        <v>1106</v>
      </c>
      <c r="G25" s="360">
        <v>3118.1</v>
      </c>
      <c r="H25" s="365">
        <v>0.36799999999999999</v>
      </c>
      <c r="I25" s="365">
        <v>3.46</v>
      </c>
      <c r="J25" s="365">
        <v>4.78</v>
      </c>
      <c r="K25" s="366">
        <v>0</v>
      </c>
    </row>
    <row r="26" spans="2:11" x14ac:dyDescent="0.3">
      <c r="B26" s="364" t="s">
        <v>29</v>
      </c>
      <c r="C26" s="360">
        <v>1173.3</v>
      </c>
      <c r="D26" s="360">
        <v>5</v>
      </c>
      <c r="E26" s="360">
        <v>234.66</v>
      </c>
      <c r="F26" s="360">
        <v>984.6</v>
      </c>
      <c r="G26" s="360">
        <v>574.6</v>
      </c>
      <c r="H26" s="365">
        <v>1.75</v>
      </c>
      <c r="I26" s="365">
        <v>7.06</v>
      </c>
      <c r="J26" s="365">
        <v>7.69</v>
      </c>
      <c r="K26" s="366">
        <v>0</v>
      </c>
    </row>
    <row r="27" spans="2:11" x14ac:dyDescent="0.3">
      <c r="B27" s="364" t="s">
        <v>30</v>
      </c>
      <c r="C27" s="360">
        <v>574.4</v>
      </c>
      <c r="D27" s="360">
        <v>31.9</v>
      </c>
      <c r="E27" s="360">
        <v>18.006269592476489</v>
      </c>
      <c r="F27" s="360">
        <v>963</v>
      </c>
      <c r="G27" s="360">
        <v>1354.9</v>
      </c>
      <c r="H27" s="365">
        <v>0.73699999999999999</v>
      </c>
      <c r="I27" s="365">
        <v>5.96</v>
      </c>
      <c r="J27" s="365">
        <v>11.8</v>
      </c>
      <c r="K27" s="366">
        <v>2.41</v>
      </c>
    </row>
    <row r="28" spans="2:11" x14ac:dyDescent="0.3">
      <c r="B28" s="364" t="s">
        <v>31</v>
      </c>
      <c r="C28" s="360">
        <v>825</v>
      </c>
      <c r="D28" s="360">
        <v>14.2</v>
      </c>
      <c r="E28" s="360">
        <v>58.098591549295776</v>
      </c>
      <c r="F28" s="360">
        <v>748.2</v>
      </c>
      <c r="G28" s="360">
        <v>415.4</v>
      </c>
      <c r="H28" s="365">
        <v>1.84</v>
      </c>
      <c r="I28" s="365">
        <v>13.1</v>
      </c>
      <c r="J28" s="365">
        <v>29.5</v>
      </c>
      <c r="K28" s="366">
        <v>0</v>
      </c>
    </row>
    <row r="29" spans="2:11" x14ac:dyDescent="0.3">
      <c r="B29" s="364" t="s">
        <v>32</v>
      </c>
      <c r="C29" s="360">
        <v>686.8</v>
      </c>
      <c r="D29" s="360">
        <v>10.9</v>
      </c>
      <c r="E29" s="360">
        <v>63.0091743119266</v>
      </c>
      <c r="F29" s="360">
        <v>707.2</v>
      </c>
      <c r="G29" s="360">
        <v>580.79999999999995</v>
      </c>
      <c r="H29" s="365">
        <v>1.26</v>
      </c>
      <c r="I29" s="365">
        <v>14.1</v>
      </c>
      <c r="J29" s="365">
        <v>30.2</v>
      </c>
      <c r="K29" s="366">
        <v>1.2999999999999999E-2</v>
      </c>
    </row>
    <row r="30" spans="2:11" x14ac:dyDescent="0.3">
      <c r="B30" s="364" t="s">
        <v>33</v>
      </c>
      <c r="C30" s="360">
        <v>531</v>
      </c>
      <c r="D30" s="360">
        <v>13.4</v>
      </c>
      <c r="E30" s="360">
        <v>39.626865671641788</v>
      </c>
      <c r="F30" s="360">
        <v>575.70000000000005</v>
      </c>
      <c r="G30" s="360">
        <v>541</v>
      </c>
      <c r="H30" s="365">
        <v>1.1000000000000001</v>
      </c>
      <c r="I30" s="365">
        <v>10.1</v>
      </c>
      <c r="J30" s="365">
        <v>13.7</v>
      </c>
      <c r="K30" s="366">
        <v>0.78700000000000003</v>
      </c>
    </row>
    <row r="31" spans="2:11" x14ac:dyDescent="0.3">
      <c r="B31" s="364" t="s">
        <v>34</v>
      </c>
      <c r="C31" s="360">
        <v>219.3</v>
      </c>
      <c r="D31" s="360">
        <v>16.5</v>
      </c>
      <c r="E31" s="360">
        <v>13.290909090909091</v>
      </c>
      <c r="F31" s="360">
        <v>414.5</v>
      </c>
      <c r="G31" s="360">
        <v>1466.6</v>
      </c>
      <c r="H31" s="365">
        <v>0.29299999999999998</v>
      </c>
      <c r="I31" s="365">
        <v>5.67</v>
      </c>
      <c r="J31" s="365">
        <v>12.5</v>
      </c>
      <c r="K31" s="366">
        <v>2.66</v>
      </c>
    </row>
    <row r="32" spans="2:11" x14ac:dyDescent="0.3">
      <c r="B32" s="364" t="s">
        <v>35</v>
      </c>
      <c r="C32" s="360">
        <v>259.60000000000002</v>
      </c>
      <c r="D32" s="360">
        <v>41.2</v>
      </c>
      <c r="E32" s="360">
        <v>6.3009708737864081</v>
      </c>
      <c r="F32" s="360">
        <v>378.8</v>
      </c>
      <c r="G32" s="360">
        <v>440.8</v>
      </c>
      <c r="H32" s="365">
        <v>0.89</v>
      </c>
      <c r="I32" s="365">
        <v>10.3</v>
      </c>
      <c r="J32" s="365">
        <v>20.9</v>
      </c>
      <c r="K32" s="366">
        <v>3.25</v>
      </c>
    </row>
    <row r="33" spans="2:11" x14ac:dyDescent="0.3">
      <c r="B33" s="364" t="s">
        <v>36</v>
      </c>
      <c r="C33" s="360">
        <v>302.2</v>
      </c>
      <c r="D33" s="360">
        <v>304.3</v>
      </c>
      <c r="E33" s="360">
        <v>0.99309891554387109</v>
      </c>
      <c r="F33" s="360">
        <v>324.60000000000002</v>
      </c>
      <c r="G33" s="360">
        <v>2682.7</v>
      </c>
      <c r="H33" s="365">
        <v>0.125</v>
      </c>
      <c r="I33" s="365">
        <v>1.98</v>
      </c>
      <c r="J33" s="365">
        <v>3.2</v>
      </c>
      <c r="K33" s="366">
        <v>0.13600000000000001</v>
      </c>
    </row>
    <row r="34" spans="2:11" x14ac:dyDescent="0.3">
      <c r="B34" s="364" t="s">
        <v>37</v>
      </c>
      <c r="C34" s="360">
        <v>206.7</v>
      </c>
      <c r="D34" s="360">
        <v>10.8</v>
      </c>
      <c r="E34" s="360">
        <v>19.138888888888886</v>
      </c>
      <c r="F34" s="360">
        <v>288.39999999999998</v>
      </c>
      <c r="G34" s="360">
        <v>620.6</v>
      </c>
      <c r="H34" s="365">
        <v>0.48199999999999998</v>
      </c>
      <c r="I34" s="365">
        <v>4.79</v>
      </c>
      <c r="J34" s="365">
        <v>6.89</v>
      </c>
      <c r="K34" s="366">
        <v>1.27</v>
      </c>
    </row>
    <row r="35" spans="2:11" ht="14.4" thickBot="1" x14ac:dyDescent="0.35">
      <c r="B35" s="367" t="s">
        <v>38</v>
      </c>
      <c r="C35" s="368">
        <v>142.9</v>
      </c>
      <c r="D35" s="368">
        <v>6.44</v>
      </c>
      <c r="E35" s="368">
        <v>22.189440993788818</v>
      </c>
      <c r="F35" s="368">
        <v>202.1</v>
      </c>
      <c r="G35" s="368">
        <v>369.9</v>
      </c>
      <c r="H35" s="369">
        <v>0.56599999999999995</v>
      </c>
      <c r="I35" s="369">
        <v>4.51</v>
      </c>
      <c r="J35" s="369">
        <v>9.91</v>
      </c>
      <c r="K35" s="370">
        <v>1.32</v>
      </c>
    </row>
    <row r="36" spans="2:11" ht="14.4" thickBot="1" x14ac:dyDescent="0.35"/>
    <row r="37" spans="2:11" x14ac:dyDescent="0.3">
      <c r="B37" s="358" t="s">
        <v>39</v>
      </c>
      <c r="G37" s="377" t="s">
        <v>40</v>
      </c>
      <c r="H37" s="378">
        <f>AVERAGE(H18:H35)</f>
        <v>1.3039444444444444</v>
      </c>
      <c r="I37" s="378">
        <f t="shared" ref="I37:J37" si="0">AVERAGE(I18:I35)</f>
        <v>8.9516666666666644</v>
      </c>
      <c r="J37" s="379">
        <f t="shared" si="0"/>
        <v>14.061111111111108</v>
      </c>
    </row>
    <row r="38" spans="2:11" x14ac:dyDescent="0.3">
      <c r="G38" s="367" t="s">
        <v>41</v>
      </c>
      <c r="H38" s="369">
        <f>MEDIAN(H18:H35)</f>
        <v>0.99500000000000011</v>
      </c>
      <c r="I38" s="369">
        <f t="shared" ref="I38:J38" si="1">MEDIAN(I18:I35)</f>
        <v>7.5</v>
      </c>
      <c r="J38" s="370">
        <f t="shared" si="1"/>
        <v>11.9</v>
      </c>
    </row>
    <row r="40" spans="2:11" x14ac:dyDescent="0.3">
      <c r="G40" s="389" t="s">
        <v>42</v>
      </c>
      <c r="H40" s="375">
        <f>'DCF Analysis'!E11/LBO!F64</f>
        <v>1.7605502128214998</v>
      </c>
      <c r="I40" s="376">
        <f>'DCF Analysis'!E11/LBO!F77</f>
        <v>7.0619107057445634</v>
      </c>
    </row>
  </sheetData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C117-63D0-4249-AAA5-34597E9E15D0}">
  <sheetPr>
    <pageSetUpPr fitToPage="1"/>
  </sheetPr>
  <dimension ref="B3:R50"/>
  <sheetViews>
    <sheetView showGridLines="0" zoomScaleNormal="100" workbookViewId="0"/>
  </sheetViews>
  <sheetFormatPr defaultColWidth="9" defaultRowHeight="13.8" x14ac:dyDescent="0.3"/>
  <cols>
    <col min="1" max="10" width="9" style="358"/>
    <col min="11" max="11" width="9.44140625" style="358" customWidth="1"/>
    <col min="12" max="16384" width="9" style="358"/>
  </cols>
  <sheetData>
    <row r="3" spans="2:13" x14ac:dyDescent="0.3">
      <c r="B3" s="387" t="s">
        <v>43</v>
      </c>
      <c r="C3" s="380"/>
      <c r="D3" s="380"/>
      <c r="E3" s="381"/>
      <c r="G3" s="387" t="s">
        <v>44</v>
      </c>
      <c r="H3" s="380"/>
      <c r="I3" s="381"/>
      <c r="K3" s="387" t="s">
        <v>45</v>
      </c>
      <c r="L3" s="380"/>
      <c r="M3" s="392"/>
    </row>
    <row r="4" spans="2:13" x14ac:dyDescent="0.3">
      <c r="B4" s="364"/>
      <c r="E4" s="382"/>
      <c r="G4" s="364"/>
      <c r="I4" s="382"/>
      <c r="K4" s="364" t="s">
        <v>46</v>
      </c>
      <c r="M4" s="393">
        <f>I29*(1+I6)/(I5-I6)</f>
        <v>1085.8676449572874</v>
      </c>
    </row>
    <row r="5" spans="2:13" x14ac:dyDescent="0.3">
      <c r="B5" s="364" t="s">
        <v>47</v>
      </c>
      <c r="E5" s="372">
        <v>234.67</v>
      </c>
      <c r="G5" s="364" t="s">
        <v>48</v>
      </c>
      <c r="I5" s="403">
        <v>0.13</v>
      </c>
      <c r="K5" s="364" t="s">
        <v>49</v>
      </c>
      <c r="M5" s="394">
        <f>I8*I9</f>
        <v>2041.7155150716058</v>
      </c>
    </row>
    <row r="6" spans="2:13" x14ac:dyDescent="0.3">
      <c r="B6" s="364" t="s">
        <v>50</v>
      </c>
      <c r="E6" s="372">
        <v>5</v>
      </c>
      <c r="G6" s="364" t="s">
        <v>51</v>
      </c>
      <c r="I6" s="403">
        <v>0.03</v>
      </c>
      <c r="K6" s="367"/>
      <c r="L6" s="386"/>
      <c r="M6" s="395">
        <f>AVERAGE(M4:M5)</f>
        <v>1563.7915800144465</v>
      </c>
    </row>
    <row r="7" spans="2:13" x14ac:dyDescent="0.3">
      <c r="B7" s="364"/>
      <c r="E7" s="372"/>
      <c r="G7" s="364" t="s">
        <v>52</v>
      </c>
      <c r="I7" s="382">
        <f>LBO!Q16</f>
        <v>2028</v>
      </c>
    </row>
    <row r="8" spans="2:13" x14ac:dyDescent="0.3">
      <c r="B8" s="364" t="s">
        <v>53</v>
      </c>
      <c r="E8" s="372">
        <f>E5*E6</f>
        <v>1173.3499999999999</v>
      </c>
      <c r="G8" s="364" t="s">
        <v>54</v>
      </c>
      <c r="I8" s="382">
        <f>LBO!Q17</f>
        <v>10</v>
      </c>
    </row>
    <row r="9" spans="2:13" ht="14.4" thickBot="1" x14ac:dyDescent="0.35">
      <c r="B9" s="364" t="s">
        <v>55</v>
      </c>
      <c r="E9" s="372">
        <f>LBO!D136*-1</f>
        <v>-188.0914406949</v>
      </c>
      <c r="G9" s="367" t="s">
        <v>56</v>
      </c>
      <c r="H9" s="386"/>
      <c r="I9" s="391">
        <f>LBO!R50</f>
        <v>204.17155150716059</v>
      </c>
    </row>
    <row r="10" spans="2:13" x14ac:dyDescent="0.3">
      <c r="B10" s="383" t="s">
        <v>57</v>
      </c>
      <c r="C10" s="384"/>
      <c r="D10" s="384"/>
      <c r="E10" s="385">
        <f>LBO!M136+LBO!M142</f>
        <v>0</v>
      </c>
    </row>
    <row r="11" spans="2:13" ht="14.4" thickBot="1" x14ac:dyDescent="0.35">
      <c r="B11" s="388" t="s">
        <v>4</v>
      </c>
      <c r="C11" s="386"/>
      <c r="D11" s="386"/>
      <c r="E11" s="374">
        <f>SUM(E8:E10)</f>
        <v>985.25855930509988</v>
      </c>
    </row>
    <row r="13" spans="2:13" x14ac:dyDescent="0.3">
      <c r="B13" s="358" t="s">
        <v>39</v>
      </c>
    </row>
    <row r="14" spans="2:13" x14ac:dyDescent="0.3">
      <c r="B14" s="358" t="s">
        <v>58</v>
      </c>
    </row>
    <row r="19" spans="2:18" x14ac:dyDescent="0.3">
      <c r="B19" s="359" t="s">
        <v>59</v>
      </c>
    </row>
    <row r="20" spans="2:18" ht="14.4" thickBot="1" x14ac:dyDescent="0.35"/>
    <row r="21" spans="2:18" x14ac:dyDescent="0.3">
      <c r="B21" s="387"/>
      <c r="C21" s="398"/>
      <c r="D21" s="398"/>
      <c r="E21" s="398">
        <v>1</v>
      </c>
      <c r="F21" s="398">
        <f>E21+1</f>
        <v>2</v>
      </c>
      <c r="G21" s="398">
        <f t="shared" ref="G21:N21" si="0">F21+1</f>
        <v>3</v>
      </c>
      <c r="H21" s="398">
        <f t="shared" si="0"/>
        <v>4</v>
      </c>
      <c r="I21" s="398">
        <f t="shared" si="0"/>
        <v>5</v>
      </c>
      <c r="J21" s="398">
        <f t="shared" si="0"/>
        <v>6</v>
      </c>
      <c r="K21" s="398">
        <f t="shared" si="0"/>
        <v>7</v>
      </c>
      <c r="L21" s="398">
        <f t="shared" si="0"/>
        <v>8</v>
      </c>
      <c r="M21" s="398">
        <f t="shared" si="0"/>
        <v>9</v>
      </c>
      <c r="N21" s="399">
        <f t="shared" si="0"/>
        <v>10</v>
      </c>
    </row>
    <row r="22" spans="2:18" x14ac:dyDescent="0.3">
      <c r="B22" s="400" t="s">
        <v>60</v>
      </c>
      <c r="C22" s="401"/>
      <c r="D22" s="401">
        <v>2023</v>
      </c>
      <c r="E22" s="401">
        <f>LBO!G168</f>
        <v>2024</v>
      </c>
      <c r="F22" s="401">
        <f>LBO!H168</f>
        <v>2025</v>
      </c>
      <c r="G22" s="401">
        <f>LBO!I168</f>
        <v>2026</v>
      </c>
      <c r="H22" s="401">
        <f>LBO!J168</f>
        <v>2027</v>
      </c>
      <c r="I22" s="401">
        <f>LBO!K168</f>
        <v>2028</v>
      </c>
      <c r="J22" s="401">
        <f>LBO!L168</f>
        <v>2029</v>
      </c>
      <c r="K22" s="401">
        <f>LBO!M168</f>
        <v>2030</v>
      </c>
      <c r="L22" s="401">
        <f>LBO!N168</f>
        <v>2031</v>
      </c>
      <c r="M22" s="401">
        <f>LBO!O168</f>
        <v>2032</v>
      </c>
      <c r="N22" s="402">
        <f>LBO!P168</f>
        <v>2033</v>
      </c>
      <c r="Q22" s="390"/>
      <c r="R22" s="390"/>
    </row>
    <row r="23" spans="2:18" x14ac:dyDescent="0.3">
      <c r="B23" s="364"/>
      <c r="N23" s="382"/>
      <c r="Q23" s="390"/>
      <c r="R23" s="390"/>
    </row>
    <row r="24" spans="2:18" x14ac:dyDescent="0.3">
      <c r="B24" s="364" t="s">
        <v>61</v>
      </c>
      <c r="D24" s="360"/>
      <c r="E24" s="360">
        <f>LBO!G177</f>
        <v>103.88175316658794</v>
      </c>
      <c r="F24" s="360">
        <f>LBO!H177</f>
        <v>116.47801315300168</v>
      </c>
      <c r="G24" s="360">
        <f>LBO!I177</f>
        <v>130.33389913805675</v>
      </c>
      <c r="H24" s="360">
        <f>LBO!J177</f>
        <v>152.00750215367998</v>
      </c>
      <c r="I24" s="360">
        <f>LBO!K177</f>
        <v>165.17613619387629</v>
      </c>
      <c r="J24" s="360">
        <f>LBO!L177</f>
        <v>179.39826095728844</v>
      </c>
      <c r="K24" s="360">
        <f>LBO!M177</f>
        <v>190.91818201565218</v>
      </c>
      <c r="L24" s="360">
        <f>LBO!N177</f>
        <v>204.21411228387353</v>
      </c>
      <c r="M24" s="360">
        <f>LBO!O177</f>
        <v>219.63905073989326</v>
      </c>
      <c r="N24" s="372">
        <f>LBO!P177</f>
        <v>230.85801386060731</v>
      </c>
    </row>
    <row r="25" spans="2:18" x14ac:dyDescent="0.3">
      <c r="B25" s="364" t="s">
        <v>62</v>
      </c>
      <c r="D25" s="360"/>
      <c r="E25" s="360">
        <f>E24*LBO!AA78*-1</f>
        <v>-27.009255823312866</v>
      </c>
      <c r="F25" s="360">
        <f>F24*LBO!AB78*-1</f>
        <v>-30.28428341978044</v>
      </c>
      <c r="G25" s="360">
        <f>G24*LBO!AC78*-1</f>
        <v>-33.886813775894758</v>
      </c>
      <c r="H25" s="360">
        <f>H24*LBO!AD78*-1</f>
        <v>-39.5219505599568</v>
      </c>
      <c r="I25" s="360">
        <f>I24*LBO!AE78*-1</f>
        <v>-42.94579541040784</v>
      </c>
      <c r="J25" s="360">
        <f>J24*LBO!AF78*-1</f>
        <v>-46.643547848894997</v>
      </c>
      <c r="K25" s="360">
        <f>K24*LBO!AG78*-1</f>
        <v>-49.638727324069571</v>
      </c>
      <c r="L25" s="360">
        <f>L24*LBO!AH78*-1</f>
        <v>-53.095669193807119</v>
      </c>
      <c r="M25" s="360">
        <f>M24*LBO!AI78*-1</f>
        <v>-57.106153192372254</v>
      </c>
      <c r="N25" s="372">
        <f>N24*LBO!AJ78*-1</f>
        <v>-60.023083603757904</v>
      </c>
    </row>
    <row r="26" spans="2:18" x14ac:dyDescent="0.3">
      <c r="B26" s="364" t="s">
        <v>63</v>
      </c>
      <c r="D26" s="360"/>
      <c r="E26" s="360">
        <f>LBO!G86</f>
        <v>37.662872542778871</v>
      </c>
      <c r="F26" s="360">
        <f>LBO!H86</f>
        <v>39.533075127301821</v>
      </c>
      <c r="G26" s="360">
        <f>LBO!I86</f>
        <v>41.590297970277071</v>
      </c>
      <c r="H26" s="360">
        <f>LBO!J86</f>
        <v>33.920230723320614</v>
      </c>
      <c r="I26" s="360">
        <f>LBO!K86</f>
        <v>35.875415313284293</v>
      </c>
      <c r="J26" s="360">
        <f>LBO!L86</f>
        <v>37.987014670445056</v>
      </c>
      <c r="K26" s="360">
        <f>LBO!M86</f>
        <v>39.697410149745281</v>
      </c>
      <c r="L26" s="360">
        <f>LBO!N86</f>
        <v>41.208259489793811</v>
      </c>
      <c r="M26" s="360">
        <f>LBO!O86</f>
        <v>38.054439622457423</v>
      </c>
      <c r="N26" s="372">
        <f>LBO!P86</f>
        <v>39.720151019860928</v>
      </c>
    </row>
    <row r="27" spans="2:18" x14ac:dyDescent="0.3">
      <c r="B27" s="364" t="s">
        <v>64</v>
      </c>
      <c r="D27" s="360"/>
      <c r="E27" s="360">
        <f>LBO!G82*-1</f>
        <v>-39.726994414913655</v>
      </c>
      <c r="F27" s="360">
        <f>LBO!H82*-1</f>
        <v>-41.69969385640502</v>
      </c>
      <c r="G27" s="360">
        <f>LBO!I82*-1</f>
        <v>-43.869663242045519</v>
      </c>
      <c r="H27" s="360">
        <f>LBO!J82*-1</f>
        <v>-35.779236301409171</v>
      </c>
      <c r="I27" s="360">
        <f>LBO!K82*-1</f>
        <v>-37.841575205521906</v>
      </c>
      <c r="J27" s="360">
        <f>LBO!L82*-1</f>
        <v>-40.068901221963657</v>
      </c>
      <c r="K27" s="360">
        <f>LBO!M82*-1</f>
        <v>-41.873035295281475</v>
      </c>
      <c r="L27" s="360">
        <f>LBO!N82*-1</f>
        <v>-43.466687060045551</v>
      </c>
      <c r="M27" s="360">
        <f>LBO!O82*-1</f>
        <v>-40.140021413047826</v>
      </c>
      <c r="N27" s="372">
        <f>LBO!P82*-1</f>
        <v>-41.897022483700219</v>
      </c>
    </row>
    <row r="28" spans="2:18" x14ac:dyDescent="0.3">
      <c r="B28" s="383" t="s">
        <v>65</v>
      </c>
      <c r="C28" s="384"/>
      <c r="D28" s="396"/>
      <c r="E28" s="396">
        <f>LBO!G282</f>
        <v>-39.239794359509546</v>
      </c>
      <c r="F28" s="396">
        <f>LBO!H282</f>
        <v>-14.19511181081095</v>
      </c>
      <c r="G28" s="396">
        <f>LBO!I282</f>
        <v>-15.614622991892105</v>
      </c>
      <c r="H28" s="396">
        <f>LBO!J282</f>
        <v>-13.740868232865019</v>
      </c>
      <c r="I28" s="396">
        <f>LBO!K282</f>
        <v>-14.840137691494178</v>
      </c>
      <c r="J28" s="396">
        <f>LBO!L282</f>
        <v>-16.027348706813768</v>
      </c>
      <c r="K28" s="396">
        <f>LBO!M282</f>
        <v>-12.982152452519145</v>
      </c>
      <c r="L28" s="396">
        <f>LBO!N282</f>
        <v>-11.467567999725208</v>
      </c>
      <c r="M28" s="396">
        <f>LBO!O282</f>
        <v>-12.040946399711498</v>
      </c>
      <c r="N28" s="385">
        <f>LBO!P282</f>
        <v>-12.642993719697149</v>
      </c>
    </row>
    <row r="29" spans="2:18" x14ac:dyDescent="0.3">
      <c r="B29" s="397" t="s">
        <v>66</v>
      </c>
      <c r="D29" s="360"/>
      <c r="E29" s="360">
        <f>SUM(E24:E28)</f>
        <v>35.568581111630749</v>
      </c>
      <c r="F29" s="360">
        <f t="shared" ref="F29:N29" si="1">SUM(F24:F28)</f>
        <v>69.831999193307098</v>
      </c>
      <c r="G29" s="360">
        <f t="shared" si="1"/>
        <v>78.553097098501453</v>
      </c>
      <c r="H29" s="360">
        <f t="shared" si="1"/>
        <v>96.885677782769619</v>
      </c>
      <c r="I29" s="360">
        <f t="shared" si="1"/>
        <v>105.42404319973666</v>
      </c>
      <c r="J29" s="360">
        <f t="shared" si="1"/>
        <v>114.64547785006107</v>
      </c>
      <c r="K29" s="360">
        <f t="shared" si="1"/>
        <v>126.12167709352725</v>
      </c>
      <c r="L29" s="360">
        <f t="shared" si="1"/>
        <v>137.39244752008946</v>
      </c>
      <c r="M29" s="360">
        <f t="shared" si="1"/>
        <v>148.40636935721909</v>
      </c>
      <c r="N29" s="372">
        <f t="shared" si="1"/>
        <v>156.01506507331297</v>
      </c>
    </row>
    <row r="30" spans="2:18" x14ac:dyDescent="0.3">
      <c r="B30" s="364"/>
      <c r="D30" s="360"/>
      <c r="E30" s="360"/>
      <c r="F30" s="360"/>
      <c r="G30" s="360"/>
      <c r="H30" s="360"/>
      <c r="I30" s="360"/>
      <c r="J30" s="360"/>
      <c r="K30" s="360"/>
      <c r="L30" s="360"/>
      <c r="M30" s="360"/>
      <c r="N30" s="372"/>
    </row>
    <row r="31" spans="2:18" x14ac:dyDescent="0.3">
      <c r="B31" s="364" t="s">
        <v>67</v>
      </c>
      <c r="D31" s="360">
        <f>E11*-1</f>
        <v>-985.25855930509988</v>
      </c>
      <c r="E31" s="360"/>
      <c r="F31" s="360"/>
      <c r="G31" s="360"/>
      <c r="H31" s="360"/>
      <c r="I31" s="360">
        <f>M6</f>
        <v>1563.7915800144465</v>
      </c>
      <c r="J31" s="360"/>
      <c r="K31" s="360"/>
      <c r="L31" s="360"/>
      <c r="M31" s="360"/>
      <c r="N31" s="372"/>
    </row>
    <row r="32" spans="2:18" x14ac:dyDescent="0.3">
      <c r="B32" s="364" t="s">
        <v>68</v>
      </c>
      <c r="D32" s="360"/>
      <c r="E32" s="360">
        <f>E29/(1+$I$5)^E21</f>
        <v>31.476620452770579</v>
      </c>
      <c r="F32" s="360">
        <f>F29/(1+$I$5)^F21</f>
        <v>54.688698561600056</v>
      </c>
      <c r="G32" s="360">
        <f>G29/(1+$I$5)^G21</f>
        <v>54.441236691532026</v>
      </c>
      <c r="H32" s="360">
        <f>H29/(1+$I$5)^H21</f>
        <v>59.42180062808233</v>
      </c>
      <c r="I32" s="360">
        <f>I29/(1+$I$5)^I21</f>
        <v>57.219946939892175</v>
      </c>
      <c r="J32" s="360"/>
      <c r="K32" s="360"/>
      <c r="L32" s="360"/>
      <c r="M32" s="360"/>
      <c r="N32" s="372"/>
    </row>
    <row r="33" spans="2:14" x14ac:dyDescent="0.3">
      <c r="B33" s="364" t="s">
        <v>69</v>
      </c>
      <c r="D33" s="360"/>
      <c r="E33" s="360"/>
      <c r="F33" s="360"/>
      <c r="G33" s="360"/>
      <c r="H33" s="360"/>
      <c r="I33" s="360">
        <f>I31/(1+$I$5)^I21</f>
        <v>848.76341788511752</v>
      </c>
      <c r="J33" s="360"/>
      <c r="K33" s="360"/>
      <c r="L33" s="360"/>
      <c r="M33" s="360"/>
      <c r="N33" s="372"/>
    </row>
    <row r="34" spans="2:14" x14ac:dyDescent="0.3">
      <c r="B34" s="364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72"/>
    </row>
    <row r="35" spans="2:14" ht="14.4" thickBot="1" x14ac:dyDescent="0.35">
      <c r="B35" s="405" t="s">
        <v>70</v>
      </c>
      <c r="C35" s="386"/>
      <c r="D35" s="368">
        <f>SUM(E32:N32)+SUM(E33:N33)</f>
        <v>1106.0117211589948</v>
      </c>
      <c r="E35" s="368"/>
      <c r="F35" s="368"/>
      <c r="G35" s="368"/>
      <c r="H35" s="368"/>
      <c r="I35" s="368"/>
      <c r="J35" s="368"/>
      <c r="K35" s="368"/>
      <c r="L35" s="368"/>
      <c r="M35" s="368"/>
      <c r="N35" s="374"/>
    </row>
    <row r="50" spans="11:11" x14ac:dyDescent="0.3">
      <c r="K50" s="360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54AC-AE1B-43A5-84B0-B1DB3CEFA15C}">
  <sheetPr>
    <pageSetUpPr fitToPage="1"/>
  </sheetPr>
  <dimension ref="B2:E9"/>
  <sheetViews>
    <sheetView showGridLines="0" zoomScaleNormal="100" workbookViewId="0">
      <selection activeCell="G29" sqref="G29"/>
    </sheetView>
  </sheetViews>
  <sheetFormatPr defaultColWidth="9" defaultRowHeight="13.8" x14ac:dyDescent="0.3"/>
  <cols>
    <col min="1" max="1" width="9" style="358"/>
    <col min="2" max="2" width="16.109375" style="358" bestFit="1" customWidth="1"/>
    <col min="3" max="3" width="16.33203125" style="358" bestFit="1" customWidth="1"/>
    <col min="4" max="4" width="10.88671875" style="358" bestFit="1" customWidth="1"/>
    <col min="5" max="5" width="15" style="358" bestFit="1" customWidth="1"/>
    <col min="6" max="16384" width="9" style="358"/>
  </cols>
  <sheetData>
    <row r="2" spans="2:5" ht="14.4" thickBot="1" x14ac:dyDescent="0.35"/>
    <row r="3" spans="2:5" x14ac:dyDescent="0.3">
      <c r="B3" s="404" t="s">
        <v>71</v>
      </c>
      <c r="C3" s="380"/>
      <c r="D3" s="380"/>
      <c r="E3" s="381"/>
    </row>
    <row r="4" spans="2:5" x14ac:dyDescent="0.3">
      <c r="B4" s="364"/>
      <c r="E4" s="382"/>
    </row>
    <row r="5" spans="2:5" x14ac:dyDescent="0.3">
      <c r="B5" s="364" t="s">
        <v>72</v>
      </c>
      <c r="C5" s="358" t="s">
        <v>73</v>
      </c>
      <c r="D5" s="358" t="s">
        <v>74</v>
      </c>
      <c r="E5" s="382" t="s">
        <v>75</v>
      </c>
    </row>
    <row r="6" spans="2:5" x14ac:dyDescent="0.3">
      <c r="B6" s="364" t="s">
        <v>76</v>
      </c>
      <c r="C6" s="360">
        <v>1046.3795851705199</v>
      </c>
      <c r="D6" s="360">
        <v>1171.4000000000001</v>
      </c>
      <c r="E6" s="372">
        <v>811.90855930509997</v>
      </c>
    </row>
    <row r="7" spans="2:5" x14ac:dyDescent="0.3">
      <c r="B7" s="364" t="s">
        <v>77</v>
      </c>
      <c r="C7" s="360">
        <v>1046.3795851705199</v>
      </c>
      <c r="D7" s="360">
        <v>1171.4000000000001</v>
      </c>
      <c r="E7" s="372">
        <v>811.90855930509997</v>
      </c>
    </row>
    <row r="8" spans="2:5" x14ac:dyDescent="0.3">
      <c r="B8" s="364" t="s">
        <v>78</v>
      </c>
      <c r="C8" s="360">
        <v>1248.9121671001913</v>
      </c>
      <c r="D8" s="360">
        <v>1477.9</v>
      </c>
      <c r="E8" s="372">
        <v>1046.9085593051</v>
      </c>
    </row>
    <row r="9" spans="2:5" ht="14.4" thickBot="1" x14ac:dyDescent="0.35">
      <c r="B9" s="367" t="s">
        <v>79</v>
      </c>
      <c r="C9" s="368">
        <v>1248.9121671001913</v>
      </c>
      <c r="D9" s="368">
        <v>1477.9</v>
      </c>
      <c r="E9" s="374">
        <v>1046.9085593051</v>
      </c>
    </row>
  </sheetData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7A45-0DFB-41C2-9B1E-44A63CFC38C6}">
  <sheetPr>
    <pageSetUpPr fitToPage="1"/>
  </sheetPr>
  <dimension ref="B2:AR871"/>
  <sheetViews>
    <sheetView showGridLines="0" tabSelected="1" zoomScaleNormal="100" workbookViewId="0">
      <selection activeCell="G459" sqref="G459"/>
    </sheetView>
  </sheetViews>
  <sheetFormatPr defaultColWidth="8.88671875" defaultRowHeight="14.4" x14ac:dyDescent="0.3"/>
  <cols>
    <col min="1" max="1" width="9" customWidth="1"/>
    <col min="2" max="2" width="26.33203125" bestFit="1" customWidth="1"/>
    <col min="3" max="3" width="17.44140625" bestFit="1" customWidth="1"/>
    <col min="4" max="18" width="9.44140625" customWidth="1"/>
    <col min="19" max="19" width="8.44140625" customWidth="1"/>
    <col min="20" max="20" width="7.88671875" bestFit="1" customWidth="1"/>
    <col min="22" max="22" width="25.109375" customWidth="1"/>
    <col min="23" max="23" width="9.109375" bestFit="1" customWidth="1"/>
    <col min="25" max="25" width="11.44140625" bestFit="1" customWidth="1"/>
    <col min="26" max="38" width="9.109375" bestFit="1" customWidth="1"/>
  </cols>
  <sheetData>
    <row r="2" spans="2:35" ht="18" customHeight="1" x14ac:dyDescent="0.35">
      <c r="B2" s="416" t="str">
        <f>UPPER(Y8)</f>
        <v>HERMLE GROUP</v>
      </c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416"/>
      <c r="Q2" s="416"/>
      <c r="R2" s="416"/>
    </row>
    <row r="3" spans="2:35" ht="15.6" x14ac:dyDescent="0.3">
      <c r="B3" s="417" t="str">
        <f>UPPER(Y9&amp;" Analysis")</f>
        <v xml:space="preserve"> LEVERAGED BUYOUT ANALYSIS</v>
      </c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</row>
    <row r="4" spans="2:35" x14ac:dyDescent="0.3">
      <c r="B4" s="406" t="str">
        <f>"Prepared by: "&amp;Y10</f>
        <v>Prepared by: Team CCD</v>
      </c>
      <c r="C4" s="406"/>
      <c r="D4" s="406"/>
      <c r="E4" s="406"/>
      <c r="F4" s="406"/>
      <c r="G4" s="406"/>
      <c r="H4" s="406"/>
      <c r="I4" s="406"/>
      <c r="J4" s="406"/>
      <c r="K4" s="406"/>
      <c r="L4" s="406"/>
      <c r="M4" s="406"/>
      <c r="N4" s="406"/>
      <c r="O4" s="406"/>
      <c r="P4" s="406"/>
      <c r="Q4" s="406"/>
      <c r="R4" s="406"/>
    </row>
    <row r="5" spans="2:35" x14ac:dyDescent="0.3">
      <c r="B5" s="407" t="s">
        <v>80</v>
      </c>
      <c r="C5" s="407"/>
      <c r="D5" s="407"/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07"/>
      <c r="P5" s="407"/>
      <c r="Q5" s="407"/>
      <c r="R5" s="407"/>
    </row>
    <row r="6" spans="2:35" x14ac:dyDescent="0.3">
      <c r="B6" s="55" t="s">
        <v>81</v>
      </c>
      <c r="C6" s="55" t="str">
        <f>CHOOSE(AD8,AE31,AE32,AE33)</f>
        <v>Management Case</v>
      </c>
    </row>
    <row r="7" spans="2:35" ht="15" thickBot="1" x14ac:dyDescent="0.35">
      <c r="B7" s="55" t="s">
        <v>82</v>
      </c>
      <c r="C7" s="55" t="str">
        <f>CHOOSE(AD9,Z29,AA29,AB29)</f>
        <v>Base</v>
      </c>
      <c r="V7" s="410" t="s">
        <v>83</v>
      </c>
      <c r="W7" s="410"/>
      <c r="AA7" s="77" t="s">
        <v>84</v>
      </c>
      <c r="AB7" s="77"/>
      <c r="AC7" s="77"/>
      <c r="AD7" s="77"/>
      <c r="AF7" s="410" t="s">
        <v>85</v>
      </c>
      <c r="AG7" s="410"/>
    </row>
    <row r="8" spans="2:35" ht="15" thickBot="1" x14ac:dyDescent="0.35">
      <c r="V8" s="3" t="s">
        <v>86</v>
      </c>
      <c r="W8" s="9"/>
      <c r="X8" s="142"/>
      <c r="Y8" s="4" t="s">
        <v>87</v>
      </c>
      <c r="AA8" t="s">
        <v>88</v>
      </c>
      <c r="AD8" s="1">
        <v>1</v>
      </c>
      <c r="AG8" t="s">
        <v>89</v>
      </c>
      <c r="AI8" s="1">
        <v>365</v>
      </c>
    </row>
    <row r="9" spans="2:35" x14ac:dyDescent="0.3">
      <c r="B9" s="408" t="str">
        <f>"SOURCES AND USES OF FUNDS AT CLOSING - ASSUMED TO BE "&amp;UPPER((TEXT(Y14,"mmmm dd, yyyy")))</f>
        <v>SOURCES AND USES OF FUNDS AT CLOSING - ASSUMED TO BE DECEMBER 31, 2023</v>
      </c>
      <c r="C9" s="408"/>
      <c r="D9" s="408"/>
      <c r="E9" s="408"/>
      <c r="F9" s="408"/>
      <c r="G9" s="408"/>
      <c r="H9" s="408"/>
      <c r="I9" s="408"/>
      <c r="J9" s="408"/>
      <c r="K9" s="408"/>
      <c r="N9" s="408" t="s">
        <v>90</v>
      </c>
      <c r="O9" s="408"/>
      <c r="P9" s="408"/>
      <c r="Q9" s="408"/>
      <c r="V9" s="5" t="s">
        <v>91</v>
      </c>
      <c r="X9" s="170"/>
      <c r="Y9" s="6" t="s">
        <v>92</v>
      </c>
      <c r="AA9" t="s">
        <v>93</v>
      </c>
      <c r="AD9" s="1">
        <v>1</v>
      </c>
    </row>
    <row r="10" spans="2:35" x14ac:dyDescent="0.3">
      <c r="B10" s="75" t="s">
        <v>94</v>
      </c>
      <c r="F10" s="75" t="s">
        <v>95</v>
      </c>
      <c r="G10" s="51"/>
      <c r="H10" s="51"/>
      <c r="I10" s="51"/>
      <c r="J10" s="67" t="s">
        <v>96</v>
      </c>
      <c r="K10" s="12" t="s">
        <v>97</v>
      </c>
      <c r="N10" t="s">
        <v>98</v>
      </c>
      <c r="Q10" s="115" t="s">
        <v>99</v>
      </c>
      <c r="V10" s="5" t="s">
        <v>100</v>
      </c>
      <c r="X10" s="170"/>
      <c r="Y10" s="6" t="s">
        <v>101</v>
      </c>
      <c r="AA10" t="s">
        <v>102</v>
      </c>
      <c r="AD10" s="112">
        <v>0</v>
      </c>
    </row>
    <row r="11" spans="2:35" x14ac:dyDescent="0.3">
      <c r="B11" s="51" t="str">
        <f>V44</f>
        <v>Equity Purchase Price</v>
      </c>
      <c r="D11" s="210">
        <f>VLOOKUP(1,$Y$43:$AB$50,$AD$9+1)</f>
        <v>1560</v>
      </c>
      <c r="F11" s="51" t="str">
        <f>V31</f>
        <v>Excess Cash in Company</v>
      </c>
      <c r="G11" s="51"/>
      <c r="H11" s="51"/>
      <c r="I11" s="213">
        <f>VLOOKUP(1,$Y$30:$AB$38,$AD$9+1)</f>
        <v>80</v>
      </c>
      <c r="J11" s="68">
        <f>I11/$I$24</f>
        <v>4.8744820862783325E-2</v>
      </c>
      <c r="K11" s="217">
        <v>0</v>
      </c>
      <c r="N11" s="22" t="str">
        <f>_xlfn.CONCAT(M42," EBITDA")</f>
        <v>2023 EBITDA</v>
      </c>
      <c r="Q11" s="171">
        <f>(D11+M136+M148+M155-D136-D137)/M50</f>
        <v>9.8332520441054712</v>
      </c>
      <c r="V11" s="5" t="s">
        <v>103</v>
      </c>
      <c r="X11" s="170"/>
      <c r="Y11" s="6" t="s">
        <v>104</v>
      </c>
    </row>
    <row r="12" spans="2:35" x14ac:dyDescent="0.3">
      <c r="B12" s="51" t="str">
        <f>V45</f>
        <v>Transaction Expenses</v>
      </c>
      <c r="D12" s="211">
        <f>VLOOKUP(2,$Y$43:$AB$50,$AD$9+1)</f>
        <v>31.2</v>
      </c>
      <c r="F12" s="51"/>
      <c r="G12" s="51"/>
      <c r="H12" s="51"/>
      <c r="I12" s="213"/>
      <c r="J12" s="68"/>
      <c r="K12" s="217"/>
      <c r="N12" s="22" t="str">
        <f>_xlfn.CONCAT(N42," EBITDA")</f>
        <v>2024 EBITDA</v>
      </c>
      <c r="Q12" s="171">
        <f>(D11+M136+M148+M155-D136-D137)/N50</f>
        <v>9.4833726806253438</v>
      </c>
      <c r="V12" s="5" t="s">
        <v>105</v>
      </c>
      <c r="X12" s="170"/>
      <c r="Y12" s="101">
        <v>2024</v>
      </c>
    </row>
    <row r="13" spans="2:35" ht="15" thickBot="1" x14ac:dyDescent="0.35">
      <c r="B13" s="69" t="str">
        <f>V46</f>
        <v>Total Equity Purchase Price</v>
      </c>
      <c r="C13" s="70"/>
      <c r="D13" s="212">
        <f>SUM(D11:D12)</f>
        <v>1591.2</v>
      </c>
      <c r="F13" s="51" t="str">
        <f>V32</f>
        <v>Revolver</v>
      </c>
      <c r="G13" s="51"/>
      <c r="H13" s="51"/>
      <c r="I13" s="213">
        <f>VLOOKUP(2,$Y$30:$AB$38,$AD$9+1)</f>
        <v>100</v>
      </c>
      <c r="J13" s="68">
        <f t="shared" ref="J13:J18" si="0">I13/$I$24</f>
        <v>6.093102607847916E-2</v>
      </c>
      <c r="K13" s="217">
        <v>0</v>
      </c>
      <c r="V13" s="5" t="s">
        <v>106</v>
      </c>
      <c r="X13" s="170"/>
      <c r="Y13" s="6" t="s">
        <v>107</v>
      </c>
      <c r="AA13" s="77" t="s">
        <v>108</v>
      </c>
    </row>
    <row r="14" spans="2:35" ht="15" thickBot="1" x14ac:dyDescent="0.35">
      <c r="B14" s="51"/>
      <c r="D14" s="210"/>
      <c r="F14" s="51" t="str">
        <f>V33</f>
        <v>Term Loan</v>
      </c>
      <c r="G14" s="51"/>
      <c r="H14" s="51"/>
      <c r="I14" s="213">
        <f>VLOOKUP(3,$Y$30:$AB$38,$AD$9+1)</f>
        <v>200</v>
      </c>
      <c r="J14" s="68">
        <f t="shared" si="0"/>
        <v>0.12186205215695832</v>
      </c>
      <c r="K14" s="217">
        <v>0</v>
      </c>
      <c r="V14" s="5" t="s">
        <v>109</v>
      </c>
      <c r="X14" s="170"/>
      <c r="Y14" s="96">
        <v>45291</v>
      </c>
      <c r="AA14" s="345" t="s">
        <v>110</v>
      </c>
      <c r="AB14" s="346"/>
      <c r="AC14" s="346"/>
      <c r="AD14" s="346"/>
      <c r="AE14" s="346"/>
      <c r="AF14" s="346"/>
      <c r="AG14" s="347">
        <v>0</v>
      </c>
    </row>
    <row r="15" spans="2:35" x14ac:dyDescent="0.3">
      <c r="B15" s="51" t="str">
        <f>V47</f>
        <v>Refinancings</v>
      </c>
      <c r="D15" s="210">
        <f>VLOOKUP(4,$Y$43:$AB$50,$AD$9+1)</f>
        <v>0</v>
      </c>
      <c r="F15" s="51" t="str">
        <f>V34</f>
        <v>Senior Unsecured Debt</v>
      </c>
      <c r="G15" s="51"/>
      <c r="H15" s="51"/>
      <c r="I15" s="213">
        <f>VLOOKUP(4,$Y$30:$AB$38,$AD$9+1)</f>
        <v>200</v>
      </c>
      <c r="J15" s="68">
        <f t="shared" si="0"/>
        <v>0.12186205215695832</v>
      </c>
      <c r="K15" s="133">
        <f>P539</f>
        <v>3.4389140271493215E-2</v>
      </c>
      <c r="N15" s="408" t="s">
        <v>111</v>
      </c>
      <c r="O15" s="408"/>
      <c r="P15" s="408"/>
      <c r="Q15" s="408"/>
      <c r="V15" s="5" t="s">
        <v>112</v>
      </c>
      <c r="X15" s="170"/>
      <c r="Y15" s="101">
        <v>15</v>
      </c>
      <c r="AA15" s="348" t="s">
        <v>113</v>
      </c>
      <c r="AB15" s="70"/>
      <c r="AC15" s="70"/>
      <c r="AD15" s="70"/>
      <c r="AE15" s="70"/>
      <c r="AF15" s="70"/>
      <c r="AG15" s="349">
        <v>0.21</v>
      </c>
    </row>
    <row r="16" spans="2:35" x14ac:dyDescent="0.3">
      <c r="B16" s="51" t="str">
        <f>V48</f>
        <v>Prepayment Penalties</v>
      </c>
      <c r="D16" s="210">
        <f>VLOOKUP(5,$Y$43:$AB$50,$AD$9+1)</f>
        <v>0</v>
      </c>
      <c r="F16" s="51" t="str">
        <f>V35</f>
        <v>Subordinated Debt</v>
      </c>
      <c r="G16" s="51"/>
      <c r="H16" s="51"/>
      <c r="I16" s="213">
        <f>VLOOKUP(5,$Y$30:$AB$38,$AD$9+1)</f>
        <v>318.84000000000003</v>
      </c>
      <c r="J16" s="68">
        <f t="shared" si="0"/>
        <v>0.19427248354862298</v>
      </c>
      <c r="K16" s="133">
        <f>P540</f>
        <v>3.4389140271493215E-2</v>
      </c>
      <c r="N16" t="s">
        <v>114</v>
      </c>
      <c r="Q16" s="218">
        <v>2028</v>
      </c>
      <c r="V16" s="5" t="s">
        <v>115</v>
      </c>
      <c r="X16" s="170"/>
      <c r="Y16" s="56">
        <v>0.7</v>
      </c>
      <c r="AA16" s="5" t="s">
        <v>116</v>
      </c>
      <c r="AG16" s="350">
        <v>0.8</v>
      </c>
    </row>
    <row r="17" spans="2:44" x14ac:dyDescent="0.3">
      <c r="B17" s="51" t="str">
        <f>V49</f>
        <v>Cash for WC</v>
      </c>
      <c r="D17" s="210">
        <f>VLOOKUP(6,$Y$43:$AB$50,$AD$9+1)</f>
        <v>50</v>
      </c>
      <c r="F17" s="51" t="str">
        <f>V36</f>
        <v>Mezzanine</v>
      </c>
      <c r="G17" s="51"/>
      <c r="H17" s="51"/>
      <c r="I17" s="214">
        <f>VLOOKUP(6,$Y$30:$AB$38,$AD$9+1)</f>
        <v>100</v>
      </c>
      <c r="J17" s="74">
        <f t="shared" si="0"/>
        <v>6.093102607847916E-2</v>
      </c>
      <c r="K17" s="133">
        <f>P541</f>
        <v>2.5791855203619908E-2</v>
      </c>
      <c r="N17" t="s">
        <v>117</v>
      </c>
      <c r="Q17" s="171">
        <f>Y18</f>
        <v>10</v>
      </c>
      <c r="V17" s="5" t="s">
        <v>118</v>
      </c>
      <c r="X17" s="170"/>
      <c r="Y17" s="101">
        <v>7</v>
      </c>
      <c r="AA17" s="5" t="s">
        <v>119</v>
      </c>
      <c r="AG17" s="16">
        <v>2022</v>
      </c>
    </row>
    <row r="18" spans="2:44" x14ac:dyDescent="0.3">
      <c r="B18" s="51"/>
      <c r="D18" s="210"/>
      <c r="F18" s="69" t="s">
        <v>57</v>
      </c>
      <c r="G18" s="70"/>
      <c r="H18" s="72"/>
      <c r="I18" s="215">
        <f>SUM(I13:I17)</f>
        <v>918.84</v>
      </c>
      <c r="J18" s="172">
        <f t="shared" si="0"/>
        <v>0.55985864001949792</v>
      </c>
      <c r="K18" s="73">
        <f>SUM(K11:K17)</f>
        <v>9.4570135746606332E-2</v>
      </c>
      <c r="V18" s="5" t="s">
        <v>120</v>
      </c>
      <c r="X18" s="170"/>
      <c r="Y18" s="173">
        <v>10</v>
      </c>
      <c r="AA18" s="108" t="s">
        <v>121</v>
      </c>
      <c r="AB18" s="351"/>
      <c r="AC18" s="351"/>
      <c r="AD18" s="351"/>
      <c r="AE18" s="351"/>
      <c r="AF18" s="351"/>
      <c r="AG18" s="352">
        <v>0.2</v>
      </c>
    </row>
    <row r="19" spans="2:44" x14ac:dyDescent="0.3">
      <c r="B19" s="54" t="str">
        <f>V50</f>
        <v>Total Uses</v>
      </c>
      <c r="D19" s="210">
        <f>SUM(D13,D15:D17)</f>
        <v>1641.2</v>
      </c>
      <c r="F19" s="51"/>
      <c r="G19" s="51"/>
      <c r="H19" s="51"/>
      <c r="I19" s="213"/>
      <c r="J19" s="68"/>
      <c r="N19" s="12" t="s">
        <v>122</v>
      </c>
      <c r="V19" s="5" t="s">
        <v>123</v>
      </c>
      <c r="X19" s="170"/>
      <c r="Y19" s="173">
        <v>0.5</v>
      </c>
      <c r="AA19" s="5" t="s">
        <v>124</v>
      </c>
      <c r="AG19" s="16">
        <v>2022</v>
      </c>
    </row>
    <row r="20" spans="2:44" x14ac:dyDescent="0.3">
      <c r="F20" s="51" t="str">
        <f>V37</f>
        <v>Preferred Stock</v>
      </c>
      <c r="H20" s="51"/>
      <c r="I20" s="213">
        <f>VLOOKUP(7,$Y$30:$AB$38,$AD$9+1)</f>
        <v>150</v>
      </c>
      <c r="J20" s="68">
        <f>I20/$I$24</f>
        <v>9.1396539117718736E-2</v>
      </c>
      <c r="K20" s="133">
        <f>P542</f>
        <v>3.0090497737556565E-2</v>
      </c>
      <c r="N20" t="str">
        <f>_xlfn.CONCAT("Promote to ",Y11)</f>
        <v>Promote to Triton Partners</v>
      </c>
      <c r="Q20" s="219">
        <f>LBO!Z117</f>
        <v>0</v>
      </c>
      <c r="V20" s="5" t="s">
        <v>125</v>
      </c>
      <c r="X20" s="170"/>
      <c r="Y20" s="174">
        <v>2.5000000000000001E-2</v>
      </c>
      <c r="AA20" s="108" t="s">
        <v>126</v>
      </c>
      <c r="AB20" s="351"/>
      <c r="AC20" s="351"/>
      <c r="AD20" s="351"/>
      <c r="AE20" s="351"/>
      <c r="AF20" s="351"/>
      <c r="AG20" s="352">
        <v>0.3</v>
      </c>
    </row>
    <row r="21" spans="2:44" ht="15" thickBot="1" x14ac:dyDescent="0.35">
      <c r="F21" s="51" t="str">
        <f>V38</f>
        <v>Common Equity</v>
      </c>
      <c r="G21" s="51"/>
      <c r="H21" s="51"/>
      <c r="I21" s="214">
        <f>VLOOKUP(8,$Y$30:$AB$38,$AD$9+1)</f>
        <v>492.36</v>
      </c>
      <c r="J21" s="74">
        <f>I21/$I$24</f>
        <v>0.3</v>
      </c>
      <c r="K21" s="133">
        <f>P538</f>
        <v>0.8753393665158371</v>
      </c>
      <c r="N21" t="str">
        <f>_xlfn.CONCAT("Promote to ",U118)</f>
        <v>Promote to XYZ CP</v>
      </c>
      <c r="Q21" s="219">
        <f>LBO!Z118</f>
        <v>0</v>
      </c>
      <c r="V21" s="7" t="s">
        <v>127</v>
      </c>
      <c r="W21" s="18"/>
      <c r="X21" s="143"/>
      <c r="Y21" s="175">
        <v>0.01</v>
      </c>
      <c r="AA21" s="7" t="s">
        <v>128</v>
      </c>
      <c r="AB21" s="18"/>
      <c r="AC21" s="18"/>
      <c r="AD21" s="18"/>
      <c r="AE21" s="18"/>
      <c r="AF21" s="18"/>
      <c r="AG21" s="353">
        <v>0.8</v>
      </c>
    </row>
    <row r="22" spans="2:44" x14ac:dyDescent="0.3">
      <c r="F22" s="69" t="s">
        <v>129</v>
      </c>
      <c r="G22" s="70"/>
      <c r="H22" s="72"/>
      <c r="I22" s="215">
        <f>SUM(I20:I21)</f>
        <v>642.36</v>
      </c>
      <c r="J22" s="172">
        <f>I22/$I$24</f>
        <v>0.39139653911771877</v>
      </c>
      <c r="K22" s="73">
        <f>SUM(K20:K21)</f>
        <v>0.90542986425339367</v>
      </c>
      <c r="N22" t="str">
        <f>_xlfn.CONCAT("Promote to ",V119)</f>
        <v>Promote to Management</v>
      </c>
      <c r="Q22" s="220">
        <f>LBO!Z119</f>
        <v>0.05</v>
      </c>
      <c r="X22" s="176"/>
      <c r="Y22" s="177"/>
    </row>
    <row r="23" spans="2:44" x14ac:dyDescent="0.3">
      <c r="F23" s="22"/>
      <c r="I23" s="216"/>
      <c r="J23" s="68"/>
      <c r="N23" s="22" t="s">
        <v>130</v>
      </c>
      <c r="Q23" s="219">
        <f>SUM(Q20:Q22)</f>
        <v>0.05</v>
      </c>
    </row>
    <row r="24" spans="2:44" x14ac:dyDescent="0.3">
      <c r="F24" s="54" t="s">
        <v>131</v>
      </c>
      <c r="H24" s="51"/>
      <c r="I24" s="213">
        <f>I11+I18+I22</f>
        <v>1641.2</v>
      </c>
      <c r="J24" s="68">
        <f>I24/$I$24</f>
        <v>1</v>
      </c>
      <c r="K24" s="133">
        <f>K18+K22</f>
        <v>1</v>
      </c>
    </row>
    <row r="25" spans="2:44" ht="15" thickBot="1" x14ac:dyDescent="0.35"/>
    <row r="26" spans="2:44" ht="15" thickBot="1" x14ac:dyDescent="0.35">
      <c r="B26" s="414" t="s">
        <v>132</v>
      </c>
      <c r="C26" s="414"/>
      <c r="D26" s="414"/>
      <c r="E26" s="414"/>
      <c r="F26" s="414"/>
      <c r="G26" s="414"/>
      <c r="H26" s="414"/>
      <c r="I26" s="414"/>
      <c r="K26" s="414" t="s">
        <v>133</v>
      </c>
      <c r="L26" s="414"/>
      <c r="M26" s="414"/>
      <c r="N26" s="414"/>
      <c r="O26" s="414"/>
      <c r="P26" s="414"/>
      <c r="Q26" s="414"/>
      <c r="R26" s="414"/>
    </row>
    <row r="27" spans="2:44" ht="15" thickBot="1" x14ac:dyDescent="0.35">
      <c r="K27" s="419" t="str">
        <f>"IRR to "&amp;$Y$11</f>
        <v>IRR to Triton Partners</v>
      </c>
      <c r="L27" s="419"/>
      <c r="M27" s="419"/>
      <c r="N27" s="419"/>
      <c r="O27" s="419"/>
      <c r="P27" s="419"/>
      <c r="Q27" s="419"/>
      <c r="R27" s="419"/>
      <c r="V27" s="420" t="s">
        <v>134</v>
      </c>
      <c r="W27" s="421"/>
      <c r="X27" s="421"/>
      <c r="Y27" s="421"/>
      <c r="Z27" s="421"/>
      <c r="AA27" s="421"/>
      <c r="AB27" s="422"/>
      <c r="AD27" s="423" t="s">
        <v>135</v>
      </c>
      <c r="AE27" s="424"/>
      <c r="AF27" s="424"/>
      <c r="AG27" s="424"/>
      <c r="AH27" s="424"/>
      <c r="AI27" s="424"/>
      <c r="AJ27" s="424"/>
      <c r="AK27" s="424"/>
      <c r="AL27" s="424"/>
      <c r="AM27" s="424"/>
      <c r="AN27" s="424"/>
      <c r="AO27" s="424"/>
      <c r="AP27" s="424"/>
      <c r="AQ27" s="424"/>
      <c r="AR27" s="425"/>
    </row>
    <row r="28" spans="2:44" ht="15" thickBot="1" x14ac:dyDescent="0.35">
      <c r="D28" s="28" t="s">
        <v>136</v>
      </c>
      <c r="E28" s="411" t="str">
        <f>"Projected Fiscal Years Ending "&amp;$Y$13</f>
        <v>Projected Fiscal Years Ending December 31,</v>
      </c>
      <c r="F28" s="408"/>
      <c r="G28" s="408"/>
      <c r="H28" s="408"/>
      <c r="I28" s="408"/>
      <c r="K28" s="70"/>
      <c r="L28" s="207" t="s">
        <v>137</v>
      </c>
      <c r="M28" s="70"/>
      <c r="N28" s="228">
        <f>H631</f>
        <v>0.86877828054298645</v>
      </c>
      <c r="O28" s="228">
        <f>I631</f>
        <v>0.84705882352941175</v>
      </c>
      <c r="P28" s="229">
        <f>J631</f>
        <v>0.82533936651583706</v>
      </c>
      <c r="Q28" s="228">
        <f>K631</f>
        <v>0.80361990950226247</v>
      </c>
      <c r="R28" s="228">
        <f>L631</f>
        <v>0.78190045248868778</v>
      </c>
      <c r="V28" s="53"/>
    </row>
    <row r="29" spans="2:44" x14ac:dyDescent="0.3">
      <c r="D29" s="145">
        <f>E29-1</f>
        <v>2023</v>
      </c>
      <c r="E29" s="146">
        <f>$Y$12</f>
        <v>2024</v>
      </c>
      <c r="F29" s="147">
        <f>E29+1</f>
        <v>2025</v>
      </c>
      <c r="G29" s="147">
        <f t="shared" ref="G29" si="1">F29+1</f>
        <v>2026</v>
      </c>
      <c r="H29" s="147">
        <f t="shared" ref="H29" si="2">G29+1</f>
        <v>2027</v>
      </c>
      <c r="I29" s="147">
        <f t="shared" ref="I29" si="3">H29+1</f>
        <v>2028</v>
      </c>
      <c r="L29" s="206" t="s">
        <v>138</v>
      </c>
      <c r="N29" s="230">
        <f>H629</f>
        <v>0</v>
      </c>
      <c r="O29" s="230">
        <f>I629</f>
        <v>2.5000000000000001E-2</v>
      </c>
      <c r="P29" s="231">
        <f>J629</f>
        <v>0.05</v>
      </c>
      <c r="Q29" s="230">
        <f>K629</f>
        <v>7.5000000000000011E-2</v>
      </c>
      <c r="R29" s="230">
        <f>L629</f>
        <v>0.1</v>
      </c>
      <c r="V29" s="57"/>
      <c r="W29" s="9"/>
      <c r="X29" s="9"/>
      <c r="Y29" s="9"/>
      <c r="Z29" s="58" t="s">
        <v>139</v>
      </c>
      <c r="AA29" s="58" t="s">
        <v>140</v>
      </c>
      <c r="AB29" s="59" t="s">
        <v>141</v>
      </c>
      <c r="AD29" s="8" t="s">
        <v>142</v>
      </c>
      <c r="AE29" s="9"/>
      <c r="AF29" s="9"/>
      <c r="AG29" s="9"/>
      <c r="AH29" s="9"/>
      <c r="AI29" s="135">
        <v>1</v>
      </c>
      <c r="AJ29" s="135">
        <v>2</v>
      </c>
      <c r="AK29" s="135">
        <v>3</v>
      </c>
      <c r="AL29" s="135">
        <v>4</v>
      </c>
      <c r="AM29" s="135">
        <v>5</v>
      </c>
      <c r="AN29" s="135">
        <v>6</v>
      </c>
      <c r="AO29" s="135">
        <v>7</v>
      </c>
      <c r="AP29" s="135">
        <v>8</v>
      </c>
      <c r="AQ29" s="135">
        <v>9</v>
      </c>
      <c r="AR29" s="136">
        <v>10</v>
      </c>
    </row>
    <row r="30" spans="2:44" x14ac:dyDescent="0.3">
      <c r="B30" t="s">
        <v>143</v>
      </c>
      <c r="P30" s="183"/>
      <c r="V30" s="60" t="s">
        <v>144</v>
      </c>
      <c r="Z30">
        <v>1</v>
      </c>
      <c r="AA30">
        <f>Z30+1</f>
        <v>2</v>
      </c>
      <c r="AB30" s="16">
        <f>AA30+1</f>
        <v>3</v>
      </c>
      <c r="AD30" s="11" t="s">
        <v>145</v>
      </c>
      <c r="AE30" s="12" t="s">
        <v>146</v>
      </c>
      <c r="AH30" s="12" t="s">
        <v>147</v>
      </c>
      <c r="AI30" s="77">
        <f>Y12</f>
        <v>2024</v>
      </c>
      <c r="AJ30" s="77">
        <f t="shared" ref="AJ30:AR30" si="4">AI30+1</f>
        <v>2025</v>
      </c>
      <c r="AK30" s="77">
        <f t="shared" si="4"/>
        <v>2026</v>
      </c>
      <c r="AL30" s="77">
        <f t="shared" si="4"/>
        <v>2027</v>
      </c>
      <c r="AM30" s="77">
        <f t="shared" si="4"/>
        <v>2028</v>
      </c>
      <c r="AN30" s="77">
        <f t="shared" si="4"/>
        <v>2029</v>
      </c>
      <c r="AO30" s="77">
        <f t="shared" si="4"/>
        <v>2030</v>
      </c>
      <c r="AP30" s="77">
        <f t="shared" si="4"/>
        <v>2031</v>
      </c>
      <c r="AQ30" s="77">
        <f t="shared" si="4"/>
        <v>2032</v>
      </c>
      <c r="AR30" s="126">
        <f t="shared" si="4"/>
        <v>2033</v>
      </c>
    </row>
    <row r="31" spans="2:44" x14ac:dyDescent="0.3">
      <c r="B31" t="s">
        <v>148</v>
      </c>
      <c r="D31" s="221">
        <f t="shared" ref="D31:I33" si="5">F339</f>
        <v>5.9369054477759988</v>
      </c>
      <c r="E31" s="221">
        <f t="shared" si="5"/>
        <v>6.1559415195475244</v>
      </c>
      <c r="F31" s="221">
        <f t="shared" si="5"/>
        <v>9.912897674211619</v>
      </c>
      <c r="G31" s="221">
        <f t="shared" si="5"/>
        <v>14.159937748657249</v>
      </c>
      <c r="H31" s="221">
        <f t="shared" si="5"/>
        <v>24.276880791537778</v>
      </c>
      <c r="I31" s="221">
        <f t="shared" si="5"/>
        <v>30.128017870847692</v>
      </c>
      <c r="L31" s="171">
        <f>F620</f>
        <v>9</v>
      </c>
      <c r="N31" s="122">
        <f t="shared" ref="N31:R35" si="6">H620</f>
        <v>0.17583472870892258</v>
      </c>
      <c r="O31" s="122">
        <f t="shared" si="6"/>
        <v>0.16989586572194337</v>
      </c>
      <c r="P31" s="223">
        <f t="shared" si="6"/>
        <v>0.16383390276921816</v>
      </c>
      <c r="Q31" s="122">
        <f t="shared" si="6"/>
        <v>0.15764294562711223</v>
      </c>
      <c r="R31" s="122">
        <f t="shared" si="6"/>
        <v>0.15131664902420949</v>
      </c>
      <c r="V31" s="61" t="s">
        <v>149</v>
      </c>
      <c r="Y31">
        <v>1</v>
      </c>
      <c r="Z31" s="254">
        <v>80</v>
      </c>
      <c r="AA31" s="254">
        <v>80</v>
      </c>
      <c r="AB31" s="317">
        <v>80</v>
      </c>
      <c r="AD31" s="5" t="s">
        <v>150</v>
      </c>
      <c r="AE31" s="1" t="s">
        <v>151</v>
      </c>
      <c r="AH31">
        <v>1</v>
      </c>
      <c r="AI31" s="46">
        <v>0.17499999999999999</v>
      </c>
      <c r="AJ31" s="46">
        <v>0.1</v>
      </c>
      <c r="AK31" s="46">
        <v>0.1</v>
      </c>
      <c r="AL31" s="46">
        <v>0.08</v>
      </c>
      <c r="AM31" s="46">
        <v>0.08</v>
      </c>
      <c r="AN31" s="46">
        <v>0.08</v>
      </c>
      <c r="AO31" s="46">
        <v>0.06</v>
      </c>
      <c r="AP31" s="46">
        <v>0.05</v>
      </c>
      <c r="AQ31" s="46">
        <v>0.05</v>
      </c>
      <c r="AR31" s="47">
        <v>0.05</v>
      </c>
    </row>
    <row r="32" spans="2:44" x14ac:dyDescent="0.3">
      <c r="B32" t="s">
        <v>152</v>
      </c>
      <c r="D32" s="221">
        <f t="shared" si="5"/>
        <v>2.6924065787462461</v>
      </c>
      <c r="E32" s="221">
        <f t="shared" si="5"/>
        <v>2.791740173631323</v>
      </c>
      <c r="F32" s="221">
        <f t="shared" si="5"/>
        <v>3.4373983181269709</v>
      </c>
      <c r="G32" s="221">
        <f t="shared" si="5"/>
        <v>3.9198073302847836</v>
      </c>
      <c r="H32" s="221">
        <f t="shared" si="5"/>
        <v>4.4718843515075006</v>
      </c>
      <c r="I32" s="221">
        <f t="shared" si="5"/>
        <v>5.4273680658446724</v>
      </c>
      <c r="K32" s="113" t="s">
        <v>153</v>
      </c>
      <c r="L32" s="171">
        <f>F621</f>
        <v>9.5</v>
      </c>
      <c r="N32" s="122">
        <f t="shared" si="6"/>
        <v>0.19484222125807227</v>
      </c>
      <c r="O32" s="122">
        <f t="shared" si="6"/>
        <v>0.18880735592269993</v>
      </c>
      <c r="P32" s="223">
        <f t="shared" si="6"/>
        <v>0.18264740069337959</v>
      </c>
      <c r="Q32" s="122">
        <f t="shared" si="6"/>
        <v>0.17635636607822458</v>
      </c>
      <c r="R32" s="122">
        <f t="shared" si="6"/>
        <v>0.16992780422393272</v>
      </c>
      <c r="V32" s="62" t="s">
        <v>154</v>
      </c>
      <c r="Y32">
        <f>Y31+1</f>
        <v>2</v>
      </c>
      <c r="Z32" s="254">
        <v>100</v>
      </c>
      <c r="AA32" s="254">
        <v>100</v>
      </c>
      <c r="AB32" s="317">
        <v>200</v>
      </c>
      <c r="AD32" s="5" t="s">
        <v>155</v>
      </c>
      <c r="AE32" s="1" t="s">
        <v>156</v>
      </c>
      <c r="AH32">
        <v>2</v>
      </c>
      <c r="AI32" s="46">
        <v>0.13500000000000001</v>
      </c>
      <c r="AJ32" s="46">
        <v>0.08</v>
      </c>
      <c r="AK32" s="46">
        <v>0.08</v>
      </c>
      <c r="AL32" s="46">
        <v>7.0000000000000007E-2</v>
      </c>
      <c r="AM32" s="46">
        <v>7.0000000000000007E-2</v>
      </c>
      <c r="AN32" s="46">
        <v>7.0000000000000007E-2</v>
      </c>
      <c r="AO32" s="46">
        <v>0.05</v>
      </c>
      <c r="AP32" s="46">
        <v>0.04</v>
      </c>
      <c r="AQ32" s="46">
        <v>0.04</v>
      </c>
      <c r="AR32" s="47">
        <v>0.04</v>
      </c>
    </row>
    <row r="33" spans="2:44" x14ac:dyDescent="0.3">
      <c r="B33" t="s">
        <v>157</v>
      </c>
      <c r="D33" s="221">
        <f t="shared" si="5"/>
        <v>2.0879943671951002</v>
      </c>
      <c r="E33" s="221">
        <f t="shared" si="5"/>
        <v>2.1650287899418545</v>
      </c>
      <c r="F33" s="221">
        <f t="shared" si="5"/>
        <v>2.5961914620432935</v>
      </c>
      <c r="G33" s="221">
        <f t="shared" si="5"/>
        <v>2.9342101084192262</v>
      </c>
      <c r="H33" s="221">
        <f t="shared" si="5"/>
        <v>3.300717632915962</v>
      </c>
      <c r="I33" s="221">
        <f t="shared" si="5"/>
        <v>3.8801951009161546</v>
      </c>
      <c r="K33" s="113" t="s">
        <v>99</v>
      </c>
      <c r="L33" s="222">
        <f>F622</f>
        <v>10</v>
      </c>
      <c r="M33" s="70"/>
      <c r="N33" s="224">
        <f t="shared" si="6"/>
        <v>0.21271195359943107</v>
      </c>
      <c r="O33" s="224">
        <f t="shared" si="6"/>
        <v>0.20658683247434806</v>
      </c>
      <c r="P33" s="225">
        <f t="shared" si="6"/>
        <v>0.2003347506501969</v>
      </c>
      <c r="Q33" s="224">
        <f t="shared" si="6"/>
        <v>0.19394962904482038</v>
      </c>
      <c r="R33" s="226">
        <f t="shared" si="6"/>
        <v>0.18742492337282313</v>
      </c>
      <c r="V33" s="62" t="s">
        <v>158</v>
      </c>
      <c r="Y33">
        <f t="shared" ref="Y33:Y38" si="7">Y32+1</f>
        <v>3</v>
      </c>
      <c r="Z33" s="254">
        <v>200</v>
      </c>
      <c r="AA33" s="254">
        <v>150</v>
      </c>
      <c r="AB33" s="317">
        <v>250</v>
      </c>
      <c r="AD33" s="5" t="s">
        <v>159</v>
      </c>
      <c r="AE33" s="1" t="s">
        <v>160</v>
      </c>
      <c r="AH33">
        <v>3</v>
      </c>
      <c r="AI33" s="46">
        <v>0.105</v>
      </c>
      <c r="AJ33" s="46">
        <v>0.08</v>
      </c>
      <c r="AK33" s="46">
        <v>0.08</v>
      </c>
      <c r="AL33" s="46">
        <v>0.05</v>
      </c>
      <c r="AM33" s="46">
        <v>0.05</v>
      </c>
      <c r="AN33" s="46">
        <v>0.05</v>
      </c>
      <c r="AO33" s="46">
        <v>0.04</v>
      </c>
      <c r="AP33" s="46">
        <v>0.02</v>
      </c>
      <c r="AQ33" s="46">
        <v>0.02</v>
      </c>
      <c r="AR33" s="47">
        <v>0.02</v>
      </c>
    </row>
    <row r="34" spans="2:44" x14ac:dyDescent="0.3">
      <c r="D34" s="221"/>
      <c r="E34" s="221"/>
      <c r="F34" s="221"/>
      <c r="G34" s="221"/>
      <c r="H34" s="221"/>
      <c r="I34" s="221"/>
      <c r="L34" s="171">
        <f>F623</f>
        <v>10.5</v>
      </c>
      <c r="N34" s="122">
        <f t="shared" si="6"/>
        <v>0.22958656283027046</v>
      </c>
      <c r="O34" s="122">
        <f t="shared" si="6"/>
        <v>0.22337621204684388</v>
      </c>
      <c r="P34" s="223">
        <f t="shared" si="6"/>
        <v>0.21703713393528279</v>
      </c>
      <c r="Q34" s="122">
        <f t="shared" si="6"/>
        <v>0.21056316482439397</v>
      </c>
      <c r="R34" s="122">
        <f t="shared" si="6"/>
        <v>0.20394766937632536</v>
      </c>
      <c r="V34" s="62" t="s">
        <v>161</v>
      </c>
      <c r="Y34">
        <f t="shared" si="7"/>
        <v>4</v>
      </c>
      <c r="Z34" s="254">
        <v>200</v>
      </c>
      <c r="AA34" s="216">
        <f>AA39-SUM(AA31:AA33)-SUM(AA35:AA38)</f>
        <v>297.48</v>
      </c>
      <c r="AB34" s="255">
        <f>AB39-SUM(AB31:AB33)-SUM(AB35:AB38)</f>
        <v>318.80000000000007</v>
      </c>
      <c r="AD34" s="5"/>
      <c r="AI34" s="13"/>
      <c r="AJ34" s="13"/>
      <c r="AK34" s="13"/>
      <c r="AL34" s="13"/>
      <c r="AM34" s="13"/>
      <c r="AN34" s="13"/>
      <c r="AO34" s="13"/>
      <c r="AP34" s="13"/>
      <c r="AQ34" s="13"/>
      <c r="AR34" s="14"/>
    </row>
    <row r="35" spans="2:44" x14ac:dyDescent="0.3">
      <c r="B35" t="s">
        <v>162</v>
      </c>
      <c r="D35" s="221"/>
      <c r="E35" s="221"/>
      <c r="F35" s="221"/>
      <c r="G35" s="221"/>
      <c r="H35" s="221"/>
      <c r="I35" s="221"/>
      <c r="L35" s="171">
        <f>F624</f>
        <v>11</v>
      </c>
      <c r="N35" s="122">
        <f t="shared" si="6"/>
        <v>0.24558266992312006</v>
      </c>
      <c r="O35" s="122">
        <f t="shared" si="6"/>
        <v>0.23929152658778952</v>
      </c>
      <c r="P35" s="227">
        <f t="shared" si="6"/>
        <v>0.23286998126700609</v>
      </c>
      <c r="Q35" s="122">
        <f t="shared" si="6"/>
        <v>0.22631179010429903</v>
      </c>
      <c r="R35" s="122">
        <f t="shared" si="6"/>
        <v>0.21961023144046599</v>
      </c>
      <c r="V35" s="62" t="s">
        <v>163</v>
      </c>
      <c r="Y35">
        <f t="shared" si="7"/>
        <v>5</v>
      </c>
      <c r="Z35" s="216">
        <f>Z39-SUM(Z31:Z34)-SUM(Z36:Z38)</f>
        <v>318.84000000000003</v>
      </c>
      <c r="AA35" s="254">
        <v>150</v>
      </c>
      <c r="AB35" s="317">
        <v>150</v>
      </c>
      <c r="AD35" s="15" t="s">
        <v>164</v>
      </c>
      <c r="AR35" s="16"/>
    </row>
    <row r="36" spans="2:44" x14ac:dyDescent="0.3">
      <c r="B36" t="s">
        <v>148</v>
      </c>
      <c r="D36" s="221">
        <f t="shared" ref="D36:I38" si="8">F345</f>
        <v>5.4986075754355728</v>
      </c>
      <c r="E36" s="221">
        <f t="shared" si="8"/>
        <v>4.4654311189129006</v>
      </c>
      <c r="F36" s="221">
        <f t="shared" si="8"/>
        <v>7.315260702632771</v>
      </c>
      <c r="G36" s="221">
        <f t="shared" si="8"/>
        <v>10.61116714772456</v>
      </c>
      <c r="H36" s="221">
        <f t="shared" si="8"/>
        <v>19.682230322670684</v>
      </c>
      <c r="I36" s="221">
        <f t="shared" si="8"/>
        <v>24.544029084765484</v>
      </c>
      <c r="V36" s="62" t="s">
        <v>165</v>
      </c>
      <c r="Y36">
        <f t="shared" si="7"/>
        <v>6</v>
      </c>
      <c r="Z36" s="254">
        <v>100</v>
      </c>
      <c r="AA36" s="254">
        <v>100</v>
      </c>
      <c r="AB36" s="317">
        <v>100</v>
      </c>
      <c r="AD36" s="11" t="str">
        <f>AD30</f>
        <v xml:space="preserve">Case Name </v>
      </c>
      <c r="AE36" s="12" t="str">
        <f>AE30</f>
        <v>Case Description</v>
      </c>
      <c r="AH36" s="12" t="s">
        <v>147</v>
      </c>
      <c r="AI36" s="77">
        <f t="shared" ref="AI36:AR36" si="9">AI30</f>
        <v>2024</v>
      </c>
      <c r="AJ36" s="77">
        <f t="shared" si="9"/>
        <v>2025</v>
      </c>
      <c r="AK36" s="77">
        <f t="shared" si="9"/>
        <v>2026</v>
      </c>
      <c r="AL36" s="77">
        <f t="shared" si="9"/>
        <v>2027</v>
      </c>
      <c r="AM36" s="77">
        <f t="shared" si="9"/>
        <v>2028</v>
      </c>
      <c r="AN36" s="77">
        <f t="shared" si="9"/>
        <v>2029</v>
      </c>
      <c r="AO36" s="77">
        <f t="shared" si="9"/>
        <v>2030</v>
      </c>
      <c r="AP36" s="77">
        <f t="shared" si="9"/>
        <v>2031</v>
      </c>
      <c r="AQ36" s="77">
        <f t="shared" si="9"/>
        <v>2032</v>
      </c>
      <c r="AR36" s="126">
        <f t="shared" si="9"/>
        <v>2033</v>
      </c>
    </row>
    <row r="37" spans="2:44" x14ac:dyDescent="0.3">
      <c r="B37" t="s">
        <v>152</v>
      </c>
      <c r="D37" s="221">
        <f t="shared" si="8"/>
        <v>2.4936370202076459</v>
      </c>
      <c r="E37" s="221">
        <f t="shared" si="8"/>
        <v>2.0250880239305649</v>
      </c>
      <c r="F37" s="221">
        <f t="shared" si="8"/>
        <v>2.5366412185718494</v>
      </c>
      <c r="G37" s="221">
        <f t="shared" si="8"/>
        <v>2.9374232787479619</v>
      </c>
      <c r="H37" s="221">
        <f t="shared" si="8"/>
        <v>3.6255340436238224</v>
      </c>
      <c r="I37" s="221">
        <f t="shared" si="8"/>
        <v>4.4214485079257226</v>
      </c>
      <c r="V37" s="62" t="s">
        <v>166</v>
      </c>
      <c r="Y37">
        <f t="shared" si="7"/>
        <v>7</v>
      </c>
      <c r="Z37" s="254">
        <v>150</v>
      </c>
      <c r="AA37" s="254">
        <v>100</v>
      </c>
      <c r="AB37" s="317">
        <v>150</v>
      </c>
      <c r="AD37" s="5" t="str">
        <f>AD31</f>
        <v>Case 1</v>
      </c>
      <c r="AE37" t="str">
        <f>AE31</f>
        <v>Management Case</v>
      </c>
      <c r="AH37">
        <v>1</v>
      </c>
      <c r="AI37" s="46">
        <v>0.42</v>
      </c>
      <c r="AJ37" s="46">
        <v>0.42</v>
      </c>
      <c r="AK37" s="46">
        <v>0.42</v>
      </c>
      <c r="AL37" s="46">
        <v>0.42</v>
      </c>
      <c r="AM37" s="46">
        <v>0.42</v>
      </c>
      <c r="AN37" s="46">
        <v>0.42</v>
      </c>
      <c r="AO37" s="46">
        <v>0.42</v>
      </c>
      <c r="AP37" s="46">
        <v>0.42</v>
      </c>
      <c r="AQ37" s="46">
        <v>0.42</v>
      </c>
      <c r="AR37" s="47">
        <v>0.42</v>
      </c>
    </row>
    <row r="38" spans="2:44" ht="15" thickBot="1" x14ac:dyDescent="0.35">
      <c r="B38" t="s">
        <v>157</v>
      </c>
      <c r="D38" s="221">
        <f t="shared" si="8"/>
        <v>1.9338461334644732</v>
      </c>
      <c r="E38" s="221">
        <f t="shared" si="8"/>
        <v>1.5704806326131737</v>
      </c>
      <c r="F38" s="221">
        <f t="shared" si="8"/>
        <v>1.9158694059965125</v>
      </c>
      <c r="G38" s="221">
        <f t="shared" si="8"/>
        <v>2.1988369200233175</v>
      </c>
      <c r="H38" s="221">
        <f t="shared" si="8"/>
        <v>2.6760227246243864</v>
      </c>
      <c r="I38" s="221">
        <f t="shared" si="8"/>
        <v>3.1610317618538724</v>
      </c>
      <c r="V38" s="61" t="s">
        <v>167</v>
      </c>
      <c r="Y38">
        <f t="shared" si="7"/>
        <v>8</v>
      </c>
      <c r="Z38" s="256">
        <f>Z39*30%</f>
        <v>492.36</v>
      </c>
      <c r="AA38" s="256">
        <f>AA39*30%</f>
        <v>418.92</v>
      </c>
      <c r="AB38" s="318">
        <f>AB39*30%</f>
        <v>535.19999999999993</v>
      </c>
      <c r="AD38" s="5" t="str">
        <f t="shared" ref="AD38:AD39" si="10">AD32</f>
        <v>Case 2</v>
      </c>
      <c r="AE38" t="str">
        <f>AE32</f>
        <v>Base Case</v>
      </c>
      <c r="AH38">
        <v>2</v>
      </c>
      <c r="AI38" s="46">
        <v>0.4</v>
      </c>
      <c r="AJ38" s="46">
        <v>0.4</v>
      </c>
      <c r="AK38" s="46">
        <v>0.4</v>
      </c>
      <c r="AL38" s="46">
        <v>0.4</v>
      </c>
      <c r="AM38" s="46">
        <v>0.4</v>
      </c>
      <c r="AN38" s="46">
        <v>0.4</v>
      </c>
      <c r="AO38" s="46">
        <v>0.4</v>
      </c>
      <c r="AP38" s="46">
        <v>0.4</v>
      </c>
      <c r="AQ38" s="46">
        <v>0.4</v>
      </c>
      <c r="AR38" s="47">
        <v>0.4</v>
      </c>
    </row>
    <row r="39" spans="2:44" x14ac:dyDescent="0.3">
      <c r="D39" s="221"/>
      <c r="E39" s="221"/>
      <c r="F39" s="221"/>
      <c r="G39" s="221"/>
      <c r="H39" s="221"/>
      <c r="I39" s="221"/>
      <c r="K39" s="414" t="s">
        <v>168</v>
      </c>
      <c r="L39" s="414"/>
      <c r="M39" s="414"/>
      <c r="N39" s="414"/>
      <c r="O39" s="414"/>
      <c r="P39" s="414"/>
      <c r="Q39" s="414"/>
      <c r="R39" s="414"/>
      <c r="V39" s="65" t="s">
        <v>131</v>
      </c>
      <c r="Z39" s="216">
        <f>Z50</f>
        <v>1641.2</v>
      </c>
      <c r="AA39" s="216">
        <f t="shared" ref="AA39:AB39" si="11">AA50</f>
        <v>1396.4</v>
      </c>
      <c r="AB39" s="255">
        <f t="shared" si="11"/>
        <v>1784</v>
      </c>
      <c r="AD39" s="5" t="str">
        <f t="shared" si="10"/>
        <v>Case 3</v>
      </c>
      <c r="AE39" t="str">
        <f>AE33</f>
        <v>Downside Case</v>
      </c>
      <c r="AH39">
        <v>3</v>
      </c>
      <c r="AI39" s="46">
        <v>0.45</v>
      </c>
      <c r="AJ39" s="46">
        <v>0.45</v>
      </c>
      <c r="AK39" s="46">
        <v>0.45</v>
      </c>
      <c r="AL39" s="46">
        <v>0.45</v>
      </c>
      <c r="AM39" s="46">
        <v>0.45</v>
      </c>
      <c r="AN39" s="46">
        <v>0.45</v>
      </c>
      <c r="AO39" s="46">
        <v>0.45</v>
      </c>
      <c r="AP39" s="46">
        <v>0.45</v>
      </c>
      <c r="AQ39" s="46">
        <v>0.45</v>
      </c>
      <c r="AR39" s="47">
        <v>0.45</v>
      </c>
    </row>
    <row r="40" spans="2:44" ht="15" thickBot="1" x14ac:dyDescent="0.35">
      <c r="B40" t="s">
        <v>169</v>
      </c>
      <c r="D40" s="221"/>
      <c r="E40" s="221"/>
      <c r="F40" s="221"/>
      <c r="G40" s="221"/>
      <c r="H40" s="221"/>
      <c r="I40" s="221"/>
      <c r="V40" s="5"/>
      <c r="AB40" s="16"/>
      <c r="AD40" s="5"/>
      <c r="AI40" s="13"/>
      <c r="AJ40" s="13"/>
      <c r="AK40" s="13"/>
      <c r="AL40" s="13"/>
      <c r="AM40" s="13"/>
      <c r="AN40" s="17"/>
      <c r="AO40" s="13"/>
      <c r="AP40" s="13"/>
      <c r="AR40" s="16"/>
    </row>
    <row r="41" spans="2:44" x14ac:dyDescent="0.3">
      <c r="B41" s="22" t="s">
        <v>153</v>
      </c>
      <c r="D41" s="221">
        <f t="shared" ref="D41:I41" si="12">F398</f>
        <v>5.8110978854746511</v>
      </c>
      <c r="E41" s="221">
        <f t="shared" si="12"/>
        <v>5.5971367539634196</v>
      </c>
      <c r="F41" s="221">
        <f t="shared" si="12"/>
        <v>4.8247358128045725</v>
      </c>
      <c r="G41" s="221">
        <f t="shared" si="12"/>
        <v>4.0862831754861793</v>
      </c>
      <c r="H41" s="221">
        <f t="shared" si="12"/>
        <v>3.3883328448830023</v>
      </c>
      <c r="I41" s="221">
        <f t="shared" si="12"/>
        <v>2.7017072458066225</v>
      </c>
      <c r="M41" s="148" t="s">
        <v>170</v>
      </c>
      <c r="N41" s="411" t="str">
        <f>"Projected Fiscal Years Ending "&amp;$Y$13</f>
        <v>Projected Fiscal Years Ending December 31,</v>
      </c>
      <c r="O41" s="408"/>
      <c r="P41" s="408"/>
      <c r="Q41" s="408"/>
      <c r="R41" s="408"/>
      <c r="V41" s="61"/>
      <c r="AB41" s="16"/>
      <c r="AD41" s="15" t="s">
        <v>171</v>
      </c>
      <c r="AR41" s="16"/>
    </row>
    <row r="42" spans="2:44" x14ac:dyDescent="0.3">
      <c r="D42" s="113"/>
      <c r="E42" s="113"/>
      <c r="F42" s="113"/>
      <c r="G42" s="113"/>
      <c r="H42" s="113"/>
      <c r="I42" s="113"/>
      <c r="M42" s="145">
        <f>N42-1</f>
        <v>2023</v>
      </c>
      <c r="N42" s="146">
        <f>$Y$12</f>
        <v>2024</v>
      </c>
      <c r="O42" s="147">
        <f>N42+1</f>
        <v>2025</v>
      </c>
      <c r="P42" s="147">
        <f t="shared" ref="P42" si="13">O42+1</f>
        <v>2026</v>
      </c>
      <c r="Q42" s="147">
        <f t="shared" ref="Q42" si="14">P42+1</f>
        <v>2027</v>
      </c>
      <c r="R42" s="147">
        <f t="shared" ref="R42" si="15">Q42+1</f>
        <v>2028</v>
      </c>
      <c r="V42" s="61"/>
      <c r="AB42" s="16"/>
      <c r="AD42" s="11" t="str">
        <f t="shared" ref="AD42:AE45" si="16">AD30</f>
        <v xml:space="preserve">Case Name </v>
      </c>
      <c r="AE42" s="12" t="str">
        <f t="shared" si="16"/>
        <v>Case Description</v>
      </c>
      <c r="AH42" s="12" t="s">
        <v>147</v>
      </c>
      <c r="AI42" s="77">
        <f t="shared" ref="AI42:AR42" si="17">AI30</f>
        <v>2024</v>
      </c>
      <c r="AJ42" s="77">
        <f t="shared" si="17"/>
        <v>2025</v>
      </c>
      <c r="AK42" s="77">
        <f t="shared" si="17"/>
        <v>2026</v>
      </c>
      <c r="AL42" s="77">
        <f t="shared" si="17"/>
        <v>2027</v>
      </c>
      <c r="AM42" s="77">
        <f t="shared" si="17"/>
        <v>2028</v>
      </c>
      <c r="AN42" s="77">
        <f t="shared" si="17"/>
        <v>2029</v>
      </c>
      <c r="AO42" s="77">
        <f t="shared" si="17"/>
        <v>2030</v>
      </c>
      <c r="AP42" s="77">
        <f t="shared" si="17"/>
        <v>2031</v>
      </c>
      <c r="AQ42" s="77">
        <f t="shared" si="17"/>
        <v>2032</v>
      </c>
      <c r="AR42" s="126">
        <f t="shared" si="17"/>
        <v>2033</v>
      </c>
    </row>
    <row r="43" spans="2:44" ht="15" thickBot="1" x14ac:dyDescent="0.35">
      <c r="V43" s="60" t="s">
        <v>172</v>
      </c>
      <c r="Z43">
        <f>1</f>
        <v>1</v>
      </c>
      <c r="AA43">
        <f>Z43+1</f>
        <v>2</v>
      </c>
      <c r="AB43" s="16">
        <f>AA43+1</f>
        <v>3</v>
      </c>
      <c r="AD43" s="5" t="str">
        <f t="shared" si="16"/>
        <v>Case 1</v>
      </c>
      <c r="AE43" t="str">
        <f t="shared" si="16"/>
        <v>Management Case</v>
      </c>
      <c r="AH43">
        <v>1</v>
      </c>
      <c r="AI43" s="46">
        <v>0.36</v>
      </c>
      <c r="AJ43" s="46">
        <v>0.36</v>
      </c>
      <c r="AK43" s="46">
        <v>0.36</v>
      </c>
      <c r="AL43" s="46">
        <v>0.36</v>
      </c>
      <c r="AM43" s="46">
        <v>0.36</v>
      </c>
      <c r="AN43" s="46">
        <v>0.36</v>
      </c>
      <c r="AO43" s="46">
        <v>0.36</v>
      </c>
      <c r="AP43" s="46">
        <v>0.36</v>
      </c>
      <c r="AQ43" s="46">
        <v>0.36</v>
      </c>
      <c r="AR43" s="47">
        <v>0.36</v>
      </c>
    </row>
    <row r="44" spans="2:44" x14ac:dyDescent="0.3">
      <c r="B44" s="414" t="s">
        <v>173</v>
      </c>
      <c r="C44" s="414"/>
      <c r="D44" s="414"/>
      <c r="E44" s="414"/>
      <c r="F44" s="414"/>
      <c r="G44" s="414"/>
      <c r="H44" s="414"/>
      <c r="I44" s="414"/>
      <c r="K44" t="s">
        <v>174</v>
      </c>
      <c r="M44" s="216">
        <f t="shared" ref="M44:R45" si="18">F64</f>
        <v>559.63104723159302</v>
      </c>
      <c r="N44" s="216">
        <f t="shared" si="18"/>
        <v>657.5664804971218</v>
      </c>
      <c r="O44" s="216">
        <f t="shared" si="18"/>
        <v>723.32312854683403</v>
      </c>
      <c r="P44" s="216">
        <f t="shared" si="18"/>
        <v>795.65544140151746</v>
      </c>
      <c r="Q44" s="216">
        <f t="shared" si="18"/>
        <v>859.30787671363896</v>
      </c>
      <c r="R44" s="216">
        <f t="shared" si="18"/>
        <v>928.05250685073008</v>
      </c>
      <c r="T44" s="13"/>
      <c r="V44" s="61" t="s">
        <v>175</v>
      </c>
      <c r="Y44">
        <f>1</f>
        <v>1</v>
      </c>
      <c r="Z44" s="254">
        <v>1560</v>
      </c>
      <c r="AA44" s="254">
        <v>1320</v>
      </c>
      <c r="AB44" s="317">
        <v>1700</v>
      </c>
      <c r="AD44" s="5" t="str">
        <f t="shared" si="16"/>
        <v>Case 2</v>
      </c>
      <c r="AE44" t="str">
        <f t="shared" si="16"/>
        <v>Base Case</v>
      </c>
      <c r="AH44">
        <v>2</v>
      </c>
      <c r="AI44" s="46">
        <v>0.34</v>
      </c>
      <c r="AJ44" s="46">
        <v>0.34</v>
      </c>
      <c r="AK44" s="46">
        <v>0.34</v>
      </c>
      <c r="AL44" s="46">
        <v>0.34</v>
      </c>
      <c r="AM44" s="46">
        <v>0.34</v>
      </c>
      <c r="AN44" s="46">
        <v>0.34</v>
      </c>
      <c r="AO44" s="46">
        <v>0.34</v>
      </c>
      <c r="AP44" s="46">
        <v>0.34</v>
      </c>
      <c r="AQ44" s="46">
        <v>0.34</v>
      </c>
      <c r="AR44" s="47">
        <v>0.34</v>
      </c>
    </row>
    <row r="45" spans="2:44" ht="15" thickBot="1" x14ac:dyDescent="0.35">
      <c r="D45" s="52" t="s">
        <v>176</v>
      </c>
      <c r="E45" s="144">
        <f>$Y$12</f>
        <v>2024</v>
      </c>
      <c r="F45" s="144">
        <f>E45+1</f>
        <v>2025</v>
      </c>
      <c r="G45" s="144">
        <f t="shared" ref="G45:I45" si="19">F45+1</f>
        <v>2026</v>
      </c>
      <c r="H45" s="144">
        <f t="shared" si="19"/>
        <v>2027</v>
      </c>
      <c r="I45" s="144">
        <f t="shared" si="19"/>
        <v>2028</v>
      </c>
      <c r="K45" s="31" t="s">
        <v>177</v>
      </c>
      <c r="M45" s="116">
        <f t="shared" si="18"/>
        <v>0.1068274967247278</v>
      </c>
      <c r="N45" s="116">
        <f t="shared" si="18"/>
        <v>0.17499999999999999</v>
      </c>
      <c r="O45" s="116">
        <f t="shared" si="18"/>
        <v>0.1</v>
      </c>
      <c r="P45" s="116">
        <f t="shared" si="18"/>
        <v>0.1</v>
      </c>
      <c r="Q45" s="116">
        <f t="shared" si="18"/>
        <v>0.08</v>
      </c>
      <c r="R45" s="116">
        <f t="shared" si="18"/>
        <v>0.08</v>
      </c>
      <c r="T45" s="356"/>
      <c r="V45" s="61" t="s">
        <v>178</v>
      </c>
      <c r="Y45">
        <f>Y44+1</f>
        <v>2</v>
      </c>
      <c r="Z45" s="256">
        <f>Z44*2%</f>
        <v>31.2</v>
      </c>
      <c r="AA45" s="256">
        <f>AA44*2%</f>
        <v>26.400000000000002</v>
      </c>
      <c r="AB45" s="318">
        <f>AB44*2%</f>
        <v>34</v>
      </c>
      <c r="AD45" s="7" t="str">
        <f t="shared" si="16"/>
        <v>Case 3</v>
      </c>
      <c r="AE45" s="18" t="str">
        <f t="shared" si="16"/>
        <v>Downside Case</v>
      </c>
      <c r="AF45" s="18"/>
      <c r="AG45" s="18"/>
      <c r="AH45" s="18">
        <v>3</v>
      </c>
      <c r="AI45" s="48">
        <v>0.375</v>
      </c>
      <c r="AJ45" s="48">
        <v>0.375</v>
      </c>
      <c r="AK45" s="48">
        <v>0.375</v>
      </c>
      <c r="AL45" s="48">
        <v>0.375</v>
      </c>
      <c r="AM45" s="48">
        <v>0.375</v>
      </c>
      <c r="AN45" s="48">
        <v>0.375</v>
      </c>
      <c r="AO45" s="48">
        <v>0.375</v>
      </c>
      <c r="AP45" s="48">
        <v>0.375</v>
      </c>
      <c r="AQ45" s="48">
        <v>0.375</v>
      </c>
      <c r="AR45" s="49">
        <v>0.375</v>
      </c>
    </row>
    <row r="46" spans="2:44" x14ac:dyDescent="0.3">
      <c r="B46" t="s">
        <v>179</v>
      </c>
      <c r="D46" s="216">
        <f t="shared" ref="D46:I46" si="20">F369</f>
        <v>300</v>
      </c>
      <c r="E46" s="216">
        <f t="shared" si="20"/>
        <v>260</v>
      </c>
      <c r="F46" s="216">
        <f t="shared" si="20"/>
        <v>228</v>
      </c>
      <c r="G46" s="216">
        <f t="shared" si="20"/>
        <v>202.4</v>
      </c>
      <c r="H46" s="216">
        <f t="shared" si="20"/>
        <v>181.92000000000002</v>
      </c>
      <c r="I46" s="216">
        <f t="shared" si="20"/>
        <v>165.536</v>
      </c>
      <c r="V46" s="65" t="s">
        <v>180</v>
      </c>
      <c r="Y46">
        <f t="shared" ref="Y46:Y49" si="21">Y45+1</f>
        <v>3</v>
      </c>
      <c r="Z46" s="216">
        <f>SUM(Z44:Z45)</f>
        <v>1591.2</v>
      </c>
      <c r="AA46" s="216">
        <f t="shared" ref="AA46:AB46" si="22">SUM(AA44:AA45)</f>
        <v>1346.4</v>
      </c>
      <c r="AB46" s="255">
        <f t="shared" si="22"/>
        <v>1734</v>
      </c>
    </row>
    <row r="47" spans="2:44" x14ac:dyDescent="0.3">
      <c r="B47" s="22" t="s">
        <v>181</v>
      </c>
      <c r="D47" s="233">
        <v>0</v>
      </c>
      <c r="E47" s="240">
        <f>G371</f>
        <v>-0.13333333333333333</v>
      </c>
      <c r="F47" s="240">
        <f>H371</f>
        <v>-0.24</v>
      </c>
      <c r="G47" s="240">
        <f>I371</f>
        <v>-0.32533333333333331</v>
      </c>
      <c r="H47" s="240">
        <f>J371</f>
        <v>-0.39359999999999995</v>
      </c>
      <c r="I47" s="240">
        <f>K371</f>
        <v>-0.44821333333333335</v>
      </c>
      <c r="K47" t="s">
        <v>182</v>
      </c>
      <c r="M47" s="216">
        <f t="shared" ref="M47:R48" si="23">F71</f>
        <v>352.51143003767697</v>
      </c>
      <c r="N47" s="216">
        <f t="shared" si="23"/>
        <v>381.38855868833065</v>
      </c>
      <c r="O47" s="216">
        <f t="shared" si="23"/>
        <v>419.52741455716375</v>
      </c>
      <c r="P47" s="216">
        <f t="shared" si="23"/>
        <v>461.48015601288012</v>
      </c>
      <c r="Q47" s="216">
        <f t="shared" si="23"/>
        <v>498.3985684939106</v>
      </c>
      <c r="R47" s="216">
        <f t="shared" si="23"/>
        <v>538.2704539734234</v>
      </c>
      <c r="T47" s="216"/>
      <c r="V47" s="61" t="s">
        <v>183</v>
      </c>
      <c r="Y47">
        <f t="shared" si="21"/>
        <v>4</v>
      </c>
      <c r="Z47" s="216">
        <f>N136+N142</f>
        <v>0</v>
      </c>
      <c r="AA47" s="216">
        <f>Z47</f>
        <v>0</v>
      </c>
      <c r="AB47" s="255">
        <f>AA47</f>
        <v>0</v>
      </c>
    </row>
    <row r="48" spans="2:44" x14ac:dyDescent="0.3">
      <c r="B48" s="22"/>
      <c r="D48" s="209"/>
      <c r="K48" t="s">
        <v>184</v>
      </c>
      <c r="M48" s="116">
        <f t="shared" si="23"/>
        <v>0.62989970227973535</v>
      </c>
      <c r="N48" s="116">
        <f t="shared" si="23"/>
        <v>0.57999999999999996</v>
      </c>
      <c r="O48" s="116">
        <f t="shared" si="23"/>
        <v>0.58000000000000007</v>
      </c>
      <c r="P48" s="116">
        <f t="shared" si="23"/>
        <v>0.57999999999999996</v>
      </c>
      <c r="Q48" s="116">
        <f t="shared" si="23"/>
        <v>0.57999999999999996</v>
      </c>
      <c r="R48" s="116">
        <f t="shared" si="23"/>
        <v>0.57999999999999996</v>
      </c>
      <c r="V48" s="61" t="s">
        <v>185</v>
      </c>
      <c r="Y48">
        <f t="shared" si="21"/>
        <v>5</v>
      </c>
      <c r="Z48" s="254">
        <v>0</v>
      </c>
      <c r="AA48" s="254">
        <v>0</v>
      </c>
      <c r="AB48" s="317">
        <v>0</v>
      </c>
    </row>
    <row r="49" spans="2:36" x14ac:dyDescent="0.3">
      <c r="D49" s="209"/>
      <c r="E49" s="144">
        <f>I45+1</f>
        <v>2029</v>
      </c>
      <c r="F49" s="144">
        <f>E49+1</f>
        <v>2030</v>
      </c>
      <c r="G49" s="144">
        <f t="shared" ref="G49:I49" si="24">F49+1</f>
        <v>2031</v>
      </c>
      <c r="H49" s="144">
        <f t="shared" si="24"/>
        <v>2032</v>
      </c>
      <c r="I49" s="144">
        <f t="shared" si="24"/>
        <v>2033</v>
      </c>
      <c r="V49" s="61" t="s">
        <v>186</v>
      </c>
      <c r="Y49">
        <f t="shared" si="21"/>
        <v>6</v>
      </c>
      <c r="Z49" s="256">
        <v>50</v>
      </c>
      <c r="AA49" s="256">
        <v>50</v>
      </c>
      <c r="AB49" s="318">
        <v>50</v>
      </c>
    </row>
    <row r="50" spans="2:36" x14ac:dyDescent="0.3">
      <c r="B50" t="s">
        <v>179</v>
      </c>
      <c r="D50" s="323">
        <v>0</v>
      </c>
      <c r="E50" s="216">
        <f>L369</f>
        <v>152.4288</v>
      </c>
      <c r="F50" s="216">
        <f>M369</f>
        <v>141.94304</v>
      </c>
      <c r="G50" s="216">
        <f>N369</f>
        <v>133.55443200000002</v>
      </c>
      <c r="H50" s="216">
        <f>O369</f>
        <v>54.196791856967373</v>
      </c>
      <c r="I50" s="216">
        <f>P369</f>
        <v>21.474836480000004</v>
      </c>
      <c r="K50" t="s">
        <v>153</v>
      </c>
      <c r="M50" s="216">
        <f t="shared" ref="M50:R51" si="25">F77</f>
        <v>139.51727802273598</v>
      </c>
      <c r="N50" s="216">
        <f t="shared" si="25"/>
        <v>144.66462570936682</v>
      </c>
      <c r="O50" s="216">
        <f t="shared" si="25"/>
        <v>159.13108828030352</v>
      </c>
      <c r="P50" s="216">
        <f t="shared" si="25"/>
        <v>175.04419710833383</v>
      </c>
      <c r="Q50" s="216">
        <f t="shared" si="25"/>
        <v>189.04773287700061</v>
      </c>
      <c r="R50" s="216">
        <f t="shared" si="25"/>
        <v>204.17155150716059</v>
      </c>
      <c r="V50" s="65" t="s">
        <v>187</v>
      </c>
      <c r="Z50" s="216">
        <f>SUM(Z46:Z49)</f>
        <v>1641.2</v>
      </c>
      <c r="AA50" s="216">
        <f t="shared" ref="AA50:AB50" si="26">SUM(AA46:AA49)</f>
        <v>1396.4</v>
      </c>
      <c r="AB50" s="255">
        <f t="shared" si="26"/>
        <v>1784</v>
      </c>
    </row>
    <row r="51" spans="2:36" x14ac:dyDescent="0.3">
      <c r="B51" s="22" t="s">
        <v>181</v>
      </c>
      <c r="D51" s="233">
        <v>0</v>
      </c>
      <c r="E51" s="240">
        <f>L371</f>
        <v>-0.49190400000000001</v>
      </c>
      <c r="F51" s="240">
        <f>M371</f>
        <v>-0.52685653333333338</v>
      </c>
      <c r="G51" s="240">
        <f>N371</f>
        <v>-0.55481855999999996</v>
      </c>
      <c r="H51" s="240">
        <f>O371</f>
        <v>-0.81934402714344212</v>
      </c>
      <c r="I51" s="240">
        <f>P371</f>
        <v>-0.92841721173333336</v>
      </c>
      <c r="K51" t="s">
        <v>184</v>
      </c>
      <c r="M51" s="116">
        <f t="shared" si="25"/>
        <v>0.24930224781649635</v>
      </c>
      <c r="N51" s="116">
        <f t="shared" si="25"/>
        <v>0.22000000000000003</v>
      </c>
      <c r="O51" s="116">
        <f t="shared" si="25"/>
        <v>0.22000000000000003</v>
      </c>
      <c r="P51" s="116">
        <f t="shared" si="25"/>
        <v>0.22</v>
      </c>
      <c r="Q51" s="116">
        <f t="shared" si="25"/>
        <v>0.22000000000000006</v>
      </c>
      <c r="R51" s="116">
        <f t="shared" si="25"/>
        <v>0.21999999999999997</v>
      </c>
      <c r="V51" s="61"/>
      <c r="AB51" s="16"/>
    </row>
    <row r="52" spans="2:36" ht="15" thickBot="1" x14ac:dyDescent="0.35">
      <c r="D52" s="234"/>
      <c r="V52" s="66" t="s">
        <v>188</v>
      </c>
      <c r="W52" s="18"/>
      <c r="X52" s="18"/>
      <c r="Y52" s="18"/>
      <c r="Z52" s="319">
        <f>Z39-Z50</f>
        <v>0</v>
      </c>
      <c r="AA52" s="319">
        <f t="shared" ref="AA52:AB52" si="27">AA39-AA50</f>
        <v>0</v>
      </c>
      <c r="AB52" s="320">
        <f t="shared" si="27"/>
        <v>0</v>
      </c>
    </row>
    <row r="53" spans="2:36" x14ac:dyDescent="0.3">
      <c r="K53" t="s">
        <v>189</v>
      </c>
      <c r="M53" s="233">
        <v>0</v>
      </c>
      <c r="N53" s="216">
        <f>G187</f>
        <v>51.818800000000003</v>
      </c>
      <c r="O53" s="216">
        <f>H187</f>
        <v>46.294049613375506</v>
      </c>
      <c r="P53" s="216">
        <f>I187</f>
        <v>44.656326793392786</v>
      </c>
      <c r="Q53" s="216">
        <f>J187</f>
        <v>42.274736557816261</v>
      </c>
      <c r="R53" s="216">
        <f>K187</f>
        <v>37.618888019046658</v>
      </c>
      <c r="V53" s="51"/>
    </row>
    <row r="54" spans="2:36" ht="15" thickBot="1" x14ac:dyDescent="0.35">
      <c r="K54" t="s">
        <v>190</v>
      </c>
      <c r="M54" s="216">
        <f t="shared" ref="M54:R54" si="28">F82</f>
        <v>10.3</v>
      </c>
      <c r="N54" s="216">
        <f t="shared" si="28"/>
        <v>39.726994414913655</v>
      </c>
      <c r="O54" s="216">
        <f t="shared" si="28"/>
        <v>41.69969385640502</v>
      </c>
      <c r="P54" s="216">
        <f t="shared" si="28"/>
        <v>43.869663242045519</v>
      </c>
      <c r="Q54" s="216">
        <f t="shared" si="28"/>
        <v>35.779236301409171</v>
      </c>
      <c r="R54" s="216">
        <f t="shared" si="28"/>
        <v>37.841575205521906</v>
      </c>
      <c r="V54" s="51"/>
    </row>
    <row r="55" spans="2:36" x14ac:dyDescent="0.3">
      <c r="K55" t="s">
        <v>191</v>
      </c>
      <c r="M55" s="216">
        <f t="shared" ref="M55:R55" si="29">F86</f>
        <v>10.682615628387</v>
      </c>
      <c r="N55" s="216">
        <f t="shared" si="29"/>
        <v>37.662872542778871</v>
      </c>
      <c r="O55" s="216">
        <f t="shared" si="29"/>
        <v>39.533075127301821</v>
      </c>
      <c r="P55" s="216">
        <f t="shared" si="29"/>
        <v>41.590297970277071</v>
      </c>
      <c r="Q55" s="216">
        <f t="shared" si="29"/>
        <v>33.920230723320614</v>
      </c>
      <c r="R55" s="216">
        <f t="shared" si="29"/>
        <v>35.875415313284293</v>
      </c>
      <c r="V55" s="111" t="s">
        <v>192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0"/>
    </row>
    <row r="56" spans="2:36" x14ac:dyDescent="0.3">
      <c r="V56" s="15"/>
      <c r="AJ56" s="16"/>
    </row>
    <row r="57" spans="2:36" x14ac:dyDescent="0.3">
      <c r="V57" s="107"/>
      <c r="W57" s="102" t="s">
        <v>193</v>
      </c>
      <c r="AJ57" s="16"/>
    </row>
    <row r="58" spans="2:36" x14ac:dyDescent="0.3">
      <c r="V58" s="5"/>
      <c r="W58" s="103" t="s">
        <v>194</v>
      </c>
      <c r="AJ58" s="16"/>
    </row>
    <row r="59" spans="2:36" x14ac:dyDescent="0.3">
      <c r="B59" s="410" t="s">
        <v>195</v>
      </c>
      <c r="C59" s="410"/>
      <c r="D59" s="410"/>
      <c r="E59" s="410"/>
      <c r="F59" s="410"/>
      <c r="G59" s="410"/>
      <c r="H59" s="410"/>
      <c r="I59" s="410"/>
      <c r="J59" s="410"/>
      <c r="K59" s="410"/>
      <c r="L59" s="410"/>
      <c r="M59" s="410"/>
      <c r="N59" s="410"/>
      <c r="O59" s="410"/>
      <c r="P59" s="410"/>
      <c r="V59" s="5" t="s">
        <v>196</v>
      </c>
      <c r="W59" s="118">
        <v>0.02</v>
      </c>
      <c r="AJ59" s="16"/>
    </row>
    <row r="60" spans="2:36" ht="15" thickBot="1" x14ac:dyDescent="0.35">
      <c r="V60" s="5" t="s">
        <v>154</v>
      </c>
      <c r="W60" s="118">
        <v>0.02</v>
      </c>
      <c r="AJ60" s="16"/>
    </row>
    <row r="61" spans="2:36" x14ac:dyDescent="0.3">
      <c r="B61" s="3"/>
      <c r="C61" s="9"/>
      <c r="D61" s="411" t="str">
        <f>_xlfn.CONCAT("Historical FYE ",Y13)</f>
        <v>Historical FYE December 31,</v>
      </c>
      <c r="E61" s="408"/>
      <c r="F61" s="418"/>
      <c r="G61" s="408" t="str">
        <f>"Projected Fiscal Years Ending "&amp;$Y$13</f>
        <v>Projected Fiscal Years Ending December 31,</v>
      </c>
      <c r="H61" s="408"/>
      <c r="I61" s="408"/>
      <c r="J61" s="408"/>
      <c r="K61" s="408"/>
      <c r="L61" s="408"/>
      <c r="M61" s="408"/>
      <c r="N61" s="408"/>
      <c r="O61" s="408"/>
      <c r="P61" s="412"/>
      <c r="V61" s="5" t="s">
        <v>158</v>
      </c>
      <c r="W61" s="118">
        <v>2.5000000000000001E-2</v>
      </c>
      <c r="AJ61" s="16"/>
    </row>
    <row r="62" spans="2:36" x14ac:dyDescent="0.3">
      <c r="B62" s="5"/>
      <c r="D62" s="324">
        <f>E62-1</f>
        <v>2021</v>
      </c>
      <c r="E62" s="147">
        <f>F62-1</f>
        <v>2022</v>
      </c>
      <c r="F62" s="325">
        <f>G62-1</f>
        <v>2023</v>
      </c>
      <c r="G62" s="147">
        <f>Y12</f>
        <v>2024</v>
      </c>
      <c r="H62" s="147">
        <f t="shared" ref="H62:P62" si="30">G62+1</f>
        <v>2025</v>
      </c>
      <c r="I62" s="147">
        <f t="shared" si="30"/>
        <v>2026</v>
      </c>
      <c r="J62" s="147">
        <f t="shared" si="30"/>
        <v>2027</v>
      </c>
      <c r="K62" s="147">
        <f t="shared" si="30"/>
        <v>2028</v>
      </c>
      <c r="L62" s="147">
        <f t="shared" si="30"/>
        <v>2029</v>
      </c>
      <c r="M62" s="147">
        <f t="shared" si="30"/>
        <v>2030</v>
      </c>
      <c r="N62" s="147">
        <f t="shared" si="30"/>
        <v>2031</v>
      </c>
      <c r="O62" s="147">
        <f t="shared" si="30"/>
        <v>2032</v>
      </c>
      <c r="P62" s="326">
        <f t="shared" si="30"/>
        <v>2033</v>
      </c>
      <c r="V62" s="108" t="s">
        <v>197</v>
      </c>
      <c r="W62" s="119">
        <v>5.0000000000000001E-3</v>
      </c>
      <c r="AJ62" s="16"/>
    </row>
    <row r="63" spans="2:36" x14ac:dyDescent="0.3">
      <c r="B63" s="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7"/>
      <c r="V63" s="5"/>
      <c r="AA63" s="109">
        <f>Y12</f>
        <v>2024</v>
      </c>
      <c r="AB63" s="109">
        <f>AA63+1</f>
        <v>2025</v>
      </c>
      <c r="AC63" s="109">
        <f t="shared" ref="AC63:AJ63" si="31">AB63+1</f>
        <v>2026</v>
      </c>
      <c r="AD63" s="109">
        <f t="shared" si="31"/>
        <v>2027</v>
      </c>
      <c r="AE63" s="109">
        <f t="shared" si="31"/>
        <v>2028</v>
      </c>
      <c r="AF63" s="109">
        <f t="shared" si="31"/>
        <v>2029</v>
      </c>
      <c r="AG63" s="109">
        <f t="shared" si="31"/>
        <v>2030</v>
      </c>
      <c r="AH63" s="109">
        <f t="shared" si="31"/>
        <v>2031</v>
      </c>
      <c r="AI63" s="109">
        <f t="shared" si="31"/>
        <v>2032</v>
      </c>
      <c r="AJ63" s="110">
        <f t="shared" si="31"/>
        <v>2033</v>
      </c>
    </row>
    <row r="64" spans="2:36" x14ac:dyDescent="0.3">
      <c r="B64" s="5" t="s">
        <v>198</v>
      </c>
      <c r="D64" s="38">
        <v>401.07921312451498</v>
      </c>
      <c r="E64" s="38">
        <v>505.61722480479301</v>
      </c>
      <c r="F64" s="38">
        <v>559.63104723159302</v>
      </c>
      <c r="G64" s="39">
        <f>F64*(1+G65)</f>
        <v>657.5664804971218</v>
      </c>
      <c r="H64" s="39">
        <f t="shared" ref="H64:P64" si="32">G64*(1+H65)</f>
        <v>723.32312854683403</v>
      </c>
      <c r="I64" s="39">
        <f t="shared" si="32"/>
        <v>795.65544140151746</v>
      </c>
      <c r="J64" s="39">
        <f t="shared" si="32"/>
        <v>859.30787671363896</v>
      </c>
      <c r="K64" s="39">
        <f t="shared" si="32"/>
        <v>928.05250685073008</v>
      </c>
      <c r="L64" s="39">
        <f t="shared" si="32"/>
        <v>1002.2967073987886</v>
      </c>
      <c r="M64" s="39">
        <f t="shared" si="32"/>
        <v>1062.4345098427159</v>
      </c>
      <c r="N64" s="39">
        <f t="shared" si="32"/>
        <v>1115.5562353348516</v>
      </c>
      <c r="O64" s="39">
        <f t="shared" si="32"/>
        <v>1171.3340471015943</v>
      </c>
      <c r="P64" s="40">
        <f t="shared" si="32"/>
        <v>1229.900749456674</v>
      </c>
      <c r="U64" s="104" t="s">
        <v>199</v>
      </c>
      <c r="V64" s="5" t="s">
        <v>200</v>
      </c>
      <c r="AA64" s="46">
        <v>1.4999999999999999E-2</v>
      </c>
      <c r="AB64" s="46">
        <v>1.4999999999999999E-2</v>
      </c>
      <c r="AC64" s="46">
        <v>1.4999999999999999E-2</v>
      </c>
      <c r="AD64" s="46">
        <v>1.4999999999999999E-2</v>
      </c>
      <c r="AE64" s="46">
        <v>1.4999999999999999E-2</v>
      </c>
      <c r="AF64" s="46">
        <v>1.4999999999999999E-2</v>
      </c>
      <c r="AG64" s="46">
        <v>1.4999999999999999E-2</v>
      </c>
      <c r="AH64" s="46">
        <v>1.4999999999999999E-2</v>
      </c>
      <c r="AI64" s="46">
        <v>1.4999999999999999E-2</v>
      </c>
      <c r="AJ64" s="47">
        <v>1.4999999999999999E-2</v>
      </c>
    </row>
    <row r="65" spans="2:38" x14ac:dyDescent="0.3">
      <c r="B65" s="32" t="s">
        <v>201</v>
      </c>
      <c r="D65" s="233">
        <v>0</v>
      </c>
      <c r="E65" s="241">
        <f>IF(ISERROR(E64/D64),"NA",E64/D64-1)</f>
        <v>0.26064180904789058</v>
      </c>
      <c r="F65" s="241">
        <f>IF(ISERROR(F64/E64),"NA",F64/E64-1)</f>
        <v>0.1068274967247278</v>
      </c>
      <c r="G65" s="242" cm="1">
        <f t="array" ref="G65">INDEX($AH$31:$AR$33,$AD$8,AI$29+1)</f>
        <v>0.17499999999999999</v>
      </c>
      <c r="H65" s="242" cm="1">
        <f t="array" ref="H65">INDEX($AH$31:$AR$33,$AD$8,AJ$29+1)</f>
        <v>0.1</v>
      </c>
      <c r="I65" s="242" cm="1">
        <f t="array" ref="I65">INDEX($AH$31:$AR$33,$AD$8,AK$29+1)</f>
        <v>0.1</v>
      </c>
      <c r="J65" s="242" cm="1">
        <f t="array" ref="J65">INDEX($AH$31:$AR$33,$AD$8,AL$29+1)</f>
        <v>0.08</v>
      </c>
      <c r="K65" s="242" cm="1">
        <f t="array" ref="K65">INDEX($AH$31:$AR$33,$AD$8,AM$29+1)</f>
        <v>0.08</v>
      </c>
      <c r="L65" s="242" cm="1">
        <f t="array" ref="L65">INDEX($AH$31:$AR$33,$AD$8,AN$29+1)</f>
        <v>0.08</v>
      </c>
      <c r="M65" s="242" cm="1">
        <f t="array" ref="M65">INDEX($AH$31:$AR$33,$AD$8,AO$29+1)</f>
        <v>0.06</v>
      </c>
      <c r="N65" s="242" cm="1">
        <f t="array" ref="N65">INDEX($AH$31:$AR$33,$AD$8,AP$29+1)</f>
        <v>0.05</v>
      </c>
      <c r="O65" s="242" cm="1">
        <f t="array" ref="O65">INDEX($AH$31:$AR$33,$AD$8,AQ$29+1)</f>
        <v>0.05</v>
      </c>
      <c r="P65" s="243" cm="1">
        <f t="array" ref="P65">INDEX($AH$31:$AR$33,$AD$8,AR$29+1)</f>
        <v>0.05</v>
      </c>
      <c r="U65" s="105">
        <v>1</v>
      </c>
      <c r="V65" s="5" t="s">
        <v>196</v>
      </c>
      <c r="AA65" s="116">
        <f t="shared" ref="AA65:AJ65" si="33">AA64+$W$59</f>
        <v>3.5000000000000003E-2</v>
      </c>
      <c r="AB65" s="116">
        <f t="shared" si="33"/>
        <v>3.5000000000000003E-2</v>
      </c>
      <c r="AC65" s="116">
        <f t="shared" si="33"/>
        <v>3.5000000000000003E-2</v>
      </c>
      <c r="AD65" s="116">
        <f t="shared" si="33"/>
        <v>3.5000000000000003E-2</v>
      </c>
      <c r="AE65" s="116">
        <f t="shared" si="33"/>
        <v>3.5000000000000003E-2</v>
      </c>
      <c r="AF65" s="116">
        <f t="shared" si="33"/>
        <v>3.5000000000000003E-2</v>
      </c>
      <c r="AG65" s="116">
        <f t="shared" si="33"/>
        <v>3.5000000000000003E-2</v>
      </c>
      <c r="AH65" s="116">
        <f t="shared" si="33"/>
        <v>3.5000000000000003E-2</v>
      </c>
      <c r="AI65" s="116">
        <f t="shared" si="33"/>
        <v>3.5000000000000003E-2</v>
      </c>
      <c r="AJ65" s="117">
        <f t="shared" si="33"/>
        <v>3.5000000000000003E-2</v>
      </c>
    </row>
    <row r="66" spans="2:38" x14ac:dyDescent="0.3">
      <c r="B66" s="32" t="s">
        <v>202</v>
      </c>
      <c r="D66" s="233">
        <v>0</v>
      </c>
      <c r="E66" s="233">
        <v>0</v>
      </c>
      <c r="F66" s="233">
        <v>0</v>
      </c>
      <c r="G66" s="241">
        <f t="shared" ref="G66:P66" si="34">IF(ISERROR(G64/$F$64),"NA",(G64/$F$64)^(1/AI29)-1)</f>
        <v>0.17500000000000004</v>
      </c>
      <c r="H66" s="241">
        <f t="shared" si="34"/>
        <v>0.13688170009020739</v>
      </c>
      <c r="I66" s="241">
        <f t="shared" si="34"/>
        <v>0.12445240840120153</v>
      </c>
      <c r="J66" s="241">
        <f t="shared" si="34"/>
        <v>0.11317065244473046</v>
      </c>
      <c r="K66" s="241">
        <f t="shared" si="34"/>
        <v>0.10645600354280704</v>
      </c>
      <c r="L66" s="241">
        <f t="shared" si="34"/>
        <v>0.10200208759933749</v>
      </c>
      <c r="M66" s="241">
        <f t="shared" si="34"/>
        <v>9.5901398733548859E-2</v>
      </c>
      <c r="N66" s="241">
        <f t="shared" si="34"/>
        <v>9.0055745793725439E-2</v>
      </c>
      <c r="O66" s="241">
        <f t="shared" si="34"/>
        <v>8.5530692831849109E-2</v>
      </c>
      <c r="P66" s="244">
        <f t="shared" si="34"/>
        <v>8.1924179018369792E-2</v>
      </c>
      <c r="U66" s="105">
        <v>1</v>
      </c>
      <c r="V66" s="5" t="s">
        <v>203</v>
      </c>
      <c r="AA66" s="46">
        <v>0.08</v>
      </c>
      <c r="AB66" s="46">
        <v>0.08</v>
      </c>
      <c r="AC66" s="46">
        <v>0.08</v>
      </c>
      <c r="AD66" s="46">
        <v>0.08</v>
      </c>
      <c r="AE66" s="46">
        <v>0.08</v>
      </c>
      <c r="AF66" s="46">
        <v>0.08</v>
      </c>
      <c r="AG66" s="46">
        <v>0.08</v>
      </c>
      <c r="AH66" s="46">
        <v>0.08</v>
      </c>
      <c r="AI66" s="46">
        <v>0.08</v>
      </c>
      <c r="AJ66" s="47">
        <v>0.08</v>
      </c>
    </row>
    <row r="67" spans="2:38" x14ac:dyDescent="0.3">
      <c r="B67" s="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7"/>
      <c r="U67" s="105">
        <v>1</v>
      </c>
      <c r="V67" s="5" t="str">
        <f t="shared" ref="V67:V72" si="35">V32</f>
        <v>Revolver</v>
      </c>
      <c r="AA67" s="116">
        <f t="shared" ref="AA67:AJ67" si="36">AA64+$W$60</f>
        <v>3.5000000000000003E-2</v>
      </c>
      <c r="AB67" s="116">
        <f t="shared" si="36"/>
        <v>3.5000000000000003E-2</v>
      </c>
      <c r="AC67" s="116">
        <f t="shared" si="36"/>
        <v>3.5000000000000003E-2</v>
      </c>
      <c r="AD67" s="116">
        <f t="shared" si="36"/>
        <v>3.5000000000000003E-2</v>
      </c>
      <c r="AE67" s="116">
        <f t="shared" si="36"/>
        <v>3.5000000000000003E-2</v>
      </c>
      <c r="AF67" s="116">
        <f t="shared" si="36"/>
        <v>3.5000000000000003E-2</v>
      </c>
      <c r="AG67" s="116">
        <f t="shared" si="36"/>
        <v>3.5000000000000003E-2</v>
      </c>
      <c r="AH67" s="116">
        <f t="shared" si="36"/>
        <v>3.5000000000000003E-2</v>
      </c>
      <c r="AI67" s="116">
        <f t="shared" si="36"/>
        <v>3.5000000000000003E-2</v>
      </c>
      <c r="AJ67" s="117">
        <f t="shared" si="36"/>
        <v>3.5000000000000003E-2</v>
      </c>
    </row>
    <row r="68" spans="2:38" x14ac:dyDescent="0.3">
      <c r="B68" s="5" t="s">
        <v>204</v>
      </c>
      <c r="D68" s="38">
        <v>166.08931416974701</v>
      </c>
      <c r="E68" s="38">
        <v>207.11961719391601</v>
      </c>
      <c r="F68" s="38">
        <v>207.11961719391601</v>
      </c>
      <c r="G68" s="39">
        <f>G64*G69</f>
        <v>276.17792180879115</v>
      </c>
      <c r="H68" s="39">
        <f t="shared" ref="H68:P68" si="37">H64*H69</f>
        <v>303.79571398967028</v>
      </c>
      <c r="I68" s="39">
        <f t="shared" si="37"/>
        <v>334.17528538863735</v>
      </c>
      <c r="J68" s="39">
        <f t="shared" si="37"/>
        <v>360.90930821972836</v>
      </c>
      <c r="K68" s="39">
        <f t="shared" si="37"/>
        <v>389.78205287730663</v>
      </c>
      <c r="L68" s="39">
        <f t="shared" si="37"/>
        <v>420.96461710749122</v>
      </c>
      <c r="M68" s="39">
        <f t="shared" si="37"/>
        <v>446.22249413394064</v>
      </c>
      <c r="N68" s="39">
        <f t="shared" si="37"/>
        <v>468.53361884063764</v>
      </c>
      <c r="O68" s="39">
        <f t="shared" si="37"/>
        <v>491.96029978266955</v>
      </c>
      <c r="P68" s="40">
        <f t="shared" si="37"/>
        <v>516.55831477180311</v>
      </c>
      <c r="U68" s="105">
        <v>1</v>
      </c>
      <c r="V68" s="5" t="str">
        <f t="shared" si="35"/>
        <v>Term Loan</v>
      </c>
      <c r="AA68" s="116">
        <f t="shared" ref="AA68:AJ68" si="38">AA64+$W$61</f>
        <v>0.04</v>
      </c>
      <c r="AB68" s="116">
        <f t="shared" si="38"/>
        <v>0.04</v>
      </c>
      <c r="AC68" s="116">
        <f t="shared" si="38"/>
        <v>0.04</v>
      </c>
      <c r="AD68" s="116">
        <f t="shared" si="38"/>
        <v>0.04</v>
      </c>
      <c r="AE68" s="116">
        <f t="shared" si="38"/>
        <v>0.04</v>
      </c>
      <c r="AF68" s="116">
        <f t="shared" si="38"/>
        <v>0.04</v>
      </c>
      <c r="AG68" s="116">
        <f t="shared" si="38"/>
        <v>0.04</v>
      </c>
      <c r="AH68" s="116">
        <f t="shared" si="38"/>
        <v>0.04</v>
      </c>
      <c r="AI68" s="116">
        <f t="shared" si="38"/>
        <v>0.04</v>
      </c>
      <c r="AJ68" s="117">
        <f t="shared" si="38"/>
        <v>0.04</v>
      </c>
    </row>
    <row r="69" spans="2:38" x14ac:dyDescent="0.3">
      <c r="B69" s="32" t="s">
        <v>205</v>
      </c>
      <c r="D69" s="241">
        <f>IF(ISERROR(D68/D64),"NA",D68/D64)</f>
        <v>0.41410601381175199</v>
      </c>
      <c r="E69" s="241">
        <f t="shared" ref="E69:F69" si="39">IF(ISERROR(E68/E64),"NA",E68/E64)</f>
        <v>0.40963718606279692</v>
      </c>
      <c r="F69" s="241">
        <f t="shared" si="39"/>
        <v>0.37010029772026454</v>
      </c>
      <c r="G69" s="242" cm="1">
        <f t="array" ref="G69">INDEX($AH$37:$AR$39,$AD$8,AI$29+1)</f>
        <v>0.42</v>
      </c>
      <c r="H69" s="242" cm="1">
        <f t="array" ref="H69">INDEX($AH$37:$AR$39,$AD$8,AJ$29+1)</f>
        <v>0.42</v>
      </c>
      <c r="I69" s="242" cm="1">
        <f t="array" ref="I69">INDEX($AH$37:$AR$39,$AD$8,AK$29+1)</f>
        <v>0.42</v>
      </c>
      <c r="J69" s="242" cm="1">
        <f t="array" ref="J69">INDEX($AH$37:$AR$39,$AD$8,AL$29+1)</f>
        <v>0.42</v>
      </c>
      <c r="K69" s="242" cm="1">
        <f t="array" ref="K69">INDEX($AH$37:$AR$39,$AD$8,AM$29+1)</f>
        <v>0.42</v>
      </c>
      <c r="L69" s="242" cm="1">
        <f t="array" ref="L69">INDEX($AH$37:$AR$39,$AD$8,AN$29+1)</f>
        <v>0.42</v>
      </c>
      <c r="M69" s="242" cm="1">
        <f t="array" ref="M69">INDEX($AH$37:$AR$39,$AD$8,AO$29+1)</f>
        <v>0.42</v>
      </c>
      <c r="N69" s="242" cm="1">
        <f t="array" ref="N69">INDEX($AH$37:$AR$39,$AD$8,AP$29+1)</f>
        <v>0.42</v>
      </c>
      <c r="O69" s="242" cm="1">
        <f t="array" ref="O69">INDEX($AH$37:$AR$39,$AD$8,AQ$29+1)</f>
        <v>0.42</v>
      </c>
      <c r="P69" s="243" cm="1">
        <f t="array" ref="P69">INDEX($AH$37:$AR$39,$AD$8,AR$29+1)</f>
        <v>0.42</v>
      </c>
      <c r="U69" s="105">
        <v>1</v>
      </c>
      <c r="V69" s="5" t="str">
        <f t="shared" si="35"/>
        <v>Senior Unsecured Debt</v>
      </c>
      <c r="AA69" s="46">
        <v>0.06</v>
      </c>
      <c r="AB69" s="46">
        <v>0.06</v>
      </c>
      <c r="AC69" s="46">
        <v>0.06</v>
      </c>
      <c r="AD69" s="46">
        <v>0.06</v>
      </c>
      <c r="AE69" s="46">
        <v>0.06</v>
      </c>
      <c r="AF69" s="46">
        <v>0.06</v>
      </c>
      <c r="AG69" s="46">
        <v>0.06</v>
      </c>
      <c r="AH69" s="46">
        <v>0.06</v>
      </c>
      <c r="AI69" s="46">
        <v>0.06</v>
      </c>
      <c r="AJ69" s="47">
        <v>0.06</v>
      </c>
    </row>
    <row r="70" spans="2:38" x14ac:dyDescent="0.3">
      <c r="B70" s="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7"/>
      <c r="U70" s="105">
        <v>0</v>
      </c>
      <c r="V70" s="5" t="str">
        <f t="shared" si="35"/>
        <v>Subordinated Debt</v>
      </c>
      <c r="AA70" s="46">
        <v>7.0000000000000007E-2</v>
      </c>
      <c r="AB70" s="46">
        <v>7.0000000000000007E-2</v>
      </c>
      <c r="AC70" s="46">
        <v>7.0000000000000007E-2</v>
      </c>
      <c r="AD70" s="46">
        <v>7.0000000000000007E-2</v>
      </c>
      <c r="AE70" s="46">
        <v>7.0000000000000007E-2</v>
      </c>
      <c r="AF70" s="46">
        <v>7.0000000000000007E-2</v>
      </c>
      <c r="AG70" s="46">
        <v>7.0000000000000007E-2</v>
      </c>
      <c r="AH70" s="46">
        <v>7.0000000000000007E-2</v>
      </c>
      <c r="AI70" s="46">
        <v>7.0000000000000007E-2</v>
      </c>
      <c r="AJ70" s="47">
        <v>7.0000000000000007E-2</v>
      </c>
    </row>
    <row r="71" spans="2:38" x14ac:dyDescent="0.3">
      <c r="B71" s="5" t="s">
        <v>206</v>
      </c>
      <c r="D71" s="39">
        <f>D64-D68</f>
        <v>234.98989895476797</v>
      </c>
      <c r="E71" s="39">
        <f t="shared" ref="E71:P71" si="40">E64-E68</f>
        <v>298.49760761087703</v>
      </c>
      <c r="F71" s="39">
        <f t="shared" si="40"/>
        <v>352.51143003767697</v>
      </c>
      <c r="G71" s="39">
        <f t="shared" si="40"/>
        <v>381.38855868833065</v>
      </c>
      <c r="H71" s="39">
        <f t="shared" si="40"/>
        <v>419.52741455716375</v>
      </c>
      <c r="I71" s="39">
        <f t="shared" si="40"/>
        <v>461.48015601288012</v>
      </c>
      <c r="J71" s="39">
        <f t="shared" si="40"/>
        <v>498.3985684939106</v>
      </c>
      <c r="K71" s="39">
        <f t="shared" si="40"/>
        <v>538.2704539734234</v>
      </c>
      <c r="L71" s="39">
        <f t="shared" si="40"/>
        <v>581.33209029129739</v>
      </c>
      <c r="M71" s="39">
        <f t="shared" si="40"/>
        <v>616.2120157087752</v>
      </c>
      <c r="N71" s="39">
        <f t="shared" si="40"/>
        <v>647.02261649421393</v>
      </c>
      <c r="O71" s="39">
        <f t="shared" si="40"/>
        <v>679.37374731892464</v>
      </c>
      <c r="P71" s="40">
        <f t="shared" si="40"/>
        <v>713.34243468487091</v>
      </c>
      <c r="U71" s="106">
        <v>0</v>
      </c>
      <c r="V71" s="5" t="str">
        <f t="shared" si="35"/>
        <v>Mezzanine</v>
      </c>
      <c r="AA71" s="46">
        <v>0.06</v>
      </c>
      <c r="AB71" s="46">
        <v>0.06</v>
      </c>
      <c r="AC71" s="46">
        <v>0.06</v>
      </c>
      <c r="AD71" s="46">
        <v>0.06</v>
      </c>
      <c r="AE71" s="46">
        <v>0.06</v>
      </c>
      <c r="AF71" s="46">
        <v>0.06</v>
      </c>
      <c r="AG71" s="46">
        <v>0.06</v>
      </c>
      <c r="AH71" s="46">
        <v>0.06</v>
      </c>
      <c r="AI71" s="46">
        <v>0.06</v>
      </c>
      <c r="AJ71" s="47">
        <v>0.06</v>
      </c>
    </row>
    <row r="72" spans="2:38" x14ac:dyDescent="0.3">
      <c r="B72" s="5" t="s">
        <v>207</v>
      </c>
      <c r="D72" s="241">
        <f>IF(ISERROR(D71/D64),"NA",D71/D64)</f>
        <v>0.58589398618824806</v>
      </c>
      <c r="E72" s="241">
        <f t="shared" ref="E72:F72" si="41">IF(ISERROR(E71/E64),"NA",E71/E64)</f>
        <v>0.59036281393720313</v>
      </c>
      <c r="F72" s="241">
        <f t="shared" si="41"/>
        <v>0.62989970227973535</v>
      </c>
      <c r="G72" s="241">
        <f t="shared" ref="G72" si="42">IF(ISERROR(G71/G64),"NA",G71/G64)</f>
        <v>0.57999999999999996</v>
      </c>
      <c r="H72" s="241">
        <f t="shared" ref="H72" si="43">IF(ISERROR(H71/H64),"NA",H71/H64)</f>
        <v>0.58000000000000007</v>
      </c>
      <c r="I72" s="241">
        <f t="shared" ref="I72" si="44">IF(ISERROR(I71/I64),"NA",I71/I64)</f>
        <v>0.57999999999999996</v>
      </c>
      <c r="J72" s="241">
        <f t="shared" ref="J72" si="45">IF(ISERROR(J71/J64),"NA",J71/J64)</f>
        <v>0.57999999999999996</v>
      </c>
      <c r="K72" s="241">
        <f t="shared" ref="K72" si="46">IF(ISERROR(K71/K64),"NA",K71/K64)</f>
        <v>0.57999999999999996</v>
      </c>
      <c r="L72" s="241">
        <f t="shared" ref="L72" si="47">IF(ISERROR(L71/L64),"NA",L71/L64)</f>
        <v>0.57999999999999996</v>
      </c>
      <c r="M72" s="241">
        <f t="shared" ref="M72" si="48">IF(ISERROR(M71/M64),"NA",M71/M64)</f>
        <v>0.57999999999999996</v>
      </c>
      <c r="N72" s="241">
        <f t="shared" ref="N72" si="49">IF(ISERROR(N71/N64),"NA",N71/N64)</f>
        <v>0.57999999999999996</v>
      </c>
      <c r="O72" s="241">
        <f t="shared" ref="O72" si="50">IF(ISERROR(O71/O64),"NA",O71/O64)</f>
        <v>0.57999999999999996</v>
      </c>
      <c r="P72" s="244">
        <f t="shared" ref="P72" si="51">IF(ISERROR(P71/P64),"NA",P71/P64)</f>
        <v>0.57999999999999996</v>
      </c>
      <c r="V72" s="5" t="str">
        <f t="shared" si="35"/>
        <v>Preferred Stock</v>
      </c>
      <c r="AA72" s="46">
        <v>0.1</v>
      </c>
      <c r="AB72" s="46">
        <v>0.1</v>
      </c>
      <c r="AC72" s="46">
        <v>0.1</v>
      </c>
      <c r="AD72" s="46">
        <v>0.1</v>
      </c>
      <c r="AE72" s="46">
        <v>0.1</v>
      </c>
      <c r="AF72" s="46">
        <v>0.1</v>
      </c>
      <c r="AG72" s="46">
        <v>0.1</v>
      </c>
      <c r="AH72" s="46">
        <v>0.1</v>
      </c>
      <c r="AI72" s="46">
        <v>0.1</v>
      </c>
      <c r="AJ72" s="47">
        <v>0.1</v>
      </c>
    </row>
    <row r="73" spans="2:38" x14ac:dyDescent="0.3">
      <c r="B73" s="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7"/>
      <c r="V73" s="5" t="s">
        <v>208</v>
      </c>
      <c r="AA73" s="116">
        <f t="shared" ref="AA73:AJ73" si="52">AA64+$W$62</f>
        <v>0.02</v>
      </c>
      <c r="AB73" s="116">
        <f t="shared" si="52"/>
        <v>0.02</v>
      </c>
      <c r="AC73" s="116">
        <f t="shared" si="52"/>
        <v>0.02</v>
      </c>
      <c r="AD73" s="116">
        <f t="shared" si="52"/>
        <v>0.02</v>
      </c>
      <c r="AE73" s="116">
        <f t="shared" si="52"/>
        <v>0.02</v>
      </c>
      <c r="AF73" s="116">
        <f t="shared" si="52"/>
        <v>0.02</v>
      </c>
      <c r="AG73" s="116">
        <f t="shared" si="52"/>
        <v>0.02</v>
      </c>
      <c r="AH73" s="116">
        <f t="shared" si="52"/>
        <v>0.02</v>
      </c>
      <c r="AI73" s="116">
        <f t="shared" si="52"/>
        <v>0.02</v>
      </c>
      <c r="AJ73" s="117">
        <f t="shared" si="52"/>
        <v>0.02</v>
      </c>
    </row>
    <row r="74" spans="2:38" ht="15" thickBot="1" x14ac:dyDescent="0.35">
      <c r="B74" s="5" t="s">
        <v>209</v>
      </c>
      <c r="D74" s="236">
        <v>149.40882507069901</v>
      </c>
      <c r="E74" s="236">
        <v>179.28867620924098</v>
      </c>
      <c r="F74" s="236">
        <v>212.99415201494099</v>
      </c>
      <c r="G74" s="237">
        <f>G64*G75</f>
        <v>236.72393297896383</v>
      </c>
      <c r="H74" s="237">
        <f t="shared" ref="H74:P74" si="53">H64*H75</f>
        <v>260.39632627686024</v>
      </c>
      <c r="I74" s="237">
        <f t="shared" si="53"/>
        <v>286.43595890454628</v>
      </c>
      <c r="J74" s="237">
        <f t="shared" si="53"/>
        <v>309.35083561690999</v>
      </c>
      <c r="K74" s="237">
        <f t="shared" si="53"/>
        <v>334.09890246626281</v>
      </c>
      <c r="L74" s="237">
        <f t="shared" si="53"/>
        <v>360.82681466356388</v>
      </c>
      <c r="M74" s="237">
        <f t="shared" si="53"/>
        <v>382.47642354337773</v>
      </c>
      <c r="N74" s="237">
        <f t="shared" si="53"/>
        <v>401.60024472054658</v>
      </c>
      <c r="O74" s="237">
        <f t="shared" si="53"/>
        <v>421.68025695657394</v>
      </c>
      <c r="P74" s="238">
        <f t="shared" si="53"/>
        <v>442.76426980440266</v>
      </c>
      <c r="V74" s="7" t="s">
        <v>210</v>
      </c>
      <c r="W74" s="18"/>
      <c r="X74" s="18"/>
      <c r="Y74" s="18"/>
      <c r="Z74" s="18"/>
      <c r="AA74" s="48">
        <v>1.4999999999999999E-2</v>
      </c>
      <c r="AB74" s="48">
        <v>1.4999999999999999E-2</v>
      </c>
      <c r="AC74" s="48">
        <v>1.4999999999999999E-2</v>
      </c>
      <c r="AD74" s="48">
        <v>1.4999999999999999E-2</v>
      </c>
      <c r="AE74" s="48">
        <v>1.4999999999999999E-2</v>
      </c>
      <c r="AF74" s="48">
        <v>1.4999999999999999E-2</v>
      </c>
      <c r="AG74" s="48">
        <v>1.4999999999999999E-2</v>
      </c>
      <c r="AH74" s="48">
        <v>1.4999999999999999E-2</v>
      </c>
      <c r="AI74" s="48">
        <v>1.4999999999999999E-2</v>
      </c>
      <c r="AJ74" s="49">
        <v>1.4999999999999999E-2</v>
      </c>
    </row>
    <row r="75" spans="2:38" ht="15" thickBot="1" x14ac:dyDescent="0.35">
      <c r="B75" s="32" t="s">
        <v>205</v>
      </c>
      <c r="D75" s="241">
        <f>IF(ISERROR(D74/D64),"NA",D74/D64)</f>
        <v>0.37251699958909379</v>
      </c>
      <c r="E75" s="241">
        <f t="shared" ref="E75:F75" si="54">IF(ISERROR(E74/E64),"NA",E74/E64)</f>
        <v>0.35459368750433717</v>
      </c>
      <c r="F75" s="241">
        <f t="shared" si="54"/>
        <v>0.380597454463239</v>
      </c>
      <c r="G75" s="242" cm="1">
        <f t="array" ref="G75">INDEX($AH$43:$AR$45,$AD$8,AI$29+1)</f>
        <v>0.36</v>
      </c>
      <c r="H75" s="242" cm="1">
        <f t="array" ref="H75">INDEX($AH$43:$AR$45,$AD$8,AJ$29+1)</f>
        <v>0.36</v>
      </c>
      <c r="I75" s="242" cm="1">
        <f t="array" ref="I75">INDEX($AH$43:$AR$45,$AD$8,AK$29+1)</f>
        <v>0.36</v>
      </c>
      <c r="J75" s="242" cm="1">
        <f t="array" ref="J75">INDEX($AH$43:$AR$45,$AD$8,AL$29+1)</f>
        <v>0.36</v>
      </c>
      <c r="K75" s="242" cm="1">
        <f t="array" ref="K75">INDEX($AH$43:$AR$45,$AD$8,AM$29+1)</f>
        <v>0.36</v>
      </c>
      <c r="L75" s="242" cm="1">
        <f t="array" ref="L75">INDEX($AH$43:$AR$45,$AD$8,AN$29+1)</f>
        <v>0.36</v>
      </c>
      <c r="M75" s="242" cm="1">
        <f t="array" ref="M75">INDEX($AH$43:$AR$45,$AD$8,AO$29+1)</f>
        <v>0.36</v>
      </c>
      <c r="N75" s="242" cm="1">
        <f t="array" ref="N75">INDEX($AH$43:$AR$45,$AD$8,AP$29+1)</f>
        <v>0.36</v>
      </c>
      <c r="O75" s="242" cm="1">
        <f t="array" ref="O75">INDEX($AH$43:$AR$45,$AD$8,AQ$29+1)</f>
        <v>0.36</v>
      </c>
      <c r="P75" s="243" cm="1">
        <f t="array" ref="P75">INDEX($AH$43:$AR$45,$AD$8,AR$29+1)</f>
        <v>0.36</v>
      </c>
    </row>
    <row r="76" spans="2:38" x14ac:dyDescent="0.3">
      <c r="B76" s="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7"/>
      <c r="V76" s="87" t="s">
        <v>211</v>
      </c>
      <c r="W76" s="9"/>
      <c r="X76" s="9"/>
      <c r="Y76" s="9"/>
      <c r="Z76" s="9"/>
      <c r="AA76" s="88">
        <f>$Y$12</f>
        <v>2024</v>
      </c>
      <c r="AB76" s="88">
        <f t="shared" ref="AB76:AJ76" si="55">H168</f>
        <v>2025</v>
      </c>
      <c r="AC76" s="88">
        <f t="shared" si="55"/>
        <v>2026</v>
      </c>
      <c r="AD76" s="88">
        <f t="shared" si="55"/>
        <v>2027</v>
      </c>
      <c r="AE76" s="88">
        <f t="shared" si="55"/>
        <v>2028</v>
      </c>
      <c r="AF76" s="88">
        <f t="shared" si="55"/>
        <v>2029</v>
      </c>
      <c r="AG76" s="88">
        <f t="shared" si="55"/>
        <v>2030</v>
      </c>
      <c r="AH76" s="88">
        <f t="shared" si="55"/>
        <v>2031</v>
      </c>
      <c r="AI76" s="88">
        <f t="shared" si="55"/>
        <v>2032</v>
      </c>
      <c r="AJ76" s="89">
        <f t="shared" si="55"/>
        <v>2033</v>
      </c>
    </row>
    <row r="77" spans="2:38" x14ac:dyDescent="0.3">
      <c r="B77" s="5" t="s">
        <v>153</v>
      </c>
      <c r="D77" s="237">
        <f>D71-D74</f>
        <v>85.581073884068957</v>
      </c>
      <c r="E77" s="237">
        <f t="shared" ref="E77:P77" si="56">E71-E74</f>
        <v>119.20893140163605</v>
      </c>
      <c r="F77" s="237">
        <f t="shared" si="56"/>
        <v>139.51727802273598</v>
      </c>
      <c r="G77" s="237">
        <f t="shared" si="56"/>
        <v>144.66462570936682</v>
      </c>
      <c r="H77" s="237">
        <f t="shared" si="56"/>
        <v>159.13108828030352</v>
      </c>
      <c r="I77" s="237">
        <f t="shared" si="56"/>
        <v>175.04419710833383</v>
      </c>
      <c r="J77" s="237">
        <f t="shared" si="56"/>
        <v>189.04773287700061</v>
      </c>
      <c r="K77" s="237">
        <f t="shared" si="56"/>
        <v>204.17155150716059</v>
      </c>
      <c r="L77" s="237">
        <f t="shared" si="56"/>
        <v>220.50527562773351</v>
      </c>
      <c r="M77" s="237">
        <f t="shared" si="56"/>
        <v>233.73559216539746</v>
      </c>
      <c r="N77" s="237">
        <f t="shared" si="56"/>
        <v>245.42237177366735</v>
      </c>
      <c r="O77" s="237">
        <f t="shared" si="56"/>
        <v>257.6934903623507</v>
      </c>
      <c r="P77" s="238">
        <f t="shared" si="56"/>
        <v>270.57816488046825</v>
      </c>
      <c r="V77" s="61"/>
      <c r="AJ77" s="16"/>
    </row>
    <row r="78" spans="2:38" x14ac:dyDescent="0.3">
      <c r="B78" s="32" t="s">
        <v>205</v>
      </c>
      <c r="D78" s="241">
        <f>IFERROR(D77/D64,"NA")</f>
        <v>0.21337698659915424</v>
      </c>
      <c r="E78" s="241">
        <f t="shared" ref="E78:P78" si="57">IFERROR(E77/E64,"NA")</f>
        <v>0.23576912643286596</v>
      </c>
      <c r="F78" s="241">
        <f t="shared" si="57"/>
        <v>0.24930224781649635</v>
      </c>
      <c r="G78" s="241">
        <f t="shared" si="57"/>
        <v>0.22000000000000003</v>
      </c>
      <c r="H78" s="241">
        <f t="shared" si="57"/>
        <v>0.22000000000000003</v>
      </c>
      <c r="I78" s="241">
        <f t="shared" si="57"/>
        <v>0.22</v>
      </c>
      <c r="J78" s="241">
        <f t="shared" si="57"/>
        <v>0.22000000000000006</v>
      </c>
      <c r="K78" s="241">
        <f t="shared" si="57"/>
        <v>0.21999999999999997</v>
      </c>
      <c r="L78" s="241">
        <f t="shared" si="57"/>
        <v>0.22000000000000003</v>
      </c>
      <c r="M78" s="241">
        <f t="shared" si="57"/>
        <v>0.21999999999999997</v>
      </c>
      <c r="N78" s="241">
        <f t="shared" si="57"/>
        <v>0.22</v>
      </c>
      <c r="O78" s="241">
        <f t="shared" si="57"/>
        <v>0.21999999999999997</v>
      </c>
      <c r="P78" s="244">
        <f t="shared" si="57"/>
        <v>0.21999999999999997</v>
      </c>
      <c r="V78" s="61" t="s">
        <v>212</v>
      </c>
      <c r="AA78" s="354">
        <f>IF($AG$14=1,$AG$15,0.26)</f>
        <v>0.26</v>
      </c>
      <c r="AB78" s="116">
        <f>AA78</f>
        <v>0.26</v>
      </c>
      <c r="AC78" s="116">
        <f t="shared" ref="AC78:AJ78" si="58">AB78</f>
        <v>0.26</v>
      </c>
      <c r="AD78" s="116">
        <f t="shared" si="58"/>
        <v>0.26</v>
      </c>
      <c r="AE78" s="116">
        <f t="shared" si="58"/>
        <v>0.26</v>
      </c>
      <c r="AF78" s="116">
        <f t="shared" si="58"/>
        <v>0.26</v>
      </c>
      <c r="AG78" s="116">
        <f t="shared" si="58"/>
        <v>0.26</v>
      </c>
      <c r="AH78" s="116">
        <f t="shared" si="58"/>
        <v>0.26</v>
      </c>
      <c r="AI78" s="116">
        <f t="shared" si="58"/>
        <v>0.26</v>
      </c>
      <c r="AJ78" s="117">
        <f t="shared" si="58"/>
        <v>0.26</v>
      </c>
      <c r="AL78" s="13"/>
    </row>
    <row r="79" spans="2:38" ht="15" thickBot="1" x14ac:dyDescent="0.35">
      <c r="B79" s="32" t="s">
        <v>201</v>
      </c>
      <c r="D79" s="233">
        <v>0</v>
      </c>
      <c r="E79" s="241">
        <f>IFERROR(E77/D77-1,"NA")</f>
        <v>0.3929356806520159</v>
      </c>
      <c r="F79" s="241">
        <f t="shared" ref="F79:P79" si="59">IFERROR(F77/E77-1,"NA")</f>
        <v>0.17035927075528856</v>
      </c>
      <c r="G79" s="241">
        <f t="shared" si="59"/>
        <v>3.6893980154859563E-2</v>
      </c>
      <c r="H79" s="241">
        <f t="shared" si="59"/>
        <v>0.10000000000000009</v>
      </c>
      <c r="I79" s="241">
        <f t="shared" si="59"/>
        <v>9.9999999999999867E-2</v>
      </c>
      <c r="J79" s="241">
        <f t="shared" si="59"/>
        <v>8.0000000000000515E-2</v>
      </c>
      <c r="K79" s="241">
        <f t="shared" si="59"/>
        <v>7.9999999999999627E-2</v>
      </c>
      <c r="L79" s="241">
        <f t="shared" si="59"/>
        <v>8.0000000000000293E-2</v>
      </c>
      <c r="M79" s="241">
        <f t="shared" si="59"/>
        <v>5.9999999999999831E-2</v>
      </c>
      <c r="N79" s="241">
        <f t="shared" si="59"/>
        <v>5.0000000000000044E-2</v>
      </c>
      <c r="O79" s="241">
        <f t="shared" si="59"/>
        <v>4.9999999999999822E-2</v>
      </c>
      <c r="P79" s="244">
        <f t="shared" si="59"/>
        <v>5.0000000000000044E-2</v>
      </c>
      <c r="V79" s="66" t="s">
        <v>213</v>
      </c>
      <c r="W79" s="18"/>
      <c r="X79" s="18"/>
      <c r="Y79" s="18"/>
      <c r="Z79" s="18"/>
      <c r="AA79" s="93">
        <v>0</v>
      </c>
      <c r="AB79" s="48">
        <f>AA79</f>
        <v>0</v>
      </c>
      <c r="AC79" s="48">
        <f t="shared" ref="AC79:AJ79" si="60">AB79</f>
        <v>0</v>
      </c>
      <c r="AD79" s="48">
        <f t="shared" si="60"/>
        <v>0</v>
      </c>
      <c r="AE79" s="48">
        <f t="shared" si="60"/>
        <v>0</v>
      </c>
      <c r="AF79" s="48">
        <f t="shared" si="60"/>
        <v>0</v>
      </c>
      <c r="AG79" s="48">
        <f t="shared" si="60"/>
        <v>0</v>
      </c>
      <c r="AH79" s="48">
        <f t="shared" si="60"/>
        <v>0</v>
      </c>
      <c r="AI79" s="48">
        <f t="shared" si="60"/>
        <v>0</v>
      </c>
      <c r="AJ79" s="49">
        <f t="shared" si="60"/>
        <v>0</v>
      </c>
    </row>
    <row r="80" spans="2:38" ht="15" thickBot="1" x14ac:dyDescent="0.35">
      <c r="B80" s="32" t="s">
        <v>202</v>
      </c>
      <c r="D80" s="233">
        <v>0</v>
      </c>
      <c r="E80" s="233">
        <v>0</v>
      </c>
      <c r="F80" s="233">
        <v>0</v>
      </c>
      <c r="G80" s="241">
        <f t="shared" ref="G80:P80" si="61">(G77/$F$77)^(1/AI29)-1</f>
        <v>3.6893980154859563E-2</v>
      </c>
      <c r="H80" s="241">
        <f t="shared" si="61"/>
        <v>6.7980982120162015E-2</v>
      </c>
      <c r="I80" s="241">
        <f t="shared" si="61"/>
        <v>7.8549067838501241E-2</v>
      </c>
      <c r="J80" s="241">
        <f t="shared" si="61"/>
        <v>7.8911618033089104E-2</v>
      </c>
      <c r="K80" s="241">
        <f t="shared" si="61"/>
        <v>7.9129206644761751E-2</v>
      </c>
      <c r="L80" s="241">
        <f t="shared" si="61"/>
        <v>7.9274290097555156E-2</v>
      </c>
      <c r="M80" s="241">
        <f t="shared" si="61"/>
        <v>7.6499509936165611E-2</v>
      </c>
      <c r="N80" s="241">
        <f t="shared" si="61"/>
        <v>7.3150838599115531E-2</v>
      </c>
      <c r="O80" s="241">
        <f t="shared" si="61"/>
        <v>7.0553519795741426E-2</v>
      </c>
      <c r="P80" s="244">
        <f t="shared" si="61"/>
        <v>6.8480191564076032E-2</v>
      </c>
    </row>
    <row r="81" spans="2:36" x14ac:dyDescent="0.3">
      <c r="B81" s="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7"/>
      <c r="V81" s="8" t="s">
        <v>214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10"/>
    </row>
    <row r="82" spans="2:36" x14ac:dyDescent="0.3">
      <c r="B82" s="5" t="s">
        <v>215</v>
      </c>
      <c r="D82" s="236">
        <v>7.8</v>
      </c>
      <c r="E82" s="236">
        <v>10.3</v>
      </c>
      <c r="F82" s="236">
        <v>10.3</v>
      </c>
      <c r="G82" s="237">
        <f>IFERROR((G64*G83)+G84,0)</f>
        <v>39.726994414913655</v>
      </c>
      <c r="H82" s="237">
        <f t="shared" ref="H82:P82" si="62">IFERROR((H64*H83)+H84,0)</f>
        <v>41.69969385640502</v>
      </c>
      <c r="I82" s="237">
        <f t="shared" si="62"/>
        <v>43.869663242045519</v>
      </c>
      <c r="J82" s="237">
        <f t="shared" si="62"/>
        <v>35.779236301409171</v>
      </c>
      <c r="K82" s="237">
        <f t="shared" si="62"/>
        <v>37.841575205521906</v>
      </c>
      <c r="L82" s="237">
        <f t="shared" si="62"/>
        <v>40.068901221963657</v>
      </c>
      <c r="M82" s="237">
        <f t="shared" si="62"/>
        <v>41.873035295281475</v>
      </c>
      <c r="N82" s="237">
        <f t="shared" si="62"/>
        <v>43.466687060045551</v>
      </c>
      <c r="O82" s="237">
        <f t="shared" si="62"/>
        <v>40.140021413047826</v>
      </c>
      <c r="P82" s="238">
        <f t="shared" si="62"/>
        <v>41.897022483700219</v>
      </c>
      <c r="V82" s="5"/>
      <c r="AA82" s="77">
        <f>LBO!Y12</f>
        <v>2024</v>
      </c>
      <c r="AB82" s="77">
        <f t="shared" ref="AB82:AJ82" si="63">AA82+1</f>
        <v>2025</v>
      </c>
      <c r="AC82" s="77">
        <f t="shared" si="63"/>
        <v>2026</v>
      </c>
      <c r="AD82" s="77">
        <f t="shared" si="63"/>
        <v>2027</v>
      </c>
      <c r="AE82" s="77">
        <f t="shared" si="63"/>
        <v>2028</v>
      </c>
      <c r="AF82" s="77">
        <f t="shared" si="63"/>
        <v>2029</v>
      </c>
      <c r="AG82" s="77">
        <f t="shared" si="63"/>
        <v>2030</v>
      </c>
      <c r="AH82" s="77">
        <f t="shared" si="63"/>
        <v>2031</v>
      </c>
      <c r="AI82" s="77">
        <f t="shared" si="63"/>
        <v>2032</v>
      </c>
      <c r="AJ82" s="126">
        <f t="shared" si="63"/>
        <v>2033</v>
      </c>
    </row>
    <row r="83" spans="2:36" x14ac:dyDescent="0.3">
      <c r="B83" s="32" t="s">
        <v>205</v>
      </c>
      <c r="D83" s="241">
        <f>IFERROR(D82/D64,"NA")</f>
        <v>1.9447529926160723E-2</v>
      </c>
      <c r="E83" s="241">
        <f t="shared" ref="E83:F83" si="64">IFERROR(E82/E64,"NA")</f>
        <v>2.0371141438024761E-2</v>
      </c>
      <c r="F83" s="241">
        <f t="shared" si="64"/>
        <v>1.840498315980231E-2</v>
      </c>
      <c r="G83" s="242">
        <v>0.03</v>
      </c>
      <c r="H83" s="242">
        <v>0.03</v>
      </c>
      <c r="I83" s="242">
        <v>0.03</v>
      </c>
      <c r="J83" s="242">
        <v>0.03</v>
      </c>
      <c r="K83" s="242">
        <v>0.03</v>
      </c>
      <c r="L83" s="242">
        <v>0.03</v>
      </c>
      <c r="M83" s="242">
        <v>0.03</v>
      </c>
      <c r="N83" s="242">
        <v>0.03</v>
      </c>
      <c r="O83" s="242">
        <v>0.03</v>
      </c>
      <c r="P83" s="243">
        <v>0.03</v>
      </c>
      <c r="V83" s="5" t="str">
        <f>LBO!V33</f>
        <v>Term Loan</v>
      </c>
      <c r="AA83" s="127">
        <v>0.2</v>
      </c>
      <c r="AB83" s="127">
        <v>0.2</v>
      </c>
      <c r="AC83" s="127">
        <v>0.2</v>
      </c>
      <c r="AD83" s="127">
        <v>0.2</v>
      </c>
      <c r="AE83" s="127">
        <v>0.2</v>
      </c>
      <c r="AF83" s="127">
        <v>0.2</v>
      </c>
      <c r="AG83" s="127">
        <v>0.2</v>
      </c>
      <c r="AH83" s="127">
        <v>0.2</v>
      </c>
      <c r="AI83" s="127">
        <v>0.2</v>
      </c>
      <c r="AJ83" s="128">
        <v>0.2</v>
      </c>
    </row>
    <row r="84" spans="2:36" x14ac:dyDescent="0.3">
      <c r="B84" s="5" t="s">
        <v>216</v>
      </c>
      <c r="D84" s="236">
        <v>0</v>
      </c>
      <c r="E84" s="236">
        <v>0</v>
      </c>
      <c r="F84" s="236">
        <v>0</v>
      </c>
      <c r="G84" s="236">
        <v>20</v>
      </c>
      <c r="H84" s="236">
        <v>20</v>
      </c>
      <c r="I84" s="236">
        <v>20</v>
      </c>
      <c r="J84" s="236">
        <v>10</v>
      </c>
      <c r="K84" s="236">
        <v>10</v>
      </c>
      <c r="L84" s="236">
        <v>10</v>
      </c>
      <c r="M84" s="236">
        <v>10</v>
      </c>
      <c r="N84" s="236">
        <v>10</v>
      </c>
      <c r="O84" s="236">
        <v>5</v>
      </c>
      <c r="P84" s="239">
        <v>5</v>
      </c>
      <c r="V84" s="5" t="str">
        <f>LBO!V34</f>
        <v>Senior Unsecured Debt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>
        <v>0</v>
      </c>
      <c r="AH84" s="127">
        <v>0</v>
      </c>
      <c r="AI84" s="127">
        <v>0.5</v>
      </c>
      <c r="AJ84" s="128">
        <v>0.5</v>
      </c>
    </row>
    <row r="85" spans="2:36" x14ac:dyDescent="0.3">
      <c r="B85" s="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7"/>
      <c r="V85" s="5" t="str">
        <f>LBO!V35</f>
        <v>Subordinated Debt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>
        <v>0</v>
      </c>
      <c r="AH85" s="127">
        <v>0</v>
      </c>
      <c r="AI85" s="127">
        <v>0</v>
      </c>
      <c r="AJ85" s="128">
        <v>0</v>
      </c>
    </row>
    <row r="86" spans="2:36" x14ac:dyDescent="0.3">
      <c r="B86" s="5" t="s">
        <v>191</v>
      </c>
      <c r="D86" s="236">
        <v>9.7511961707909993</v>
      </c>
      <c r="E86" s="236">
        <v>10.652844230198999</v>
      </c>
      <c r="F86" s="236">
        <v>10.682615628387</v>
      </c>
      <c r="G86" s="237">
        <f t="shared" ref="G86:P86" si="65">IFERROR(G87*G82,0)</f>
        <v>37.662872542778871</v>
      </c>
      <c r="H86" s="237">
        <f t="shared" si="65"/>
        <v>39.533075127301821</v>
      </c>
      <c r="I86" s="237">
        <f t="shared" si="65"/>
        <v>41.590297970277071</v>
      </c>
      <c r="J86" s="237">
        <f t="shared" si="65"/>
        <v>33.920230723320614</v>
      </c>
      <c r="K86" s="237">
        <f t="shared" si="65"/>
        <v>35.875415313284293</v>
      </c>
      <c r="L86" s="237">
        <f t="shared" si="65"/>
        <v>37.987014670445056</v>
      </c>
      <c r="M86" s="237">
        <f t="shared" si="65"/>
        <v>39.697410149745281</v>
      </c>
      <c r="N86" s="237">
        <f t="shared" si="65"/>
        <v>41.208259489793811</v>
      </c>
      <c r="O86" s="237">
        <f t="shared" si="65"/>
        <v>38.054439622457423</v>
      </c>
      <c r="P86" s="238">
        <f t="shared" si="65"/>
        <v>39.720151019860928</v>
      </c>
      <c r="V86" s="5" t="str">
        <f>LBO!V36</f>
        <v>Mezzanine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>
        <v>0</v>
      </c>
      <c r="AH86" s="127">
        <v>0</v>
      </c>
      <c r="AI86" s="127">
        <v>0</v>
      </c>
      <c r="AJ86" s="128">
        <v>0</v>
      </c>
    </row>
    <row r="87" spans="2:36" ht="15" thickBot="1" x14ac:dyDescent="0.35">
      <c r="B87" s="32" t="s">
        <v>217</v>
      </c>
      <c r="D87" s="241">
        <f>IFERROR(D86/D82,"NA")</f>
        <v>1.2501533552296153</v>
      </c>
      <c r="E87" s="241">
        <f t="shared" ref="E87:F87" si="66">IFERROR(E86/E82,"NA")</f>
        <v>1.0342567213785436</v>
      </c>
      <c r="F87" s="241">
        <f t="shared" si="66"/>
        <v>1.0371471483870873</v>
      </c>
      <c r="G87" s="242">
        <v>0.94804233487746803</v>
      </c>
      <c r="H87" s="242">
        <v>0.94804233487746803</v>
      </c>
      <c r="I87" s="242">
        <v>0.94804233487746803</v>
      </c>
      <c r="J87" s="242">
        <v>0.94804233487746803</v>
      </c>
      <c r="K87" s="242">
        <v>0.94804233487746803</v>
      </c>
      <c r="L87" s="242">
        <v>0.94804233487746803</v>
      </c>
      <c r="M87" s="242">
        <v>0.94804233487746803</v>
      </c>
      <c r="N87" s="242">
        <v>0.94804233487746803</v>
      </c>
      <c r="O87" s="242">
        <v>0.94804233487746803</v>
      </c>
      <c r="P87" s="243">
        <v>0.94804233487746803</v>
      </c>
      <c r="V87" s="7" t="str">
        <f>V37</f>
        <v>Preferred Stock</v>
      </c>
      <c r="W87" s="18"/>
      <c r="X87" s="18"/>
      <c r="Y87" s="18"/>
      <c r="Z87" s="18"/>
      <c r="AA87" s="129">
        <v>0</v>
      </c>
      <c r="AB87" s="129">
        <v>0</v>
      </c>
      <c r="AC87" s="129">
        <v>0</v>
      </c>
      <c r="AD87" s="129">
        <v>0</v>
      </c>
      <c r="AE87" s="129">
        <v>0</v>
      </c>
      <c r="AF87" s="129">
        <v>0</v>
      </c>
      <c r="AG87" s="129">
        <v>0</v>
      </c>
      <c r="AH87" s="129">
        <v>0</v>
      </c>
      <c r="AI87" s="129">
        <v>0</v>
      </c>
      <c r="AJ87" s="130">
        <v>0</v>
      </c>
    </row>
    <row r="88" spans="2:36" x14ac:dyDescent="0.3">
      <c r="B88" s="5" t="s">
        <v>218</v>
      </c>
      <c r="D88" s="233">
        <v>0</v>
      </c>
      <c r="E88" s="233">
        <v>0</v>
      </c>
      <c r="F88" s="233">
        <v>0</v>
      </c>
      <c r="G88" s="236">
        <f>G86</f>
        <v>37.662872542778871</v>
      </c>
      <c r="H88" s="236">
        <f t="shared" ref="H88:P88" si="67">H86</f>
        <v>39.533075127301821</v>
      </c>
      <c r="I88" s="236">
        <f t="shared" si="67"/>
        <v>41.590297970277071</v>
      </c>
      <c r="J88" s="236">
        <f t="shared" si="67"/>
        <v>33.920230723320614</v>
      </c>
      <c r="K88" s="236">
        <f t="shared" si="67"/>
        <v>35.875415313284293</v>
      </c>
      <c r="L88" s="236">
        <f t="shared" si="67"/>
        <v>37.987014670445056</v>
      </c>
      <c r="M88" s="236">
        <f t="shared" si="67"/>
        <v>39.697410149745281</v>
      </c>
      <c r="N88" s="236">
        <f t="shared" si="67"/>
        <v>41.208259489793811</v>
      </c>
      <c r="O88" s="236">
        <f t="shared" si="67"/>
        <v>38.054439622457423</v>
      </c>
      <c r="P88" s="239">
        <f t="shared" si="67"/>
        <v>39.720151019860928</v>
      </c>
    </row>
    <row r="89" spans="2:36" x14ac:dyDescent="0.3">
      <c r="B89" s="5"/>
      <c r="D89" s="41"/>
      <c r="E89" s="41"/>
      <c r="F89" s="41"/>
      <c r="G89" s="34"/>
      <c r="H89" s="34"/>
      <c r="I89" s="34"/>
      <c r="J89" s="34"/>
      <c r="K89" s="34"/>
      <c r="L89" s="34"/>
      <c r="M89" s="34"/>
      <c r="N89" s="34"/>
      <c r="O89" s="34"/>
      <c r="P89" s="35"/>
    </row>
    <row r="90" spans="2:36" x14ac:dyDescent="0.3">
      <c r="B90" s="23" t="s">
        <v>219</v>
      </c>
      <c r="D90" s="41"/>
      <c r="E90" s="41"/>
      <c r="F90" s="41"/>
      <c r="G90" s="34"/>
      <c r="H90" s="34"/>
      <c r="I90" s="34"/>
      <c r="J90" s="34"/>
      <c r="K90" s="34"/>
      <c r="L90" s="34"/>
      <c r="M90" s="34"/>
      <c r="N90" s="34"/>
      <c r="O90" s="34"/>
      <c r="P90" s="35"/>
      <c r="V90" s="410" t="s">
        <v>220</v>
      </c>
      <c r="W90" s="410"/>
      <c r="X90" s="410"/>
      <c r="Y90" s="410"/>
      <c r="Z90" s="410"/>
      <c r="AA90" s="410"/>
      <c r="AB90" s="410"/>
      <c r="AC90" s="410"/>
      <c r="AD90" s="410"/>
      <c r="AE90" s="410"/>
      <c r="AF90" s="410"/>
      <c r="AG90" s="410"/>
      <c r="AH90" s="410"/>
      <c r="AI90" s="410"/>
      <c r="AJ90" s="410"/>
    </row>
    <row r="91" spans="2:36" ht="15" thickBot="1" x14ac:dyDescent="0.35">
      <c r="B91" s="5" t="s">
        <v>221</v>
      </c>
      <c r="C91" s="31" t="s">
        <v>222</v>
      </c>
      <c r="D91" s="36"/>
      <c r="E91" s="36"/>
      <c r="F91" s="241">
        <f>IFERROR(F212/F64,"NA")</f>
        <v>0.20150171089405375</v>
      </c>
      <c r="G91" s="242">
        <f t="shared" ref="G91:P91" si="68">$F$91</f>
        <v>0.20150171089405375</v>
      </c>
      <c r="H91" s="242">
        <f t="shared" si="68"/>
        <v>0.20150171089405375</v>
      </c>
      <c r="I91" s="242">
        <f t="shared" si="68"/>
        <v>0.20150171089405375</v>
      </c>
      <c r="J91" s="242">
        <f t="shared" si="68"/>
        <v>0.20150171089405375</v>
      </c>
      <c r="K91" s="242">
        <f t="shared" si="68"/>
        <v>0.20150171089405375</v>
      </c>
      <c r="L91" s="242">
        <f t="shared" si="68"/>
        <v>0.20150171089405375</v>
      </c>
      <c r="M91" s="242">
        <f t="shared" si="68"/>
        <v>0.20150171089405375</v>
      </c>
      <c r="N91" s="242">
        <f t="shared" si="68"/>
        <v>0.20150171089405375</v>
      </c>
      <c r="O91" s="242">
        <f t="shared" si="68"/>
        <v>0.20150171089405375</v>
      </c>
      <c r="P91" s="243">
        <f t="shared" si="68"/>
        <v>0.20150171089405375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</row>
    <row r="92" spans="2:36" x14ac:dyDescent="0.3">
      <c r="B92" s="24" t="s">
        <v>223</v>
      </c>
      <c r="D92" s="36"/>
      <c r="E92" s="36"/>
      <c r="F92" s="42"/>
      <c r="G92" s="237">
        <f t="shared" ref="G92:P92" si="69">IFERROR($AI$8*AVERAGE(F212:G212)/G64,"NA")</f>
        <v>68.071136483411451</v>
      </c>
      <c r="H92" s="237">
        <f t="shared" si="69"/>
        <v>70.20502790922373</v>
      </c>
      <c r="I92" s="237">
        <f t="shared" si="69"/>
        <v>70.205027909223716</v>
      </c>
      <c r="J92" s="237">
        <f t="shared" si="69"/>
        <v>70.824119866095188</v>
      </c>
      <c r="K92" s="237">
        <f t="shared" si="69"/>
        <v>70.824119866095188</v>
      </c>
      <c r="L92" s="237">
        <f t="shared" si="69"/>
        <v>70.824119866095174</v>
      </c>
      <c r="M92" s="237">
        <f t="shared" si="69"/>
        <v>71.466573783603309</v>
      </c>
      <c r="N92" s="237">
        <f t="shared" si="69"/>
        <v>71.796978655464628</v>
      </c>
      <c r="O92" s="237">
        <f t="shared" si="69"/>
        <v>71.796978655464628</v>
      </c>
      <c r="P92" s="238">
        <f t="shared" si="69"/>
        <v>71.796978655464628</v>
      </c>
      <c r="V92" s="111" t="s">
        <v>224</v>
      </c>
      <c r="W92" s="9"/>
      <c r="X92" s="9"/>
      <c r="Y92" s="9"/>
      <c r="Z92" s="9"/>
      <c r="AA92" s="9"/>
      <c r="AB92" s="167"/>
      <c r="AC92" s="52"/>
      <c r="AD92" s="52"/>
      <c r="AE92" s="52"/>
      <c r="AF92" s="52"/>
      <c r="AG92" s="52"/>
      <c r="AH92" s="52"/>
      <c r="AI92" s="52"/>
      <c r="AJ92" s="52"/>
    </row>
    <row r="93" spans="2:36" x14ac:dyDescent="0.3">
      <c r="B93" s="5" t="s">
        <v>225</v>
      </c>
      <c r="C93" s="31" t="s">
        <v>226</v>
      </c>
      <c r="D93" s="36"/>
      <c r="E93" s="36"/>
      <c r="F93" s="241">
        <f>IFERROR(F213/F68,"NA")</f>
        <v>0.69739625043635389</v>
      </c>
      <c r="G93" s="242">
        <f t="shared" ref="G93:P93" si="70">$F$93</f>
        <v>0.69739625043635389</v>
      </c>
      <c r="H93" s="242">
        <f t="shared" si="70"/>
        <v>0.69739625043635389</v>
      </c>
      <c r="I93" s="242">
        <f t="shared" si="70"/>
        <v>0.69739625043635389</v>
      </c>
      <c r="J93" s="242">
        <f t="shared" si="70"/>
        <v>0.69739625043635389</v>
      </c>
      <c r="K93" s="242">
        <f t="shared" si="70"/>
        <v>0.69739625043635389</v>
      </c>
      <c r="L93" s="242">
        <f t="shared" si="70"/>
        <v>0.69739625043635389</v>
      </c>
      <c r="M93" s="242">
        <f t="shared" si="70"/>
        <v>0.69739625043635389</v>
      </c>
      <c r="N93" s="242">
        <f t="shared" si="70"/>
        <v>0.69739625043635389</v>
      </c>
      <c r="O93" s="242">
        <f t="shared" si="70"/>
        <v>0.69739625043635389</v>
      </c>
      <c r="P93" s="243">
        <f t="shared" si="70"/>
        <v>0.69739625043635389</v>
      </c>
      <c r="V93" s="5"/>
      <c r="W93" s="113" t="s">
        <v>227</v>
      </c>
      <c r="X93" s="113" t="s">
        <v>228</v>
      </c>
      <c r="Y93" s="113" t="s">
        <v>229</v>
      </c>
      <c r="Z93" s="113" t="s">
        <v>229</v>
      </c>
      <c r="AA93" s="113" t="s">
        <v>230</v>
      </c>
      <c r="AB93" s="114" t="s">
        <v>231</v>
      </c>
      <c r="AC93" s="52"/>
      <c r="AD93" s="52"/>
      <c r="AE93" s="52"/>
      <c r="AF93" s="52"/>
      <c r="AG93" s="52"/>
      <c r="AH93" s="52"/>
      <c r="AI93" s="52"/>
      <c r="AJ93" s="52"/>
    </row>
    <row r="94" spans="2:36" x14ac:dyDescent="0.3">
      <c r="B94" s="24" t="s">
        <v>232</v>
      </c>
      <c r="D94" s="36"/>
      <c r="E94" s="36"/>
      <c r="F94" s="42"/>
      <c r="G94" s="237">
        <f t="shared" ref="G94:P94" si="71">IFERROR(G68/AVERAGE(F213:G213),"NA")</f>
        <v>1.6387954942950758</v>
      </c>
      <c r="H94" s="237">
        <f t="shared" si="71"/>
        <v>1.5021862348178139</v>
      </c>
      <c r="I94" s="237">
        <f t="shared" si="71"/>
        <v>1.5021862348178139</v>
      </c>
      <c r="J94" s="237">
        <f t="shared" si="71"/>
        <v>1.489055236261714</v>
      </c>
      <c r="K94" s="237">
        <f t="shared" si="71"/>
        <v>1.4890552362617142</v>
      </c>
      <c r="L94" s="237">
        <f t="shared" si="71"/>
        <v>1.4890552362617142</v>
      </c>
      <c r="M94" s="237">
        <f t="shared" si="71"/>
        <v>1.4756692668598648</v>
      </c>
      <c r="N94" s="237">
        <f t="shared" si="71"/>
        <v>1.4688783360413655</v>
      </c>
      <c r="O94" s="237">
        <f t="shared" si="71"/>
        <v>1.4688783360413655</v>
      </c>
      <c r="P94" s="238">
        <f t="shared" si="71"/>
        <v>1.468878336041366</v>
      </c>
      <c r="V94" s="5"/>
      <c r="W94" s="113" t="s">
        <v>233</v>
      </c>
      <c r="X94" s="113" t="s">
        <v>234</v>
      </c>
      <c r="Y94" s="113" t="s">
        <v>235</v>
      </c>
      <c r="Z94" s="113" t="s">
        <v>236</v>
      </c>
      <c r="AA94" s="113" t="s">
        <v>236</v>
      </c>
      <c r="AB94" s="114" t="s">
        <v>235</v>
      </c>
      <c r="AC94" s="52"/>
      <c r="AD94" s="52"/>
      <c r="AE94" s="52"/>
      <c r="AF94" s="52"/>
      <c r="AG94" s="52"/>
      <c r="AH94" s="52"/>
      <c r="AI94" s="52"/>
      <c r="AJ94" s="52"/>
    </row>
    <row r="95" spans="2:36" x14ac:dyDescent="0.3">
      <c r="B95" s="5" t="s">
        <v>237</v>
      </c>
      <c r="C95" s="31" t="s">
        <v>222</v>
      </c>
      <c r="D95" s="36"/>
      <c r="E95" s="36"/>
      <c r="F95" s="241">
        <f>IFERROR(F214/F64,"NA")</f>
        <v>3.0266010301463141E-3</v>
      </c>
      <c r="G95" s="242">
        <f t="shared" ref="G95:P95" si="72">$F$95</f>
        <v>3.0266010301463141E-3</v>
      </c>
      <c r="H95" s="242">
        <f t="shared" si="72"/>
        <v>3.0266010301463141E-3</v>
      </c>
      <c r="I95" s="242">
        <f t="shared" si="72"/>
        <v>3.0266010301463141E-3</v>
      </c>
      <c r="J95" s="242">
        <f t="shared" si="72"/>
        <v>3.0266010301463141E-3</v>
      </c>
      <c r="K95" s="242">
        <f t="shared" si="72"/>
        <v>3.0266010301463141E-3</v>
      </c>
      <c r="L95" s="242">
        <f t="shared" si="72"/>
        <v>3.0266010301463141E-3</v>
      </c>
      <c r="M95" s="242">
        <f t="shared" si="72"/>
        <v>3.0266010301463141E-3</v>
      </c>
      <c r="N95" s="242">
        <f t="shared" si="72"/>
        <v>3.0266010301463141E-3</v>
      </c>
      <c r="O95" s="242">
        <f t="shared" si="72"/>
        <v>3.0266010301463141E-3</v>
      </c>
      <c r="P95" s="243">
        <f t="shared" si="72"/>
        <v>3.0266010301463141E-3</v>
      </c>
      <c r="V95" s="5"/>
      <c r="W95" s="115" t="s">
        <v>238</v>
      </c>
      <c r="X95" s="115" t="s">
        <v>239</v>
      </c>
      <c r="Y95" s="113" t="s">
        <v>240</v>
      </c>
      <c r="Z95" s="113" t="s">
        <v>241</v>
      </c>
      <c r="AA95" s="113" t="s">
        <v>241</v>
      </c>
      <c r="AB95" s="114" t="s">
        <v>240</v>
      </c>
      <c r="AC95" s="52"/>
      <c r="AD95" s="52"/>
      <c r="AE95" s="52"/>
      <c r="AF95" s="52"/>
      <c r="AG95" s="52"/>
      <c r="AH95" s="52"/>
      <c r="AI95" s="52"/>
      <c r="AJ95" s="52"/>
    </row>
    <row r="96" spans="2:36" x14ac:dyDescent="0.3">
      <c r="B96" s="5" t="s">
        <v>242</v>
      </c>
      <c r="C96" s="31" t="s">
        <v>226</v>
      </c>
      <c r="D96" s="36"/>
      <c r="E96" s="36"/>
      <c r="F96" s="241">
        <f>F231/F68</f>
        <v>4.9307994003983648E-2</v>
      </c>
      <c r="G96" s="242">
        <f t="shared" ref="G96:P96" si="73">$F$96</f>
        <v>4.9307994003983648E-2</v>
      </c>
      <c r="H96" s="242">
        <f t="shared" si="73"/>
        <v>4.9307994003983648E-2</v>
      </c>
      <c r="I96" s="242">
        <f t="shared" si="73"/>
        <v>4.9307994003983648E-2</v>
      </c>
      <c r="J96" s="242">
        <f t="shared" si="73"/>
        <v>4.9307994003983648E-2</v>
      </c>
      <c r="K96" s="242">
        <f t="shared" si="73"/>
        <v>4.9307994003983648E-2</v>
      </c>
      <c r="L96" s="242">
        <f t="shared" si="73"/>
        <v>4.9307994003983648E-2</v>
      </c>
      <c r="M96" s="242">
        <f t="shared" si="73"/>
        <v>4.9307994003983648E-2</v>
      </c>
      <c r="N96" s="242">
        <f t="shared" si="73"/>
        <v>4.9307994003983648E-2</v>
      </c>
      <c r="O96" s="242">
        <f t="shared" si="73"/>
        <v>4.9307994003983648E-2</v>
      </c>
      <c r="P96" s="243">
        <f t="shared" si="73"/>
        <v>4.9307994003983648E-2</v>
      </c>
      <c r="V96" s="5" t="str">
        <f>V33</f>
        <v>Term Loan</v>
      </c>
      <c r="W96" s="152">
        <v>1</v>
      </c>
      <c r="X96" s="164"/>
      <c r="Y96" s="113"/>
      <c r="Z96" s="113"/>
      <c r="AA96" s="113"/>
      <c r="AB96" s="81"/>
      <c r="AC96" s="52"/>
      <c r="AD96" s="52"/>
      <c r="AE96" s="52"/>
      <c r="AF96" s="52"/>
      <c r="AG96" s="52"/>
      <c r="AH96" s="52"/>
      <c r="AI96" s="52"/>
      <c r="AJ96" s="52"/>
    </row>
    <row r="97" spans="2:36" x14ac:dyDescent="0.3">
      <c r="B97" s="24" t="s">
        <v>243</v>
      </c>
      <c r="D97" s="36"/>
      <c r="E97" s="36"/>
      <c r="F97" s="42"/>
      <c r="G97" s="237">
        <f t="shared" ref="G97:P97" si="74">IFERROR($AI$8*AVERAGE(F231:G231)/G68,"NA")</f>
        <v>15.747290152145586</v>
      </c>
      <c r="H97" s="237">
        <f t="shared" si="74"/>
        <v>17.179353365478846</v>
      </c>
      <c r="I97" s="237">
        <f t="shared" si="74"/>
        <v>17.179353365478846</v>
      </c>
      <c r="J97" s="237">
        <f t="shared" si="74"/>
        <v>17.330846781400179</v>
      </c>
      <c r="K97" s="237">
        <f t="shared" si="74"/>
        <v>17.330846781400179</v>
      </c>
      <c r="L97" s="237">
        <f t="shared" si="74"/>
        <v>17.330846781400176</v>
      </c>
      <c r="M97" s="237">
        <f t="shared" si="74"/>
        <v>17.488056929997786</v>
      </c>
      <c r="N97" s="237">
        <f t="shared" si="74"/>
        <v>17.568907863562274</v>
      </c>
      <c r="O97" s="237">
        <f t="shared" si="74"/>
        <v>17.56890786356227</v>
      </c>
      <c r="P97" s="238">
        <f t="shared" si="74"/>
        <v>17.56890786356227</v>
      </c>
      <c r="V97" s="5" t="str">
        <f>V34</f>
        <v>Senior Unsecured Debt</v>
      </c>
      <c r="W97" s="152">
        <v>1</v>
      </c>
      <c r="X97" s="150">
        <v>0</v>
      </c>
      <c r="Y97" s="153">
        <v>0.04</v>
      </c>
      <c r="Z97" s="153">
        <v>0</v>
      </c>
      <c r="AA97" s="153">
        <v>0</v>
      </c>
      <c r="AB97" s="168">
        <f>LBO!P539</f>
        <v>3.4389140271493215E-2</v>
      </c>
      <c r="AC97" s="52"/>
      <c r="AD97" s="52"/>
      <c r="AE97" s="52"/>
      <c r="AF97" s="52"/>
      <c r="AG97" s="52"/>
      <c r="AH97" s="52"/>
      <c r="AI97" s="52"/>
      <c r="AJ97" s="52"/>
    </row>
    <row r="98" spans="2:36" ht="15" thickBot="1" x14ac:dyDescent="0.35">
      <c r="B98" s="7" t="s">
        <v>244</v>
      </c>
      <c r="C98" s="50" t="s">
        <v>222</v>
      </c>
      <c r="D98" s="43"/>
      <c r="E98" s="43"/>
      <c r="F98" s="245">
        <f>IFERROR(F232/F64,"NA")</f>
        <v>0.26085197014057637</v>
      </c>
      <c r="G98" s="246">
        <f t="shared" ref="G98:P98" si="75">$F$98</f>
        <v>0.26085197014057637</v>
      </c>
      <c r="H98" s="246">
        <f t="shared" si="75"/>
        <v>0.26085197014057637</v>
      </c>
      <c r="I98" s="246">
        <f t="shared" si="75"/>
        <v>0.26085197014057637</v>
      </c>
      <c r="J98" s="246">
        <f t="shared" si="75"/>
        <v>0.26085197014057637</v>
      </c>
      <c r="K98" s="246">
        <f t="shared" si="75"/>
        <v>0.26085197014057637</v>
      </c>
      <c r="L98" s="246">
        <f t="shared" si="75"/>
        <v>0.26085197014057637</v>
      </c>
      <c r="M98" s="246">
        <f t="shared" si="75"/>
        <v>0.26085197014057637</v>
      </c>
      <c r="N98" s="246">
        <f t="shared" si="75"/>
        <v>0.26085197014057637</v>
      </c>
      <c r="O98" s="246">
        <f t="shared" si="75"/>
        <v>0.26085197014057637</v>
      </c>
      <c r="P98" s="247">
        <f t="shared" si="75"/>
        <v>0.26085197014057637</v>
      </c>
      <c r="V98" s="5" t="str">
        <f>V35</f>
        <v>Subordinated Debt</v>
      </c>
      <c r="W98" s="152">
        <v>1</v>
      </c>
      <c r="X98" s="150">
        <v>5</v>
      </c>
      <c r="Y98" s="153">
        <v>0</v>
      </c>
      <c r="Z98" s="153">
        <v>0.04</v>
      </c>
      <c r="AA98" s="153">
        <v>0</v>
      </c>
      <c r="AB98" s="168">
        <f>LBO!P540</f>
        <v>3.4389140271493215E-2</v>
      </c>
      <c r="AC98" s="52"/>
      <c r="AD98" s="52"/>
      <c r="AE98" s="52"/>
      <c r="AF98" s="52"/>
      <c r="AG98" s="52"/>
      <c r="AH98" s="52"/>
      <c r="AI98" s="52"/>
      <c r="AJ98" s="52"/>
    </row>
    <row r="99" spans="2:36" x14ac:dyDescent="0.3">
      <c r="C99" s="31"/>
      <c r="D99" s="36"/>
      <c r="E99" s="36"/>
      <c r="F99" s="44"/>
      <c r="G99" s="45"/>
      <c r="H99" s="45"/>
      <c r="I99" s="45"/>
      <c r="J99" s="45"/>
      <c r="K99" s="45"/>
      <c r="L99" s="45"/>
      <c r="M99" s="45"/>
      <c r="N99" s="45"/>
      <c r="O99" s="45"/>
      <c r="P99" s="45"/>
      <c r="V99" s="5" t="str">
        <f>V36</f>
        <v>Mezzanine</v>
      </c>
      <c r="W99" s="152">
        <v>1</v>
      </c>
      <c r="X99" s="150">
        <v>5</v>
      </c>
      <c r="Y99" s="153">
        <v>0</v>
      </c>
      <c r="Z99" s="153">
        <v>0</v>
      </c>
      <c r="AA99" s="153">
        <v>0.03</v>
      </c>
      <c r="AB99" s="168">
        <f>LBO!P541</f>
        <v>2.5791855203619908E-2</v>
      </c>
      <c r="AC99" s="52"/>
      <c r="AD99" s="52"/>
      <c r="AE99" s="52"/>
      <c r="AF99" s="52"/>
      <c r="AG99" s="52"/>
      <c r="AH99" s="52"/>
      <c r="AI99" s="52"/>
      <c r="AJ99" s="52"/>
    </row>
    <row r="100" spans="2:36" ht="15" thickBot="1" x14ac:dyDescent="0.35">
      <c r="V100" s="7" t="str">
        <f>V37</f>
        <v>Preferred Stock</v>
      </c>
      <c r="W100" s="165"/>
      <c r="X100" s="151">
        <v>0</v>
      </c>
      <c r="Y100" s="154">
        <v>0</v>
      </c>
      <c r="Z100" s="154">
        <v>3.5000000000000003E-2</v>
      </c>
      <c r="AA100" s="154">
        <v>0</v>
      </c>
      <c r="AB100" s="169">
        <f>LBO!P542</f>
        <v>3.0090497737556565E-2</v>
      </c>
      <c r="AC100" s="52"/>
      <c r="AD100" s="52"/>
      <c r="AE100" s="52"/>
      <c r="AF100" s="52"/>
      <c r="AG100" s="52"/>
      <c r="AH100" s="52"/>
      <c r="AI100" s="52"/>
      <c r="AJ100" s="52"/>
    </row>
    <row r="101" spans="2:36" ht="15" thickBot="1" x14ac:dyDescent="0.35">
      <c r="B101" s="410" t="s">
        <v>192</v>
      </c>
      <c r="C101" s="410"/>
      <c r="D101" s="410"/>
      <c r="E101" s="410"/>
      <c r="F101" s="410"/>
      <c r="G101" s="410"/>
      <c r="H101" s="410"/>
      <c r="I101" s="410"/>
      <c r="J101" s="410"/>
      <c r="K101" s="410"/>
      <c r="L101" s="410"/>
      <c r="M101" s="410"/>
      <c r="N101" s="410"/>
      <c r="O101" s="410"/>
      <c r="P101" s="410"/>
    </row>
    <row r="102" spans="2:36" ht="15" thickBot="1" x14ac:dyDescent="0.35">
      <c r="V102" s="111" t="s">
        <v>245</v>
      </c>
      <c r="W102" s="9"/>
      <c r="X102" s="9"/>
      <c r="Y102" s="9"/>
      <c r="Z102" s="9"/>
      <c r="AA102" s="10"/>
    </row>
    <row r="103" spans="2:36" x14ac:dyDescent="0.3">
      <c r="B103" s="3"/>
      <c r="C103" s="121"/>
      <c r="D103" s="9"/>
      <c r="E103" s="121"/>
      <c r="F103" s="9"/>
      <c r="G103" s="88">
        <f>LBO!Y12</f>
        <v>2024</v>
      </c>
      <c r="H103" s="88">
        <f t="shared" ref="H103:P103" si="76">G103+1</f>
        <v>2025</v>
      </c>
      <c r="I103" s="88">
        <f t="shared" si="76"/>
        <v>2026</v>
      </c>
      <c r="J103" s="88">
        <f t="shared" si="76"/>
        <v>2027</v>
      </c>
      <c r="K103" s="88">
        <f t="shared" si="76"/>
        <v>2028</v>
      </c>
      <c r="L103" s="88">
        <f t="shared" si="76"/>
        <v>2029</v>
      </c>
      <c r="M103" s="88">
        <f t="shared" si="76"/>
        <v>2030</v>
      </c>
      <c r="N103" s="88">
        <f t="shared" si="76"/>
        <v>2031</v>
      </c>
      <c r="O103" s="88">
        <f t="shared" si="76"/>
        <v>2032</v>
      </c>
      <c r="P103" s="89">
        <f t="shared" si="76"/>
        <v>2033</v>
      </c>
      <c r="V103" s="5"/>
      <c r="W103" s="113" t="s">
        <v>227</v>
      </c>
      <c r="X103" s="113" t="s">
        <v>228</v>
      </c>
      <c r="Y103" s="113" t="s">
        <v>229</v>
      </c>
      <c r="Z103" s="113" t="s">
        <v>229</v>
      </c>
      <c r="AA103" s="114" t="s">
        <v>230</v>
      </c>
    </row>
    <row r="104" spans="2:36" x14ac:dyDescent="0.3">
      <c r="B104" s="5"/>
      <c r="C104" s="113"/>
      <c r="E104" s="113"/>
      <c r="P104" s="16"/>
      <c r="V104" s="5"/>
      <c r="W104" s="113" t="s">
        <v>233</v>
      </c>
      <c r="X104" s="113" t="s">
        <v>234</v>
      </c>
      <c r="Y104" s="113" t="s">
        <v>235</v>
      </c>
      <c r="Z104" s="113" t="s">
        <v>236</v>
      </c>
      <c r="AA104" s="114" t="s">
        <v>236</v>
      </c>
    </row>
    <row r="105" spans="2:36" x14ac:dyDescent="0.3">
      <c r="B105" s="15" t="s">
        <v>246</v>
      </c>
      <c r="C105" s="113"/>
      <c r="E105" s="113"/>
      <c r="H105" s="13"/>
      <c r="J105" s="13"/>
      <c r="M105" s="13"/>
      <c r="N105" s="13"/>
      <c r="P105" s="16"/>
      <c r="V105" s="5"/>
      <c r="W105" s="115" t="s">
        <v>238</v>
      </c>
      <c r="X105" s="115" t="s">
        <v>239</v>
      </c>
      <c r="Y105" s="113" t="s">
        <v>240</v>
      </c>
      <c r="Z105" s="113" t="s">
        <v>241</v>
      </c>
      <c r="AA105" s="114" t="s">
        <v>241</v>
      </c>
    </row>
    <row r="106" spans="2:36" x14ac:dyDescent="0.3">
      <c r="B106" s="5" t="s">
        <v>200</v>
      </c>
      <c r="C106" s="113"/>
      <c r="E106" s="113" t="s">
        <v>247</v>
      </c>
      <c r="F106" s="13"/>
      <c r="G106" s="248">
        <f>LBO!AA64</f>
        <v>1.4999999999999999E-2</v>
      </c>
      <c r="H106" s="248">
        <f>LBO!AB64</f>
        <v>1.4999999999999999E-2</v>
      </c>
      <c r="I106" s="248">
        <f>LBO!AC64</f>
        <v>1.4999999999999999E-2</v>
      </c>
      <c r="J106" s="248">
        <f>LBO!AD64</f>
        <v>1.4999999999999999E-2</v>
      </c>
      <c r="K106" s="248">
        <f>LBO!AE64</f>
        <v>1.4999999999999999E-2</v>
      </c>
      <c r="L106" s="248">
        <f>LBO!AF64</f>
        <v>1.4999999999999999E-2</v>
      </c>
      <c r="M106" s="248">
        <f>LBO!AG64</f>
        <v>1.4999999999999999E-2</v>
      </c>
      <c r="N106" s="248">
        <f>LBO!AH64</f>
        <v>1.4999999999999999E-2</v>
      </c>
      <c r="O106" s="248">
        <f>LBO!AI64</f>
        <v>1.4999999999999999E-2</v>
      </c>
      <c r="P106" s="249">
        <f>LBO!AJ64</f>
        <v>1.4999999999999999E-2</v>
      </c>
      <c r="V106" s="5" t="str">
        <f>V33</f>
        <v>Term Loan</v>
      </c>
      <c r="W106" s="155">
        <v>0</v>
      </c>
      <c r="X106" s="156"/>
      <c r="Y106" s="157"/>
      <c r="Z106" s="157"/>
      <c r="AA106" s="158"/>
    </row>
    <row r="107" spans="2:36" x14ac:dyDescent="0.3">
      <c r="B107" s="5"/>
      <c r="C107" s="115" t="str">
        <f>B106&amp;"+"</f>
        <v>LIBOR+</v>
      </c>
      <c r="E107" s="115" t="s">
        <v>248</v>
      </c>
      <c r="G107" s="240"/>
      <c r="H107" s="240"/>
      <c r="I107" s="240"/>
      <c r="J107" s="240"/>
      <c r="K107" s="240"/>
      <c r="L107" s="240"/>
      <c r="M107" s="240"/>
      <c r="N107" s="240"/>
      <c r="O107" s="240"/>
      <c r="P107" s="250"/>
      <c r="V107" s="5" t="str">
        <f>V34</f>
        <v>Senior Unsecured Debt</v>
      </c>
      <c r="W107" s="155">
        <f>W97</f>
        <v>1</v>
      </c>
      <c r="X107" s="321">
        <f>IF($I15=0,0,X97)</f>
        <v>0</v>
      </c>
      <c r="Y107" s="159">
        <f>IF($I15=0,0,Y97)</f>
        <v>0.04</v>
      </c>
      <c r="Z107" s="159">
        <f t="shared" ref="Z107:AA107" si="77">IF($I15=0,0,Z97)</f>
        <v>0</v>
      </c>
      <c r="AA107" s="160">
        <f t="shared" si="77"/>
        <v>0</v>
      </c>
    </row>
    <row r="108" spans="2:36" x14ac:dyDescent="0.3">
      <c r="B108" s="5" t="str">
        <f>J136</f>
        <v>Short-term Debt</v>
      </c>
      <c r="C108" s="253">
        <f>LBO!W59</f>
        <v>0.02</v>
      </c>
      <c r="E108" s="123">
        <f>LBO!$AD$10</f>
        <v>0</v>
      </c>
      <c r="F108" s="13"/>
      <c r="G108" s="248">
        <f>LBO!AA65</f>
        <v>3.5000000000000003E-2</v>
      </c>
      <c r="H108" s="248">
        <f>LBO!AB65</f>
        <v>3.5000000000000003E-2</v>
      </c>
      <c r="I108" s="248">
        <f>LBO!AC65</f>
        <v>3.5000000000000003E-2</v>
      </c>
      <c r="J108" s="248">
        <f>LBO!AD65</f>
        <v>3.5000000000000003E-2</v>
      </c>
      <c r="K108" s="248">
        <f>LBO!AE65</f>
        <v>3.5000000000000003E-2</v>
      </c>
      <c r="L108" s="248">
        <f>LBO!AF65</f>
        <v>3.5000000000000003E-2</v>
      </c>
      <c r="M108" s="248">
        <f>LBO!AG65</f>
        <v>3.5000000000000003E-2</v>
      </c>
      <c r="N108" s="248">
        <f>LBO!AH65</f>
        <v>3.5000000000000003E-2</v>
      </c>
      <c r="O108" s="248">
        <f>LBO!AI65</f>
        <v>3.5000000000000003E-2</v>
      </c>
      <c r="P108" s="249">
        <f>LBO!AJ65</f>
        <v>3.5000000000000003E-2</v>
      </c>
      <c r="V108" s="5" t="str">
        <f>V35</f>
        <v>Subordinated Debt</v>
      </c>
      <c r="W108" s="155">
        <f>W98</f>
        <v>1</v>
      </c>
      <c r="X108" s="321">
        <f t="shared" ref="X108:X110" si="78">IF($I16=0,0,X98)</f>
        <v>5</v>
      </c>
      <c r="Y108" s="159">
        <f t="shared" ref="Y108:AA109" si="79">IF($I16=0,0,Y98)</f>
        <v>0</v>
      </c>
      <c r="Z108" s="159">
        <f t="shared" si="79"/>
        <v>0.04</v>
      </c>
      <c r="AA108" s="160">
        <f t="shared" si="79"/>
        <v>0</v>
      </c>
    </row>
    <row r="109" spans="2:36" x14ac:dyDescent="0.3">
      <c r="B109" s="5" t="str">
        <f>J145</f>
        <v>Senior Unsecured Debt</v>
      </c>
      <c r="C109" s="253">
        <f>LBO!W60</f>
        <v>0.02</v>
      </c>
      <c r="E109" s="123">
        <f>LBO!$AD$10</f>
        <v>0</v>
      </c>
      <c r="G109" s="248">
        <f>LBO!AA67</f>
        <v>3.5000000000000003E-2</v>
      </c>
      <c r="H109" s="248">
        <f>LBO!AB67</f>
        <v>3.5000000000000003E-2</v>
      </c>
      <c r="I109" s="248">
        <f>LBO!AC67</f>
        <v>3.5000000000000003E-2</v>
      </c>
      <c r="J109" s="248">
        <f>LBO!AD67</f>
        <v>3.5000000000000003E-2</v>
      </c>
      <c r="K109" s="248">
        <f>LBO!AE67</f>
        <v>3.5000000000000003E-2</v>
      </c>
      <c r="L109" s="248">
        <f>LBO!AF67</f>
        <v>3.5000000000000003E-2</v>
      </c>
      <c r="M109" s="248">
        <f>LBO!AG67</f>
        <v>3.5000000000000003E-2</v>
      </c>
      <c r="N109" s="248">
        <f>LBO!AH67</f>
        <v>3.5000000000000003E-2</v>
      </c>
      <c r="O109" s="248">
        <f>LBO!AI67</f>
        <v>3.5000000000000003E-2</v>
      </c>
      <c r="P109" s="249">
        <f>LBO!AJ67</f>
        <v>3.5000000000000003E-2</v>
      </c>
      <c r="V109" s="5" t="str">
        <f>V36</f>
        <v>Mezzanine</v>
      </c>
      <c r="W109" s="155">
        <f>W99</f>
        <v>1</v>
      </c>
      <c r="X109" s="321">
        <f t="shared" si="78"/>
        <v>5</v>
      </c>
      <c r="Y109" s="159">
        <f t="shared" si="79"/>
        <v>0</v>
      </c>
      <c r="Z109" s="159">
        <f t="shared" si="79"/>
        <v>0</v>
      </c>
      <c r="AA109" s="160">
        <f t="shared" si="79"/>
        <v>0.03</v>
      </c>
    </row>
    <row r="110" spans="2:36" ht="15" thickBot="1" x14ac:dyDescent="0.35">
      <c r="B110" s="5" t="str">
        <f>J144</f>
        <v>Term Loan</v>
      </c>
      <c r="C110" s="253">
        <f>LBO!W61</f>
        <v>2.5000000000000001E-2</v>
      </c>
      <c r="E110" s="123">
        <f>LBO!$AD$10</f>
        <v>0</v>
      </c>
      <c r="G110" s="248">
        <f>LBO!AA68</f>
        <v>0.04</v>
      </c>
      <c r="H110" s="248">
        <f>LBO!AB68</f>
        <v>0.04</v>
      </c>
      <c r="I110" s="248">
        <f>LBO!AC68</f>
        <v>0.04</v>
      </c>
      <c r="J110" s="248">
        <f>LBO!AD68</f>
        <v>0.04</v>
      </c>
      <c r="K110" s="248">
        <f>LBO!AE68</f>
        <v>0.04</v>
      </c>
      <c r="L110" s="248">
        <f>LBO!AF68</f>
        <v>0.04</v>
      </c>
      <c r="M110" s="248">
        <f>LBO!AG68</f>
        <v>0.04</v>
      </c>
      <c r="N110" s="248">
        <f>LBO!AH68</f>
        <v>0.04</v>
      </c>
      <c r="O110" s="248">
        <f>LBO!AI68</f>
        <v>0.04</v>
      </c>
      <c r="P110" s="249">
        <f>LBO!AJ68</f>
        <v>0.04</v>
      </c>
      <c r="V110" s="7" t="str">
        <f>V37</f>
        <v>Preferred Stock</v>
      </c>
      <c r="W110" s="161"/>
      <c r="X110" s="322">
        <f t="shared" si="78"/>
        <v>0</v>
      </c>
      <c r="Y110" s="162">
        <f>IF($I20=0,0,Y100)</f>
        <v>0</v>
      </c>
      <c r="Z110" s="162">
        <f t="shared" ref="Z110:AA110" si="80">IF($I20=0,0,Z100)</f>
        <v>3.5000000000000003E-2</v>
      </c>
      <c r="AA110" s="163">
        <f t="shared" si="80"/>
        <v>0</v>
      </c>
    </row>
    <row r="111" spans="2:36" x14ac:dyDescent="0.3">
      <c r="B111" s="5"/>
      <c r="C111" s="122"/>
      <c r="E111" s="123"/>
      <c r="G111" s="240"/>
      <c r="H111" s="240"/>
      <c r="I111" s="240"/>
      <c r="J111" s="240"/>
      <c r="K111" s="240"/>
      <c r="L111" s="240"/>
      <c r="M111" s="240"/>
      <c r="N111" s="240"/>
      <c r="O111" s="240"/>
      <c r="P111" s="250"/>
    </row>
    <row r="112" spans="2:36" ht="15" thickBot="1" x14ac:dyDescent="0.35">
      <c r="B112" s="5" t="str">
        <f>J142</f>
        <v>Existing Debt</v>
      </c>
      <c r="C112" s="113"/>
      <c r="E112" s="123">
        <f>LBO!$AD$10</f>
        <v>0</v>
      </c>
      <c r="F112" s="13"/>
      <c r="G112" s="248">
        <f>LBO!AA66</f>
        <v>0.08</v>
      </c>
      <c r="H112" s="248">
        <f>LBO!AB66</f>
        <v>0.08</v>
      </c>
      <c r="I112" s="248">
        <f>LBO!AC66</f>
        <v>0.08</v>
      </c>
      <c r="J112" s="248">
        <f>LBO!AD66</f>
        <v>0.08</v>
      </c>
      <c r="K112" s="248">
        <f>LBO!AE66</f>
        <v>0.08</v>
      </c>
      <c r="L112" s="248">
        <f>LBO!AF66</f>
        <v>0.08</v>
      </c>
      <c r="M112" s="248">
        <f>LBO!AG66</f>
        <v>0.08</v>
      </c>
      <c r="N112" s="248">
        <f>LBO!AH66</f>
        <v>0.08</v>
      </c>
      <c r="O112" s="248">
        <f>LBO!AI66</f>
        <v>0.08</v>
      </c>
      <c r="P112" s="249">
        <f>LBO!AJ66</f>
        <v>0.08</v>
      </c>
    </row>
    <row r="113" spans="2:36" x14ac:dyDescent="0.3">
      <c r="B113" s="5"/>
      <c r="C113" s="113"/>
      <c r="E113" s="113"/>
      <c r="F113" s="13"/>
      <c r="G113" s="248"/>
      <c r="H113" s="248"/>
      <c r="I113" s="248"/>
      <c r="J113" s="248"/>
      <c r="K113" s="248"/>
      <c r="L113" s="248"/>
      <c r="M113" s="248"/>
      <c r="N113" s="248"/>
      <c r="O113" s="248"/>
      <c r="P113" s="249"/>
      <c r="V113" s="8" t="s">
        <v>249</v>
      </c>
      <c r="W113" s="9"/>
      <c r="X113" s="9"/>
      <c r="Y113" s="9"/>
      <c r="Z113" s="9"/>
      <c r="AA113" s="10"/>
    </row>
    <row r="114" spans="2:36" x14ac:dyDescent="0.3">
      <c r="B114" s="5" t="str">
        <f>J145</f>
        <v>Senior Unsecured Debt</v>
      </c>
      <c r="C114" s="208" t="str">
        <f>IF(X107&gt;0,"PIK until "&amp;FIXED($Y$12+X107-1,0,TRUE),"Cash Pay" )</f>
        <v>Cash Pay</v>
      </c>
      <c r="E114" s="123">
        <f>LBO!$AD$10</f>
        <v>0</v>
      </c>
      <c r="G114" s="248">
        <f>LBO!AA69</f>
        <v>0.06</v>
      </c>
      <c r="H114" s="248">
        <f>LBO!AB69</f>
        <v>0.06</v>
      </c>
      <c r="I114" s="248">
        <f>LBO!AC69</f>
        <v>0.06</v>
      </c>
      <c r="J114" s="248">
        <f>LBO!AD69</f>
        <v>0.06</v>
      </c>
      <c r="K114" s="248">
        <f>LBO!AE69</f>
        <v>0.06</v>
      </c>
      <c r="L114" s="248">
        <f>LBO!AF69</f>
        <v>0.06</v>
      </c>
      <c r="M114" s="248">
        <f>LBO!AG69</f>
        <v>0.06</v>
      </c>
      <c r="N114" s="248">
        <f>LBO!AH69</f>
        <v>0.06</v>
      </c>
      <c r="O114" s="248">
        <f>LBO!AI69</f>
        <v>0.06</v>
      </c>
      <c r="P114" s="249">
        <f>LBO!AJ69</f>
        <v>0.06</v>
      </c>
      <c r="V114" s="5"/>
      <c r="W114" s="113" t="s">
        <v>229</v>
      </c>
      <c r="X114" s="113" t="s">
        <v>229</v>
      </c>
      <c r="Y114" s="113" t="s">
        <v>230</v>
      </c>
      <c r="Z114" s="113" t="s">
        <v>250</v>
      </c>
      <c r="AA114" s="114" t="s">
        <v>231</v>
      </c>
    </row>
    <row r="115" spans="2:36" x14ac:dyDescent="0.3">
      <c r="B115" s="5"/>
      <c r="C115" s="113"/>
      <c r="E115" s="113"/>
      <c r="G115" s="248"/>
      <c r="H115" s="248"/>
      <c r="I115" s="248"/>
      <c r="J115" s="248"/>
      <c r="K115" s="248"/>
      <c r="L115" s="248"/>
      <c r="M115" s="248"/>
      <c r="N115" s="248"/>
      <c r="O115" s="248"/>
      <c r="P115" s="249"/>
      <c r="V115" s="5"/>
      <c r="W115" s="113" t="s">
        <v>235</v>
      </c>
      <c r="X115" s="113" t="s">
        <v>236</v>
      </c>
      <c r="Y115" s="113" t="s">
        <v>236</v>
      </c>
      <c r="Z115" s="113" t="s">
        <v>235</v>
      </c>
      <c r="AA115" s="114" t="s">
        <v>235</v>
      </c>
    </row>
    <row r="116" spans="2:36" x14ac:dyDescent="0.3">
      <c r="B116" s="5" t="str">
        <f>J146</f>
        <v>Subordinated Debt</v>
      </c>
      <c r="C116" s="208" t="str">
        <f>IF(X108&gt;0,"PIK until "&amp;FIXED($Y$12+X108-1,0,TRUE),"Cash Pay" )</f>
        <v>PIK until 2028</v>
      </c>
      <c r="E116" s="123">
        <f>LBO!$AD$10</f>
        <v>0</v>
      </c>
      <c r="G116" s="248">
        <f>LBO!AA70</f>
        <v>7.0000000000000007E-2</v>
      </c>
      <c r="H116" s="248">
        <f>LBO!AB70</f>
        <v>7.0000000000000007E-2</v>
      </c>
      <c r="I116" s="248">
        <f>LBO!AC70</f>
        <v>7.0000000000000007E-2</v>
      </c>
      <c r="J116" s="248">
        <f>LBO!AD70</f>
        <v>7.0000000000000007E-2</v>
      </c>
      <c r="K116" s="248">
        <f>LBO!AE70</f>
        <v>7.0000000000000007E-2</v>
      </c>
      <c r="L116" s="248">
        <f>LBO!AF70</f>
        <v>7.0000000000000007E-2</v>
      </c>
      <c r="M116" s="248">
        <f>LBO!AG70</f>
        <v>7.0000000000000007E-2</v>
      </c>
      <c r="N116" s="248">
        <f>LBO!AH70</f>
        <v>7.0000000000000007E-2</v>
      </c>
      <c r="O116" s="248">
        <f>LBO!AI70</f>
        <v>7.0000000000000007E-2</v>
      </c>
      <c r="P116" s="249">
        <f>LBO!AJ70</f>
        <v>7.0000000000000007E-2</v>
      </c>
      <c r="V116" s="5"/>
      <c r="W116" s="115" t="s">
        <v>240</v>
      </c>
      <c r="X116" s="115" t="s">
        <v>241</v>
      </c>
      <c r="Y116" s="115" t="s">
        <v>241</v>
      </c>
      <c r="Z116" s="115" t="s">
        <v>251</v>
      </c>
      <c r="AA116" s="309" t="s">
        <v>240</v>
      </c>
    </row>
    <row r="117" spans="2:36" x14ac:dyDescent="0.3">
      <c r="B117" s="5"/>
      <c r="C117" s="113"/>
      <c r="E117" s="113"/>
      <c r="G117" s="248"/>
      <c r="H117" s="248"/>
      <c r="I117" s="248"/>
      <c r="J117" s="248"/>
      <c r="K117" s="248"/>
      <c r="L117" s="248"/>
      <c r="M117" s="248"/>
      <c r="N117" s="248"/>
      <c r="O117" s="248"/>
      <c r="P117" s="249"/>
      <c r="V117" s="85" t="str">
        <f>_xlfn.CONCAT(LBO!Y11," Investment")</f>
        <v>Triton Partners Investment</v>
      </c>
      <c r="W117" s="310">
        <f>100%-SUM(W118:W120)</f>
        <v>0.96</v>
      </c>
      <c r="X117" s="127">
        <v>0</v>
      </c>
      <c r="Y117" s="127">
        <v>0</v>
      </c>
      <c r="Z117" s="127">
        <v>0</v>
      </c>
      <c r="AA117" s="311">
        <f>LBO!P535</f>
        <v>0.82533936651583706</v>
      </c>
    </row>
    <row r="118" spans="2:36" x14ac:dyDescent="0.3">
      <c r="B118" s="5" t="str">
        <f>J147</f>
        <v>Mezzanine</v>
      </c>
      <c r="C118" s="208" t="str">
        <f>IF(X109&gt;0,"PIK until "&amp;FIXED($Y$12+X109-1,0,TRUE),"Cash Pay" )</f>
        <v>PIK until 2028</v>
      </c>
      <c r="E118" s="123">
        <f>LBO!$AD$10</f>
        <v>0</v>
      </c>
      <c r="F118" s="13"/>
      <c r="G118" s="248">
        <f>LBO!AA71</f>
        <v>0.06</v>
      </c>
      <c r="H118" s="248">
        <f>LBO!AB71</f>
        <v>0.06</v>
      </c>
      <c r="I118" s="248">
        <f>LBO!AC71</f>
        <v>0.06</v>
      </c>
      <c r="J118" s="248">
        <f>LBO!AD71</f>
        <v>0.06</v>
      </c>
      <c r="K118" s="248">
        <f>LBO!AE71</f>
        <v>0.06</v>
      </c>
      <c r="L118" s="248">
        <f>LBO!AF71</f>
        <v>0.06</v>
      </c>
      <c r="M118" s="248">
        <f>LBO!AG71</f>
        <v>0.06</v>
      </c>
      <c r="N118" s="248">
        <f>LBO!AH71</f>
        <v>0.06</v>
      </c>
      <c r="O118" s="248">
        <f>LBO!AI71</f>
        <v>0.06</v>
      </c>
      <c r="P118" s="249">
        <f>LBO!AJ71</f>
        <v>0.06</v>
      </c>
      <c r="U118" s="1" t="s">
        <v>252</v>
      </c>
      <c r="V118" s="5" t="str">
        <f>_xlfn.CONCAT(U118," Investment")</f>
        <v>XYZ CP Investment</v>
      </c>
      <c r="W118" s="127">
        <v>0</v>
      </c>
      <c r="X118" s="127">
        <v>0</v>
      </c>
      <c r="Y118" s="127">
        <v>0</v>
      </c>
      <c r="Z118" s="127">
        <v>0</v>
      </c>
      <c r="AA118" s="311">
        <f>LBO!P536</f>
        <v>0</v>
      </c>
    </row>
    <row r="119" spans="2:36" x14ac:dyDescent="0.3">
      <c r="B119" s="5"/>
      <c r="C119" s="113"/>
      <c r="E119" s="113"/>
      <c r="G119" s="248"/>
      <c r="H119" s="248"/>
      <c r="I119" s="248"/>
      <c r="J119" s="248"/>
      <c r="K119" s="248"/>
      <c r="L119" s="248"/>
      <c r="M119" s="248"/>
      <c r="N119" s="248"/>
      <c r="O119" s="248"/>
      <c r="P119" s="249"/>
      <c r="V119" s="5" t="s">
        <v>253</v>
      </c>
      <c r="W119" s="127">
        <v>0</v>
      </c>
      <c r="X119" s="127">
        <v>0</v>
      </c>
      <c r="Y119" s="127">
        <v>0</v>
      </c>
      <c r="Z119" s="127">
        <v>0.05</v>
      </c>
      <c r="AA119" s="311">
        <f>LBO!P537</f>
        <v>0.05</v>
      </c>
    </row>
    <row r="120" spans="2:36" x14ac:dyDescent="0.3">
      <c r="B120" s="5" t="str">
        <f>J155</f>
        <v>Preferred Stock</v>
      </c>
      <c r="C120" s="208" t="str">
        <f>IF(X110&gt;0,"PIK until "&amp;FIXED($Y$12+X110-1,0,TRUE),"Cash Pay" )</f>
        <v>Cash Pay</v>
      </c>
      <c r="E120" s="113"/>
      <c r="F120" s="13"/>
      <c r="G120" s="248">
        <f>LBO!AA72</f>
        <v>0.1</v>
      </c>
      <c r="H120" s="248">
        <f>LBO!AB72</f>
        <v>0.1</v>
      </c>
      <c r="I120" s="248">
        <f>LBO!AC72</f>
        <v>0.1</v>
      </c>
      <c r="J120" s="248">
        <f>LBO!AD72</f>
        <v>0.1</v>
      </c>
      <c r="K120" s="248">
        <f>LBO!AE72</f>
        <v>0.1</v>
      </c>
      <c r="L120" s="248">
        <f>LBO!AF72</f>
        <v>0.1</v>
      </c>
      <c r="M120" s="248">
        <f>LBO!AG72</f>
        <v>0.1</v>
      </c>
      <c r="N120" s="248">
        <f>LBO!AH72</f>
        <v>0.1</v>
      </c>
      <c r="O120" s="248">
        <f>LBO!AI72</f>
        <v>0.1</v>
      </c>
      <c r="P120" s="249">
        <f>LBO!AJ72</f>
        <v>0.1</v>
      </c>
      <c r="V120" s="5" t="s">
        <v>254</v>
      </c>
      <c r="W120" s="312">
        <f>SUM(LBO!Y107:Y110)</f>
        <v>0.04</v>
      </c>
      <c r="X120" s="312">
        <f>SUM(LBO!Z107:Z110)</f>
        <v>7.5000000000000011E-2</v>
      </c>
      <c r="Y120" s="312">
        <f>SUM(LBO!AA107:AA110)</f>
        <v>0.03</v>
      </c>
      <c r="Z120" s="316">
        <v>0</v>
      </c>
      <c r="AA120" s="313">
        <f>SUM(LBO!P539:P542)</f>
        <v>0.1246606334841629</v>
      </c>
    </row>
    <row r="121" spans="2:36" ht="15" thickBot="1" x14ac:dyDescent="0.35">
      <c r="B121" s="5"/>
      <c r="C121" s="113"/>
      <c r="E121" s="113"/>
      <c r="G121" s="248"/>
      <c r="H121" s="248"/>
      <c r="I121" s="248"/>
      <c r="J121" s="248"/>
      <c r="K121" s="248"/>
      <c r="L121" s="248"/>
      <c r="M121" s="248"/>
      <c r="N121" s="248"/>
      <c r="O121" s="248"/>
      <c r="P121" s="249"/>
      <c r="V121" s="7"/>
      <c r="W121" s="314">
        <f>SUM(W117:W120)</f>
        <v>1</v>
      </c>
      <c r="X121" s="314">
        <f>SUM(X117:X120)</f>
        <v>7.5000000000000011E-2</v>
      </c>
      <c r="Y121" s="314">
        <f>SUM(Y117:Y120)</f>
        <v>0.03</v>
      </c>
      <c r="Z121" s="314">
        <f>SUM(Z117:Z120)</f>
        <v>0.05</v>
      </c>
      <c r="AA121" s="315">
        <f>SUM(AA117:AA120)</f>
        <v>1</v>
      </c>
    </row>
    <row r="122" spans="2:36" x14ac:dyDescent="0.3">
      <c r="B122" s="5"/>
      <c r="C122" s="115" t="str">
        <f>C107</f>
        <v>LIBOR+</v>
      </c>
      <c r="E122" s="113"/>
      <c r="G122" s="248"/>
      <c r="H122" s="248"/>
      <c r="I122" s="248"/>
      <c r="J122" s="248"/>
      <c r="K122" s="248"/>
      <c r="L122" s="248"/>
      <c r="M122" s="248"/>
      <c r="N122" s="248"/>
      <c r="O122" s="248"/>
      <c r="P122" s="249"/>
    </row>
    <row r="123" spans="2:36" x14ac:dyDescent="0.3">
      <c r="B123" s="5" t="s">
        <v>208</v>
      </c>
      <c r="C123" s="253">
        <f>LBO!W62</f>
        <v>5.0000000000000001E-3</v>
      </c>
      <c r="E123" s="123">
        <f>LBO!$AD$10</f>
        <v>0</v>
      </c>
      <c r="F123" s="13"/>
      <c r="G123" s="248">
        <f>LBO!AA73</f>
        <v>0.02</v>
      </c>
      <c r="H123" s="248">
        <f>LBO!AB73</f>
        <v>0.02</v>
      </c>
      <c r="I123" s="248">
        <f>LBO!AC73</f>
        <v>0.02</v>
      </c>
      <c r="J123" s="248">
        <f>LBO!AD73</f>
        <v>0.02</v>
      </c>
      <c r="K123" s="248">
        <f>LBO!AE73</f>
        <v>0.02</v>
      </c>
      <c r="L123" s="248">
        <f>LBO!AF73</f>
        <v>0.02</v>
      </c>
      <c r="M123" s="248">
        <f>LBO!AG73</f>
        <v>0.02</v>
      </c>
      <c r="N123" s="248">
        <f>LBO!AH73</f>
        <v>0.02</v>
      </c>
      <c r="O123" s="248">
        <f>LBO!AI73</f>
        <v>0.02</v>
      </c>
      <c r="P123" s="249">
        <f>LBO!AJ73</f>
        <v>0.02</v>
      </c>
    </row>
    <row r="124" spans="2:36" x14ac:dyDescent="0.3">
      <c r="B124" s="5" t="s">
        <v>212</v>
      </c>
      <c r="C124" s="113"/>
      <c r="E124" s="113"/>
      <c r="F124" s="13"/>
      <c r="G124" s="248">
        <f>LBO!AA78</f>
        <v>0.26</v>
      </c>
      <c r="H124" s="248">
        <f>LBO!AB78</f>
        <v>0.26</v>
      </c>
      <c r="I124" s="248">
        <f>LBO!AC78</f>
        <v>0.26</v>
      </c>
      <c r="J124" s="248">
        <f>LBO!AD78</f>
        <v>0.26</v>
      </c>
      <c r="K124" s="248">
        <f>LBO!AE78</f>
        <v>0.26</v>
      </c>
      <c r="L124" s="248">
        <f>LBO!AF78</f>
        <v>0.26</v>
      </c>
      <c r="M124" s="248">
        <f>LBO!AG78</f>
        <v>0.26</v>
      </c>
      <c r="N124" s="248">
        <f>LBO!AH78</f>
        <v>0.26</v>
      </c>
      <c r="O124" s="248">
        <f>LBO!AI78</f>
        <v>0.26</v>
      </c>
      <c r="P124" s="249">
        <f>LBO!AJ78</f>
        <v>0.26</v>
      </c>
      <c r="V124" s="55" t="s">
        <v>255</v>
      </c>
    </row>
    <row r="125" spans="2:36" x14ac:dyDescent="0.3">
      <c r="B125" s="5" t="s">
        <v>213</v>
      </c>
      <c r="C125" s="113"/>
      <c r="E125" s="113"/>
      <c r="G125" s="248">
        <f>LBO!AA79</f>
        <v>0</v>
      </c>
      <c r="H125" s="248">
        <f>LBO!AB79</f>
        <v>0</v>
      </c>
      <c r="I125" s="248">
        <f>LBO!AC79</f>
        <v>0</v>
      </c>
      <c r="J125" s="248">
        <f>LBO!AD79</f>
        <v>0</v>
      </c>
      <c r="K125" s="248">
        <f>LBO!AE79</f>
        <v>0</v>
      </c>
      <c r="L125" s="248">
        <f>LBO!AF79</f>
        <v>0</v>
      </c>
      <c r="M125" s="248">
        <f>LBO!AG79</f>
        <v>0</v>
      </c>
      <c r="N125" s="248">
        <f>LBO!AH79</f>
        <v>0</v>
      </c>
      <c r="O125" s="248">
        <f>LBO!AI79</f>
        <v>0</v>
      </c>
      <c r="P125" s="249">
        <f>LBO!AJ79</f>
        <v>0</v>
      </c>
    </row>
    <row r="126" spans="2:36" ht="15" thickBot="1" x14ac:dyDescent="0.35">
      <c r="B126" s="7" t="s">
        <v>210</v>
      </c>
      <c r="C126" s="124"/>
      <c r="D126" s="18"/>
      <c r="E126" s="124"/>
      <c r="F126" s="125"/>
      <c r="G126" s="251">
        <f>LBO!AA74</f>
        <v>1.4999999999999999E-2</v>
      </c>
      <c r="H126" s="251">
        <f>LBO!AB74</f>
        <v>1.4999999999999999E-2</v>
      </c>
      <c r="I126" s="251">
        <f>LBO!AC74</f>
        <v>1.4999999999999999E-2</v>
      </c>
      <c r="J126" s="251">
        <f>LBO!AD74</f>
        <v>1.4999999999999999E-2</v>
      </c>
      <c r="K126" s="251">
        <f>LBO!AE74</f>
        <v>1.4999999999999999E-2</v>
      </c>
      <c r="L126" s="251">
        <f>LBO!AF74</f>
        <v>1.4999999999999999E-2</v>
      </c>
      <c r="M126" s="251">
        <f>LBO!AG74</f>
        <v>1.4999999999999999E-2</v>
      </c>
      <c r="N126" s="251">
        <f>LBO!AH74</f>
        <v>1.4999999999999999E-2</v>
      </c>
      <c r="O126" s="251">
        <f>LBO!AI74</f>
        <v>1.4999999999999999E-2</v>
      </c>
      <c r="P126" s="252">
        <f>LBO!AJ74</f>
        <v>1.4999999999999999E-2</v>
      </c>
      <c r="AA126" s="109">
        <f>LBO!$Y$12</f>
        <v>2024</v>
      </c>
      <c r="AB126" s="109">
        <f>AA126+1</f>
        <v>2025</v>
      </c>
      <c r="AC126" s="109">
        <f t="shared" ref="AC126:AJ126" si="81">AB126+1</f>
        <v>2026</v>
      </c>
      <c r="AD126" s="109">
        <f t="shared" si="81"/>
        <v>2027</v>
      </c>
      <c r="AE126" s="109">
        <f t="shared" si="81"/>
        <v>2028</v>
      </c>
      <c r="AF126" s="109">
        <f t="shared" si="81"/>
        <v>2029</v>
      </c>
      <c r="AG126" s="109">
        <f t="shared" si="81"/>
        <v>2030</v>
      </c>
      <c r="AH126" s="109">
        <f t="shared" si="81"/>
        <v>2031</v>
      </c>
      <c r="AI126" s="109">
        <f t="shared" si="81"/>
        <v>2032</v>
      </c>
      <c r="AJ126" s="109">
        <f t="shared" si="81"/>
        <v>2033</v>
      </c>
    </row>
    <row r="127" spans="2:36" x14ac:dyDescent="0.3">
      <c r="Q127" s="13"/>
    </row>
    <row r="128" spans="2:36" x14ac:dyDescent="0.3">
      <c r="V128" t="s">
        <v>256</v>
      </c>
      <c r="W128">
        <v>5</v>
      </c>
    </row>
    <row r="129" spans="2:36" x14ac:dyDescent="0.3">
      <c r="B129" s="410" t="s">
        <v>257</v>
      </c>
      <c r="C129" s="410"/>
      <c r="D129" s="410"/>
      <c r="E129" s="410"/>
      <c r="F129" s="410"/>
      <c r="G129" s="410"/>
      <c r="H129" s="410"/>
      <c r="I129" s="410"/>
      <c r="J129" s="410"/>
      <c r="K129" s="410"/>
      <c r="L129" s="410"/>
      <c r="M129" s="410"/>
      <c r="N129" s="410"/>
      <c r="O129" s="410"/>
      <c r="P129" s="410"/>
      <c r="V129" t="s">
        <v>258</v>
      </c>
      <c r="AA129" s="344">
        <f t="shared" ref="AA129:AJ129" si="82">IF(AA126&lt;$AG$17+1,1,MAX((($W$128-(AA126-$AG$17))/$W$128),0))</f>
        <v>0.6</v>
      </c>
      <c r="AB129" s="344">
        <f t="shared" si="82"/>
        <v>0.4</v>
      </c>
      <c r="AC129" s="344">
        <f t="shared" si="82"/>
        <v>0.2</v>
      </c>
      <c r="AD129" s="344">
        <f t="shared" si="82"/>
        <v>0</v>
      </c>
      <c r="AE129" s="344">
        <f t="shared" si="82"/>
        <v>0</v>
      </c>
      <c r="AF129" s="344">
        <f t="shared" si="82"/>
        <v>0</v>
      </c>
      <c r="AG129" s="344">
        <f t="shared" si="82"/>
        <v>0</v>
      </c>
      <c r="AH129" s="344">
        <f t="shared" si="82"/>
        <v>0</v>
      </c>
      <c r="AI129" s="344">
        <f t="shared" si="82"/>
        <v>0</v>
      </c>
      <c r="AJ129" s="344">
        <f t="shared" si="82"/>
        <v>0</v>
      </c>
    </row>
    <row r="131" spans="2:36" ht="15" thickBot="1" x14ac:dyDescent="0.35"/>
    <row r="132" spans="2:36" x14ac:dyDescent="0.3">
      <c r="B132" s="3"/>
      <c r="C132" s="9"/>
      <c r="D132" s="76" t="s">
        <v>170</v>
      </c>
      <c r="E132" s="408" t="s">
        <v>259</v>
      </c>
      <c r="F132" s="408"/>
      <c r="G132" s="408"/>
      <c r="H132" s="9"/>
      <c r="I132" s="9"/>
      <c r="J132" s="9"/>
      <c r="K132" s="9"/>
      <c r="L132" s="9"/>
      <c r="M132" s="76" t="s">
        <v>170</v>
      </c>
      <c r="N132" s="408" t="s">
        <v>259</v>
      </c>
      <c r="O132" s="408"/>
      <c r="P132" s="412"/>
    </row>
    <row r="133" spans="2:36" x14ac:dyDescent="0.3">
      <c r="B133" s="5"/>
      <c r="C133" s="355"/>
      <c r="D133" s="80">
        <f>DATE(F62,12,31)</f>
        <v>45291</v>
      </c>
      <c r="E133" s="52" t="s">
        <v>260</v>
      </c>
      <c r="F133" s="52" t="s">
        <v>261</v>
      </c>
      <c r="G133" s="52" t="s">
        <v>136</v>
      </c>
      <c r="M133" s="80">
        <f>DATE(F62,12,31)</f>
        <v>45291</v>
      </c>
      <c r="N133" s="52" t="s">
        <v>260</v>
      </c>
      <c r="O133" s="52" t="s">
        <v>261</v>
      </c>
      <c r="P133" s="81" t="s">
        <v>136</v>
      </c>
      <c r="V133" s="77" t="s">
        <v>262</v>
      </c>
    </row>
    <row r="134" spans="2:36" x14ac:dyDescent="0.3">
      <c r="B134" s="23" t="s">
        <v>263</v>
      </c>
      <c r="J134" s="77" t="s">
        <v>264</v>
      </c>
      <c r="P134" s="16"/>
    </row>
    <row r="135" spans="2:36" x14ac:dyDescent="0.3">
      <c r="B135" s="32" t="s">
        <v>265</v>
      </c>
      <c r="J135" s="31" t="s">
        <v>265</v>
      </c>
      <c r="P135" s="16"/>
      <c r="AA135" s="109">
        <f>$Y$12</f>
        <v>2024</v>
      </c>
      <c r="AB135" s="109">
        <f t="shared" ref="AB135:AJ135" si="83">AA135+1</f>
        <v>2025</v>
      </c>
      <c r="AC135" s="109">
        <f t="shared" si="83"/>
        <v>2026</v>
      </c>
      <c r="AD135" s="109">
        <f t="shared" si="83"/>
        <v>2027</v>
      </c>
      <c r="AE135" s="109">
        <f t="shared" si="83"/>
        <v>2028</v>
      </c>
      <c r="AF135" s="109">
        <f t="shared" si="83"/>
        <v>2029</v>
      </c>
      <c r="AG135" s="109">
        <f t="shared" si="83"/>
        <v>2030</v>
      </c>
      <c r="AH135" s="109">
        <f t="shared" si="83"/>
        <v>2031</v>
      </c>
      <c r="AI135" s="109">
        <f t="shared" si="83"/>
        <v>2032</v>
      </c>
      <c r="AJ135" s="109">
        <f t="shared" si="83"/>
        <v>2033</v>
      </c>
    </row>
    <row r="136" spans="2:36" x14ac:dyDescent="0.3">
      <c r="B136" s="24" t="s">
        <v>266</v>
      </c>
      <c r="D136" s="254">
        <v>188.0914406949</v>
      </c>
      <c r="E136" s="254">
        <v>0</v>
      </c>
      <c r="F136" s="216">
        <f>I11</f>
        <v>80</v>
      </c>
      <c r="G136" s="216">
        <f>D136+E136-F136</f>
        <v>108.0914406949</v>
      </c>
      <c r="J136" s="22" t="s">
        <v>196</v>
      </c>
      <c r="M136" s="254">
        <v>0</v>
      </c>
      <c r="N136" s="254">
        <v>0</v>
      </c>
      <c r="O136" s="254">
        <v>0</v>
      </c>
      <c r="P136" s="255">
        <f>M136-N136+O136</f>
        <v>0</v>
      </c>
      <c r="V136" t="s">
        <v>267</v>
      </c>
      <c r="AA136" s="216">
        <f t="shared" ref="AA136:AJ136" si="84">G187-G189</f>
        <v>49.656971186102005</v>
      </c>
      <c r="AB136" s="216">
        <f t="shared" si="84"/>
        <v>46.294049613375506</v>
      </c>
      <c r="AC136" s="216">
        <f t="shared" si="84"/>
        <v>44.656326793392786</v>
      </c>
      <c r="AD136" s="216">
        <f t="shared" si="84"/>
        <v>42.274736557816261</v>
      </c>
      <c r="AE136" s="216">
        <f t="shared" si="84"/>
        <v>37.618888019046658</v>
      </c>
      <c r="AF136" s="216">
        <f t="shared" si="84"/>
        <v>31.808517629013309</v>
      </c>
      <c r="AG136" s="216">
        <f t="shared" si="84"/>
        <v>24.879804571812702</v>
      </c>
      <c r="AH136" s="216">
        <f t="shared" si="84"/>
        <v>17.076714645919207</v>
      </c>
      <c r="AI136" s="216">
        <f t="shared" si="84"/>
        <v>8.8981811110900644</v>
      </c>
      <c r="AJ136" s="216">
        <f t="shared" si="84"/>
        <v>2.0311054429938582</v>
      </c>
    </row>
    <row r="137" spans="2:36" x14ac:dyDescent="0.3">
      <c r="B137" s="24" t="s">
        <v>268</v>
      </c>
      <c r="D137" s="254">
        <v>0</v>
      </c>
      <c r="E137" s="216">
        <f>D17</f>
        <v>50</v>
      </c>
      <c r="F137" s="254">
        <v>0</v>
      </c>
      <c r="G137" s="216">
        <f>D137+E137-F137</f>
        <v>50</v>
      </c>
      <c r="J137" s="22" t="s">
        <v>242</v>
      </c>
      <c r="M137" s="254">
        <v>10.212652842704999</v>
      </c>
      <c r="N137" s="254">
        <v>0</v>
      </c>
      <c r="O137" s="254">
        <v>0</v>
      </c>
      <c r="P137" s="255">
        <f>M137-N137+O137</f>
        <v>10.212652842704999</v>
      </c>
      <c r="V137" t="s">
        <v>153</v>
      </c>
      <c r="AA137" s="216">
        <f t="shared" ref="AA137:AJ137" si="85">G174</f>
        <v>144.66462570936682</v>
      </c>
      <c r="AB137" s="216">
        <f t="shared" si="85"/>
        <v>159.13108828030352</v>
      </c>
      <c r="AC137" s="216">
        <f t="shared" si="85"/>
        <v>175.04419710833383</v>
      </c>
      <c r="AD137" s="216">
        <f t="shared" si="85"/>
        <v>189.04773287700061</v>
      </c>
      <c r="AE137" s="216">
        <f t="shared" si="85"/>
        <v>204.17155150716059</v>
      </c>
      <c r="AF137" s="216">
        <f t="shared" si="85"/>
        <v>220.50527562773351</v>
      </c>
      <c r="AG137" s="216">
        <f t="shared" si="85"/>
        <v>233.73559216539746</v>
      </c>
      <c r="AH137" s="216">
        <f t="shared" si="85"/>
        <v>245.42237177366735</v>
      </c>
      <c r="AI137" s="216">
        <f t="shared" si="85"/>
        <v>257.6934903623507</v>
      </c>
      <c r="AJ137" s="216">
        <f t="shared" si="85"/>
        <v>270.57816488046825</v>
      </c>
    </row>
    <row r="138" spans="2:36" x14ac:dyDescent="0.3">
      <c r="B138" s="24" t="s">
        <v>221</v>
      </c>
      <c r="D138" s="254">
        <v>112.766613486597</v>
      </c>
      <c r="E138" s="254">
        <v>0</v>
      </c>
      <c r="F138" s="254">
        <v>0</v>
      </c>
      <c r="G138" s="216">
        <f>D138+E138-F138</f>
        <v>112.766613486597</v>
      </c>
      <c r="J138" s="22" t="s">
        <v>244</v>
      </c>
      <c r="M138" s="256">
        <v>145.98086122219499</v>
      </c>
      <c r="N138" s="256">
        <v>0</v>
      </c>
      <c r="O138" s="256">
        <v>0</v>
      </c>
      <c r="P138" s="257">
        <f>M138-N138+O138</f>
        <v>145.98086122219499</v>
      </c>
      <c r="V138" t="s">
        <v>269</v>
      </c>
      <c r="AA138" s="216">
        <f t="shared" ref="AA138:AJ138" si="86">G177</f>
        <v>103.88175316658794</v>
      </c>
      <c r="AB138" s="216">
        <f t="shared" si="86"/>
        <v>116.47801315300168</v>
      </c>
      <c r="AC138" s="216">
        <f t="shared" si="86"/>
        <v>130.33389913805675</v>
      </c>
      <c r="AD138" s="216">
        <f t="shared" si="86"/>
        <v>152.00750215367998</v>
      </c>
      <c r="AE138" s="216">
        <f t="shared" si="86"/>
        <v>165.17613619387629</v>
      </c>
      <c r="AF138" s="216">
        <f t="shared" si="86"/>
        <v>179.39826095728844</v>
      </c>
      <c r="AG138" s="216">
        <f t="shared" si="86"/>
        <v>190.91818201565218</v>
      </c>
      <c r="AH138" s="216">
        <f t="shared" si="86"/>
        <v>204.21411228387353</v>
      </c>
      <c r="AI138" s="216">
        <f t="shared" si="86"/>
        <v>219.63905073989326</v>
      </c>
      <c r="AJ138" s="216">
        <f t="shared" si="86"/>
        <v>230.85801386060731</v>
      </c>
    </row>
    <row r="139" spans="2:36" x14ac:dyDescent="0.3">
      <c r="B139" s="24" t="s">
        <v>225</v>
      </c>
      <c r="D139" s="254">
        <v>144.44444442285001</v>
      </c>
      <c r="E139" s="254">
        <v>0</v>
      </c>
      <c r="F139" s="254">
        <v>0</v>
      </c>
      <c r="G139" s="216">
        <f>D139+E139-F139</f>
        <v>144.44444442285001</v>
      </c>
      <c r="J139" s="78" t="s">
        <v>270</v>
      </c>
      <c r="M139" s="216">
        <f>SUM(M136:M138)</f>
        <v>156.1935140649</v>
      </c>
      <c r="N139" s="216">
        <f t="shared" ref="N139:O139" si="87">SUM(N136:N138)</f>
        <v>0</v>
      </c>
      <c r="O139" s="216">
        <f t="shared" si="87"/>
        <v>0</v>
      </c>
      <c r="P139" s="255">
        <f>SUM(P136:P138)</f>
        <v>156.1935140649</v>
      </c>
      <c r="V139" t="s">
        <v>271</v>
      </c>
      <c r="AA139" s="216">
        <f t="shared" ref="AA139:AJ139" si="88">IF(AA135&lt;AG19,AA137,AA138)</f>
        <v>103.88175316658794</v>
      </c>
      <c r="AB139" s="216">
        <f t="shared" si="88"/>
        <v>116.47801315300168</v>
      </c>
      <c r="AC139" s="216">
        <f t="shared" si="88"/>
        <v>130.33389913805675</v>
      </c>
      <c r="AD139" s="216">
        <f t="shared" si="88"/>
        <v>152.00750215367998</v>
      </c>
      <c r="AE139" s="216">
        <f t="shared" si="88"/>
        <v>165.17613619387629</v>
      </c>
      <c r="AF139" s="216">
        <f t="shared" si="88"/>
        <v>179.39826095728844</v>
      </c>
      <c r="AG139" s="216">
        <f t="shared" si="88"/>
        <v>190.91818201565218</v>
      </c>
      <c r="AH139" s="216">
        <f t="shared" si="88"/>
        <v>204.21411228387353</v>
      </c>
      <c r="AI139" s="216">
        <f t="shared" si="88"/>
        <v>219.63905073989326</v>
      </c>
      <c r="AJ139" s="216">
        <f t="shared" si="88"/>
        <v>230.85801386060731</v>
      </c>
    </row>
    <row r="140" spans="2:36" x14ac:dyDescent="0.3">
      <c r="B140" s="24" t="s">
        <v>237</v>
      </c>
      <c r="D140" s="256">
        <v>1.6937799040529999</v>
      </c>
      <c r="E140" s="256">
        <v>0</v>
      </c>
      <c r="F140" s="256">
        <v>0</v>
      </c>
      <c r="G140" s="258">
        <f>D140+E140-F140</f>
        <v>1.6937799040529999</v>
      </c>
      <c r="M140" s="216"/>
      <c r="N140" s="216"/>
      <c r="O140" s="216"/>
      <c r="P140" s="255"/>
      <c r="V140" t="s">
        <v>272</v>
      </c>
      <c r="AA140" s="216">
        <f t="shared" ref="AA140:AJ140" si="89">AA139*$AG$20</f>
        <v>31.16452594997638</v>
      </c>
      <c r="AB140" s="216">
        <f t="shared" si="89"/>
        <v>34.943403945900506</v>
      </c>
      <c r="AC140" s="216">
        <f t="shared" si="89"/>
        <v>39.100169741417027</v>
      </c>
      <c r="AD140" s="216">
        <f t="shared" si="89"/>
        <v>45.60225064610399</v>
      </c>
      <c r="AE140" s="216">
        <f t="shared" si="89"/>
        <v>49.552840858162888</v>
      </c>
      <c r="AF140" s="216">
        <f t="shared" si="89"/>
        <v>53.819478287186534</v>
      </c>
      <c r="AG140" s="216">
        <f t="shared" si="89"/>
        <v>57.275454604695653</v>
      </c>
      <c r="AH140" s="216">
        <f t="shared" si="89"/>
        <v>61.264233685162054</v>
      </c>
      <c r="AI140" s="216">
        <f t="shared" si="89"/>
        <v>65.891715221967971</v>
      </c>
      <c r="AJ140" s="216">
        <f t="shared" si="89"/>
        <v>69.257404158182197</v>
      </c>
    </row>
    <row r="141" spans="2:36" x14ac:dyDescent="0.3">
      <c r="B141" s="33" t="s">
        <v>273</v>
      </c>
      <c r="D141" s="216">
        <f>SUM(D136:D140)</f>
        <v>446.99627850839994</v>
      </c>
      <c r="E141" s="216">
        <f>SUM(E136:E140)</f>
        <v>50</v>
      </c>
      <c r="F141" s="216">
        <f>SUM(F136:F140)</f>
        <v>80</v>
      </c>
      <c r="G141" s="216">
        <f>SUM(G136:G140)</f>
        <v>416.99627850839994</v>
      </c>
      <c r="J141" s="31" t="s">
        <v>274</v>
      </c>
      <c r="M141" s="216"/>
      <c r="N141" s="216"/>
      <c r="O141" s="216"/>
      <c r="P141" s="255"/>
      <c r="V141" t="s">
        <v>275</v>
      </c>
      <c r="AA141" s="216">
        <f t="shared" ref="AA141:AJ141" si="90">MAX(AA136-AA140,0)</f>
        <v>18.492445236125626</v>
      </c>
      <c r="AB141" s="216">
        <f t="shared" si="90"/>
        <v>11.350645667475</v>
      </c>
      <c r="AC141" s="216">
        <f t="shared" si="90"/>
        <v>5.5561570519757595</v>
      </c>
      <c r="AD141" s="216">
        <f t="shared" si="90"/>
        <v>0</v>
      </c>
      <c r="AE141" s="216">
        <f t="shared" si="90"/>
        <v>0</v>
      </c>
      <c r="AF141" s="216">
        <f t="shared" si="90"/>
        <v>0</v>
      </c>
      <c r="AG141" s="216">
        <f t="shared" si="90"/>
        <v>0</v>
      </c>
      <c r="AH141" s="216">
        <f t="shared" si="90"/>
        <v>0</v>
      </c>
      <c r="AI141" s="216">
        <f t="shared" si="90"/>
        <v>0</v>
      </c>
      <c r="AJ141" s="216">
        <f t="shared" si="90"/>
        <v>0</v>
      </c>
    </row>
    <row r="142" spans="2:36" x14ac:dyDescent="0.3">
      <c r="B142" s="5"/>
      <c r="D142" s="216"/>
      <c r="E142" s="216"/>
      <c r="F142" s="216"/>
      <c r="G142" s="216"/>
      <c r="J142" s="22" t="s">
        <v>203</v>
      </c>
      <c r="M142" s="254">
        <v>0</v>
      </c>
      <c r="N142" s="254">
        <v>0</v>
      </c>
      <c r="O142" s="254">
        <v>0</v>
      </c>
      <c r="P142" s="255">
        <f t="shared" ref="P142:P147" si="91">M142-N142+O142</f>
        <v>0</v>
      </c>
    </row>
    <row r="143" spans="2:36" x14ac:dyDescent="0.3">
      <c r="B143" s="5" t="s">
        <v>276</v>
      </c>
      <c r="D143" s="254">
        <v>217.533545972284</v>
      </c>
      <c r="E143" s="216">
        <f>G157</f>
        <v>10</v>
      </c>
      <c r="F143" s="254">
        <v>0</v>
      </c>
      <c r="G143" s="216">
        <f>D143+E143-F143</f>
        <v>227.533545972284</v>
      </c>
      <c r="J143" s="22" t="str">
        <f>V32</f>
        <v>Revolver</v>
      </c>
      <c r="M143" s="259">
        <v>0</v>
      </c>
      <c r="N143" s="260">
        <v>0</v>
      </c>
      <c r="O143" s="216">
        <f>I13</f>
        <v>100</v>
      </c>
      <c r="P143" s="255">
        <f>M143-N143+O143</f>
        <v>100</v>
      </c>
      <c r="V143" t="s">
        <v>277</v>
      </c>
    </row>
    <row r="144" spans="2:36" x14ac:dyDescent="0.3">
      <c r="B144" s="5" t="s">
        <v>278</v>
      </c>
      <c r="D144" s="256">
        <v>124.6</v>
      </c>
      <c r="E144" s="256">
        <v>0</v>
      </c>
      <c r="F144" s="256">
        <v>0</v>
      </c>
      <c r="G144" s="258">
        <f>D144+E144-F144</f>
        <v>124.6</v>
      </c>
      <c r="J144" s="22" t="str">
        <f>V33</f>
        <v>Term Loan</v>
      </c>
      <c r="M144" s="259">
        <v>0</v>
      </c>
      <c r="N144" s="260">
        <v>0</v>
      </c>
      <c r="O144" s="216">
        <f>I14</f>
        <v>200</v>
      </c>
      <c r="P144" s="255">
        <f t="shared" si="91"/>
        <v>200</v>
      </c>
      <c r="V144" t="s">
        <v>279</v>
      </c>
      <c r="AA144" s="254">
        <v>0</v>
      </c>
      <c r="AB144" s="216">
        <f t="shared" ref="AB144:AJ144" si="92">AA147</f>
        <v>18.492445236125626</v>
      </c>
      <c r="AC144" s="216">
        <f t="shared" si="92"/>
        <v>29.843090903600626</v>
      </c>
      <c r="AD144" s="216">
        <f t="shared" si="92"/>
        <v>35.399247955576385</v>
      </c>
      <c r="AE144" s="216">
        <f t="shared" si="92"/>
        <v>32.071733867288657</v>
      </c>
      <c r="AF144" s="216">
        <f t="shared" si="92"/>
        <v>20.137781028172427</v>
      </c>
      <c r="AG144" s="216">
        <f t="shared" si="92"/>
        <v>0</v>
      </c>
      <c r="AH144" s="216">
        <f t="shared" si="92"/>
        <v>0</v>
      </c>
      <c r="AI144" s="216">
        <f t="shared" si="92"/>
        <v>0</v>
      </c>
      <c r="AJ144" s="216">
        <f t="shared" si="92"/>
        <v>0</v>
      </c>
    </row>
    <row r="145" spans="2:36" x14ac:dyDescent="0.3">
      <c r="B145" s="33" t="s">
        <v>280</v>
      </c>
      <c r="D145" s="216">
        <f>D143-D144</f>
        <v>92.933545972284008</v>
      </c>
      <c r="E145" s="216">
        <f>SUM(E143:E144)</f>
        <v>10</v>
      </c>
      <c r="F145" s="216">
        <f>SUM(F143:F144)</f>
        <v>0</v>
      </c>
      <c r="G145" s="216">
        <f>D145+E145-F145</f>
        <v>102.93354597228401</v>
      </c>
      <c r="J145" s="22" t="str">
        <f>V34</f>
        <v>Senior Unsecured Debt</v>
      </c>
      <c r="M145" s="259">
        <v>0</v>
      </c>
      <c r="N145" s="260">
        <v>0</v>
      </c>
      <c r="O145" s="216">
        <f>I15</f>
        <v>200</v>
      </c>
      <c r="P145" s="255">
        <f t="shared" si="91"/>
        <v>200</v>
      </c>
      <c r="V145" s="22" t="s">
        <v>281</v>
      </c>
      <c r="AA145" s="216">
        <f t="shared" ref="AA145:AJ145" si="93">AA141</f>
        <v>18.492445236125626</v>
      </c>
      <c r="AB145" s="216">
        <f t="shared" si="93"/>
        <v>11.350645667475</v>
      </c>
      <c r="AC145" s="216">
        <f t="shared" si="93"/>
        <v>5.5561570519757595</v>
      </c>
      <c r="AD145" s="216">
        <f t="shared" si="93"/>
        <v>0</v>
      </c>
      <c r="AE145" s="216">
        <f t="shared" si="93"/>
        <v>0</v>
      </c>
      <c r="AF145" s="216">
        <f t="shared" si="93"/>
        <v>0</v>
      </c>
      <c r="AG145" s="216">
        <f t="shared" si="93"/>
        <v>0</v>
      </c>
      <c r="AH145" s="216">
        <f t="shared" si="93"/>
        <v>0</v>
      </c>
      <c r="AI145" s="216">
        <f t="shared" si="93"/>
        <v>0</v>
      </c>
      <c r="AJ145" s="216">
        <f t="shared" si="93"/>
        <v>0</v>
      </c>
    </row>
    <row r="146" spans="2:36" x14ac:dyDescent="0.3">
      <c r="B146" s="5"/>
      <c r="D146" s="216"/>
      <c r="E146" s="216"/>
      <c r="F146" s="216"/>
      <c r="G146" s="216"/>
      <c r="J146" s="22" t="str">
        <f>V35</f>
        <v>Subordinated Debt</v>
      </c>
      <c r="M146" s="259">
        <v>0</v>
      </c>
      <c r="N146" s="260">
        <v>0</v>
      </c>
      <c r="O146" s="216">
        <f>I16</f>
        <v>318.84000000000003</v>
      </c>
      <c r="P146" s="255">
        <f t="shared" si="91"/>
        <v>318.84000000000003</v>
      </c>
      <c r="V146" s="22" t="s">
        <v>282</v>
      </c>
      <c r="AA146" s="258">
        <f t="shared" ref="AA146:AJ146" si="94">IF(AA136&lt;AA140,MIN(AA140-AA136,AA144),0)</f>
        <v>0</v>
      </c>
      <c r="AB146" s="258">
        <f t="shared" si="94"/>
        <v>0</v>
      </c>
      <c r="AC146" s="258">
        <f t="shared" si="94"/>
        <v>0</v>
      </c>
      <c r="AD146" s="258">
        <f t="shared" si="94"/>
        <v>3.3275140882877281</v>
      </c>
      <c r="AE146" s="258">
        <f t="shared" si="94"/>
        <v>11.93395283911623</v>
      </c>
      <c r="AF146" s="258">
        <f t="shared" si="94"/>
        <v>20.137781028172427</v>
      </c>
      <c r="AG146" s="258">
        <f t="shared" si="94"/>
        <v>0</v>
      </c>
      <c r="AH146" s="258">
        <f t="shared" si="94"/>
        <v>0</v>
      </c>
      <c r="AI146" s="258">
        <f t="shared" si="94"/>
        <v>0</v>
      </c>
      <c r="AJ146" s="258">
        <f t="shared" si="94"/>
        <v>0</v>
      </c>
    </row>
    <row r="147" spans="2:36" ht="16.2" x14ac:dyDescent="0.45">
      <c r="B147" s="32" t="s">
        <v>283</v>
      </c>
      <c r="D147" s="216"/>
      <c r="E147" s="216"/>
      <c r="F147" s="216"/>
      <c r="G147" s="216"/>
      <c r="J147" s="22" t="str">
        <f>V36</f>
        <v>Mezzanine</v>
      </c>
      <c r="M147" s="261">
        <v>0</v>
      </c>
      <c r="N147" s="262">
        <v>0</v>
      </c>
      <c r="O147" s="258">
        <f>I17</f>
        <v>100</v>
      </c>
      <c r="P147" s="257">
        <f t="shared" si="91"/>
        <v>100</v>
      </c>
      <c r="V147" t="s">
        <v>284</v>
      </c>
      <c r="AA147" s="216">
        <f t="shared" ref="AA147:AJ147" si="95">AA144+AA145-AA146</f>
        <v>18.492445236125626</v>
      </c>
      <c r="AB147" s="216">
        <f t="shared" si="95"/>
        <v>29.843090903600626</v>
      </c>
      <c r="AC147" s="216">
        <f t="shared" si="95"/>
        <v>35.399247955576385</v>
      </c>
      <c r="AD147" s="216">
        <f t="shared" si="95"/>
        <v>32.071733867288657</v>
      </c>
      <c r="AE147" s="216">
        <f t="shared" si="95"/>
        <v>20.137781028172427</v>
      </c>
      <c r="AF147" s="216">
        <f t="shared" si="95"/>
        <v>0</v>
      </c>
      <c r="AG147" s="216">
        <f t="shared" si="95"/>
        <v>0</v>
      </c>
      <c r="AH147" s="216">
        <f t="shared" si="95"/>
        <v>0</v>
      </c>
      <c r="AI147" s="216">
        <f t="shared" si="95"/>
        <v>0</v>
      </c>
      <c r="AJ147" s="216">
        <f t="shared" si="95"/>
        <v>0</v>
      </c>
    </row>
    <row r="148" spans="2:36" x14ac:dyDescent="0.3">
      <c r="B148" s="24" t="s">
        <v>285</v>
      </c>
      <c r="D148" s="254">
        <v>6.4816586912160004</v>
      </c>
      <c r="E148" s="216">
        <f>G158</f>
        <v>1155.2099947427</v>
      </c>
      <c r="F148" s="254">
        <v>0</v>
      </c>
      <c r="G148" s="216">
        <f>D148+E148-F148</f>
        <v>1161.6916534339159</v>
      </c>
      <c r="J148" s="78" t="s">
        <v>286</v>
      </c>
      <c r="M148" s="216">
        <f>SUM(M142:M147)</f>
        <v>0</v>
      </c>
      <c r="N148" s="216">
        <f>SUM(N142:N147)</f>
        <v>0</v>
      </c>
      <c r="O148" s="216">
        <f>SUM(O142:O147)</f>
        <v>918.84</v>
      </c>
      <c r="P148" s="255">
        <f>SUM(P142:P147)</f>
        <v>918.84</v>
      </c>
    </row>
    <row r="149" spans="2:36" x14ac:dyDescent="0.3">
      <c r="B149" s="24" t="s">
        <v>287</v>
      </c>
      <c r="D149" s="254">
        <v>0</v>
      </c>
      <c r="E149" s="216">
        <f>D12*Y16</f>
        <v>21.84</v>
      </c>
      <c r="F149" s="254">
        <v>0</v>
      </c>
      <c r="G149" s="216">
        <f>D149+E149-F149</f>
        <v>21.84</v>
      </c>
      <c r="M149" s="216"/>
      <c r="N149" s="216"/>
      <c r="O149" s="216"/>
      <c r="P149" s="255"/>
      <c r="V149" t="s">
        <v>288</v>
      </c>
      <c r="AA149" s="216">
        <f t="shared" ref="AA149:AJ149" si="96">AA145-AA146</f>
        <v>18.492445236125626</v>
      </c>
      <c r="AB149" s="216">
        <f t="shared" si="96"/>
        <v>11.350645667475</v>
      </c>
      <c r="AC149" s="216">
        <f t="shared" si="96"/>
        <v>5.5561570519757595</v>
      </c>
      <c r="AD149" s="216">
        <f t="shared" si="96"/>
        <v>-3.3275140882877281</v>
      </c>
      <c r="AE149" s="216">
        <f t="shared" si="96"/>
        <v>-11.93395283911623</v>
      </c>
      <c r="AF149" s="216">
        <f t="shared" si="96"/>
        <v>-20.137781028172427</v>
      </c>
      <c r="AG149" s="216">
        <f t="shared" si="96"/>
        <v>0</v>
      </c>
      <c r="AH149" s="216">
        <f t="shared" si="96"/>
        <v>0</v>
      </c>
      <c r="AI149" s="216">
        <f t="shared" si="96"/>
        <v>0</v>
      </c>
      <c r="AJ149" s="216">
        <f t="shared" si="96"/>
        <v>0</v>
      </c>
    </row>
    <row r="150" spans="2:36" x14ac:dyDescent="0.3">
      <c r="B150" s="24" t="s">
        <v>289</v>
      </c>
      <c r="D150" s="254">
        <v>9.3000824015949988</v>
      </c>
      <c r="E150" s="254">
        <v>0</v>
      </c>
      <c r="F150" s="254">
        <v>0</v>
      </c>
      <c r="G150" s="216">
        <f>D150+E150-F150</f>
        <v>9.3000824015949988</v>
      </c>
      <c r="J150" t="s">
        <v>290</v>
      </c>
      <c r="M150" s="254">
        <v>4.7283625724</v>
      </c>
      <c r="N150" s="254">
        <v>0</v>
      </c>
      <c r="O150" s="254">
        <v>0</v>
      </c>
      <c r="P150" s="255">
        <f>M150-N150+O150</f>
        <v>4.7283625724</v>
      </c>
      <c r="R150" s="216"/>
    </row>
    <row r="151" spans="2:36" x14ac:dyDescent="0.3">
      <c r="B151" s="5"/>
      <c r="D151" s="216"/>
      <c r="E151" s="216"/>
      <c r="F151" s="216"/>
      <c r="G151" s="216"/>
      <c r="J151" t="s">
        <v>291</v>
      </c>
      <c r="M151" s="254">
        <v>0</v>
      </c>
      <c r="N151" s="254">
        <v>0</v>
      </c>
      <c r="O151" s="254">
        <v>0</v>
      </c>
      <c r="P151" s="255">
        <f>M151-N151+O151</f>
        <v>0</v>
      </c>
    </row>
    <row r="152" spans="2:36" x14ac:dyDescent="0.3">
      <c r="B152" s="33" t="s">
        <v>292</v>
      </c>
      <c r="D152" s="216">
        <f>D141+D145+SUM(D148:D150)</f>
        <v>555.71156557349491</v>
      </c>
      <c r="E152" s="216">
        <f t="shared" ref="E152:G152" si="97">E141+E145+SUM(E148:E150)</f>
        <v>1237.0499947426999</v>
      </c>
      <c r="F152" s="216">
        <f t="shared" si="97"/>
        <v>80</v>
      </c>
      <c r="G152" s="216">
        <f t="shared" si="97"/>
        <v>1712.7615603161948</v>
      </c>
      <c r="M152" s="216"/>
      <c r="N152" s="216"/>
      <c r="O152" s="216"/>
      <c r="P152" s="255"/>
    </row>
    <row r="153" spans="2:36" x14ac:dyDescent="0.3">
      <c r="B153" s="5"/>
      <c r="J153" s="78" t="s">
        <v>293</v>
      </c>
      <c r="M153" s="216">
        <f>M139+M148+M150+M151</f>
        <v>160.92187663729999</v>
      </c>
      <c r="N153" s="216">
        <f>N139+N148</f>
        <v>0</v>
      </c>
      <c r="O153" s="216">
        <f>O139+O148</f>
        <v>918.84</v>
      </c>
      <c r="P153" s="255">
        <f>P139+P148+P150+P151</f>
        <v>1079.7618766373</v>
      </c>
    </row>
    <row r="154" spans="2:36" x14ac:dyDescent="0.3">
      <c r="B154" s="5" t="s">
        <v>294</v>
      </c>
      <c r="M154" s="216"/>
      <c r="N154" s="216"/>
      <c r="O154" s="216"/>
      <c r="P154" s="255"/>
    </row>
    <row r="155" spans="2:36" x14ac:dyDescent="0.3">
      <c r="B155" s="5"/>
      <c r="J155" t="s">
        <v>166</v>
      </c>
      <c r="M155" s="254">
        <v>0</v>
      </c>
      <c r="N155" s="254">
        <v>0</v>
      </c>
      <c r="O155" s="216">
        <f>I20</f>
        <v>150</v>
      </c>
      <c r="P155" s="255">
        <f>M155-N155+O155</f>
        <v>150</v>
      </c>
    </row>
    <row r="156" spans="2:36" x14ac:dyDescent="0.3">
      <c r="B156" s="5" t="s">
        <v>295</v>
      </c>
      <c r="E156" t="s">
        <v>296</v>
      </c>
      <c r="J156" t="s">
        <v>167</v>
      </c>
      <c r="M156" s="256">
        <v>394.79000525729998</v>
      </c>
      <c r="N156" s="258">
        <f>M156</f>
        <v>394.79000525729998</v>
      </c>
      <c r="O156" s="258">
        <f>I21-(D12*(1-Y16))-D16</f>
        <v>483</v>
      </c>
      <c r="P156" s="257">
        <f>M156-N156+O156</f>
        <v>483</v>
      </c>
    </row>
    <row r="157" spans="2:36" x14ac:dyDescent="0.3">
      <c r="B157" s="5" t="s">
        <v>175</v>
      </c>
      <c r="C157" s="232">
        <f>D11</f>
        <v>1560</v>
      </c>
      <c r="E157" t="s">
        <v>297</v>
      </c>
      <c r="G157" s="264">
        <v>10</v>
      </c>
      <c r="J157" s="78" t="s">
        <v>129</v>
      </c>
      <c r="M157" s="216">
        <f>SUM(M155:M156)</f>
        <v>394.79000525729998</v>
      </c>
      <c r="N157" s="216">
        <f>SUM(N155:N156)</f>
        <v>394.79000525729998</v>
      </c>
      <c r="O157" s="216">
        <f>SUM(O155:O156)</f>
        <v>633</v>
      </c>
      <c r="P157" s="255">
        <f>SUM(P155:P156)</f>
        <v>633</v>
      </c>
      <c r="R157" s="357"/>
    </row>
    <row r="158" spans="2:36" x14ac:dyDescent="0.3">
      <c r="B158" s="5"/>
      <c r="E158" t="s">
        <v>285</v>
      </c>
      <c r="G158" s="232">
        <f>IF(C161&gt;0,C161-G157,0)</f>
        <v>1155.2099947427</v>
      </c>
      <c r="M158" s="216"/>
      <c r="N158" s="216"/>
      <c r="O158" s="216"/>
      <c r="P158" s="255"/>
    </row>
    <row r="159" spans="2:36" x14ac:dyDescent="0.3">
      <c r="B159" s="5" t="s">
        <v>167</v>
      </c>
      <c r="C159" s="232">
        <f>M156</f>
        <v>394.79000525729998</v>
      </c>
      <c r="J159" s="78" t="s">
        <v>298</v>
      </c>
      <c r="M159" s="216">
        <f>M153+M157</f>
        <v>555.71188189459997</v>
      </c>
      <c r="N159" s="216">
        <f>N153+N157</f>
        <v>394.79000525729998</v>
      </c>
      <c r="O159" s="216">
        <f>O153+O157</f>
        <v>1551.8400000000001</v>
      </c>
      <c r="P159" s="255">
        <f>P157+P153</f>
        <v>1712.7618766373</v>
      </c>
      <c r="S159" s="216"/>
    </row>
    <row r="160" spans="2:36" x14ac:dyDescent="0.3">
      <c r="B160" s="5"/>
      <c r="E160" t="s">
        <v>299</v>
      </c>
      <c r="G160" s="232">
        <f>SUM(G157:G158)</f>
        <v>1165.2099947427</v>
      </c>
      <c r="M160" s="2"/>
      <c r="N160" s="2"/>
      <c r="O160" s="2"/>
      <c r="P160" s="19"/>
    </row>
    <row r="161" spans="2:16" ht="15" thickBot="1" x14ac:dyDescent="0.35">
      <c r="B161" s="7" t="s">
        <v>300</v>
      </c>
      <c r="C161" s="263">
        <f>C157-C159</f>
        <v>1165.2099947427</v>
      </c>
      <c r="D161" s="18"/>
      <c r="E161" s="18"/>
      <c r="F161" s="18"/>
      <c r="G161" s="18"/>
      <c r="H161" s="18"/>
      <c r="I161" s="18"/>
      <c r="J161" s="79" t="s">
        <v>301</v>
      </c>
      <c r="K161" s="18"/>
      <c r="L161" s="18"/>
      <c r="M161" s="265">
        <f>ROUND(M159-D152,3)</f>
        <v>0</v>
      </c>
      <c r="N161" s="20"/>
      <c r="O161" s="20"/>
      <c r="P161" s="266">
        <f>ROUND(P159-G152,3)</f>
        <v>0</v>
      </c>
    </row>
    <row r="163" spans="2:16" x14ac:dyDescent="0.3">
      <c r="M163" s="216"/>
      <c r="N163" s="216"/>
    </row>
    <row r="165" spans="2:16" x14ac:dyDescent="0.3">
      <c r="B165" s="410" t="s">
        <v>302</v>
      </c>
      <c r="C165" s="410"/>
      <c r="D165" s="410"/>
      <c r="E165" s="410"/>
      <c r="F165" s="410"/>
      <c r="G165" s="410"/>
      <c r="H165" s="410"/>
      <c r="I165" s="410"/>
      <c r="J165" s="410"/>
      <c r="K165" s="410"/>
      <c r="L165" s="410"/>
      <c r="M165" s="410"/>
      <c r="N165" s="410"/>
      <c r="O165" s="410"/>
      <c r="P165" s="410"/>
    </row>
    <row r="166" spans="2:16" ht="15" thickBot="1" x14ac:dyDescent="0.35"/>
    <row r="167" spans="2:16" x14ac:dyDescent="0.3">
      <c r="B167" s="3"/>
      <c r="C167" s="9"/>
      <c r="D167" s="9"/>
      <c r="E167" s="9"/>
      <c r="F167" s="28" t="s">
        <v>136</v>
      </c>
      <c r="G167" s="408" t="str">
        <f>"Projected Fiscal Years Ending "&amp;Y13</f>
        <v>Projected Fiscal Years Ending December 31,</v>
      </c>
      <c r="H167" s="408"/>
      <c r="I167" s="408"/>
      <c r="J167" s="408"/>
      <c r="K167" s="408"/>
      <c r="L167" s="408"/>
      <c r="M167" s="408"/>
      <c r="N167" s="408"/>
      <c r="O167" s="408"/>
      <c r="P167" s="29"/>
    </row>
    <row r="168" spans="2:16" x14ac:dyDescent="0.3">
      <c r="B168" s="5"/>
      <c r="F168" s="25">
        <f>G168-1</f>
        <v>2023</v>
      </c>
      <c r="G168" s="132">
        <f>$Y$12</f>
        <v>2024</v>
      </c>
      <c r="H168" s="27">
        <f>G168+1</f>
        <v>2025</v>
      </c>
      <c r="I168" s="27">
        <f t="shared" ref="I168:P168" si="98">H168+1</f>
        <v>2026</v>
      </c>
      <c r="J168" s="27">
        <f t="shared" si="98"/>
        <v>2027</v>
      </c>
      <c r="K168" s="27">
        <f t="shared" si="98"/>
        <v>2028</v>
      </c>
      <c r="L168" s="27">
        <f t="shared" si="98"/>
        <v>2029</v>
      </c>
      <c r="M168" s="27">
        <f t="shared" si="98"/>
        <v>2030</v>
      </c>
      <c r="N168" s="27">
        <f t="shared" si="98"/>
        <v>2031</v>
      </c>
      <c r="O168" s="27">
        <f t="shared" si="98"/>
        <v>2032</v>
      </c>
      <c r="P168" s="30">
        <f t="shared" si="98"/>
        <v>2033</v>
      </c>
    </row>
    <row r="169" spans="2:16" x14ac:dyDescent="0.3">
      <c r="B169" s="5"/>
      <c r="P169" s="16"/>
    </row>
    <row r="170" spans="2:16" x14ac:dyDescent="0.3">
      <c r="B170" s="5" t="s">
        <v>198</v>
      </c>
      <c r="F170" s="237">
        <f t="shared" ref="F170:P170" si="99">F64</f>
        <v>559.63104723159302</v>
      </c>
      <c r="G170" s="237">
        <f t="shared" si="99"/>
        <v>657.5664804971218</v>
      </c>
      <c r="H170" s="237">
        <f t="shared" si="99"/>
        <v>723.32312854683403</v>
      </c>
      <c r="I170" s="237">
        <f t="shared" si="99"/>
        <v>795.65544140151746</v>
      </c>
      <c r="J170" s="237">
        <f t="shared" si="99"/>
        <v>859.30787671363896</v>
      </c>
      <c r="K170" s="237">
        <f t="shared" si="99"/>
        <v>928.05250685073008</v>
      </c>
      <c r="L170" s="237">
        <f t="shared" si="99"/>
        <v>1002.2967073987886</v>
      </c>
      <c r="M170" s="237">
        <f t="shared" si="99"/>
        <v>1062.4345098427159</v>
      </c>
      <c r="N170" s="237">
        <f t="shared" si="99"/>
        <v>1115.5562353348516</v>
      </c>
      <c r="O170" s="237">
        <f t="shared" si="99"/>
        <v>1171.3340471015943</v>
      </c>
      <c r="P170" s="238">
        <f t="shared" si="99"/>
        <v>1229.900749456674</v>
      </c>
    </row>
    <row r="171" spans="2:16" x14ac:dyDescent="0.3">
      <c r="B171" s="24" t="s">
        <v>303</v>
      </c>
      <c r="F171" s="267">
        <f t="shared" ref="F171:P171" si="100">F68</f>
        <v>207.11961719391601</v>
      </c>
      <c r="G171" s="267">
        <f t="shared" si="100"/>
        <v>276.17792180879115</v>
      </c>
      <c r="H171" s="267">
        <f t="shared" si="100"/>
        <v>303.79571398967028</v>
      </c>
      <c r="I171" s="267">
        <f t="shared" si="100"/>
        <v>334.17528538863735</v>
      </c>
      <c r="J171" s="267">
        <f t="shared" si="100"/>
        <v>360.90930821972836</v>
      </c>
      <c r="K171" s="267">
        <f t="shared" si="100"/>
        <v>389.78205287730663</v>
      </c>
      <c r="L171" s="267">
        <f t="shared" si="100"/>
        <v>420.96461710749122</v>
      </c>
      <c r="M171" s="267">
        <f t="shared" si="100"/>
        <v>446.22249413394064</v>
      </c>
      <c r="N171" s="267">
        <f t="shared" si="100"/>
        <v>468.53361884063764</v>
      </c>
      <c r="O171" s="267">
        <f t="shared" si="100"/>
        <v>491.96029978266955</v>
      </c>
      <c r="P171" s="268">
        <f t="shared" si="100"/>
        <v>516.55831477180311</v>
      </c>
    </row>
    <row r="172" spans="2:16" x14ac:dyDescent="0.3">
      <c r="B172" s="5" t="s">
        <v>206</v>
      </c>
      <c r="F172" s="237">
        <f>F170-F171</f>
        <v>352.51143003767697</v>
      </c>
      <c r="G172" s="237">
        <f>G170-G171</f>
        <v>381.38855868833065</v>
      </c>
      <c r="H172" s="237">
        <f t="shared" ref="H172:P172" si="101">H170-H171</f>
        <v>419.52741455716375</v>
      </c>
      <c r="I172" s="237">
        <f t="shared" si="101"/>
        <v>461.48015601288012</v>
      </c>
      <c r="J172" s="237">
        <f t="shared" si="101"/>
        <v>498.3985684939106</v>
      </c>
      <c r="K172" s="237">
        <f t="shared" si="101"/>
        <v>538.2704539734234</v>
      </c>
      <c r="L172" s="237">
        <f t="shared" si="101"/>
        <v>581.33209029129739</v>
      </c>
      <c r="M172" s="237">
        <f t="shared" si="101"/>
        <v>616.2120157087752</v>
      </c>
      <c r="N172" s="237">
        <f t="shared" si="101"/>
        <v>647.02261649421393</v>
      </c>
      <c r="O172" s="237">
        <f t="shared" si="101"/>
        <v>679.37374731892464</v>
      </c>
      <c r="P172" s="238">
        <f t="shared" si="101"/>
        <v>713.34243468487091</v>
      </c>
    </row>
    <row r="173" spans="2:16" x14ac:dyDescent="0.3">
      <c r="B173" s="24" t="s">
        <v>304</v>
      </c>
      <c r="F173" s="267">
        <f t="shared" ref="F173:P173" si="102">F74</f>
        <v>212.99415201494099</v>
      </c>
      <c r="G173" s="267">
        <f t="shared" si="102"/>
        <v>236.72393297896383</v>
      </c>
      <c r="H173" s="267">
        <f t="shared" si="102"/>
        <v>260.39632627686024</v>
      </c>
      <c r="I173" s="267">
        <f t="shared" si="102"/>
        <v>286.43595890454628</v>
      </c>
      <c r="J173" s="267">
        <f t="shared" si="102"/>
        <v>309.35083561690999</v>
      </c>
      <c r="K173" s="267">
        <f t="shared" si="102"/>
        <v>334.09890246626281</v>
      </c>
      <c r="L173" s="267">
        <f t="shared" si="102"/>
        <v>360.82681466356388</v>
      </c>
      <c r="M173" s="267">
        <f t="shared" si="102"/>
        <v>382.47642354337773</v>
      </c>
      <c r="N173" s="267">
        <f t="shared" si="102"/>
        <v>401.60024472054658</v>
      </c>
      <c r="O173" s="267">
        <f t="shared" si="102"/>
        <v>421.68025695657394</v>
      </c>
      <c r="P173" s="268">
        <f t="shared" si="102"/>
        <v>442.76426980440266</v>
      </c>
    </row>
    <row r="174" spans="2:16" x14ac:dyDescent="0.3">
      <c r="B174" s="5" t="s">
        <v>153</v>
      </c>
      <c r="F174" s="237">
        <f>F172-F173</f>
        <v>139.51727802273598</v>
      </c>
      <c r="G174" s="237">
        <f t="shared" ref="G174" si="103">G172-G173</f>
        <v>144.66462570936682</v>
      </c>
      <c r="H174" s="237">
        <f t="shared" ref="H174" si="104">H172-H173</f>
        <v>159.13108828030352</v>
      </c>
      <c r="I174" s="237">
        <f t="shared" ref="I174" si="105">I172-I173</f>
        <v>175.04419710833383</v>
      </c>
      <c r="J174" s="237">
        <f t="shared" ref="J174" si="106">J172-J173</f>
        <v>189.04773287700061</v>
      </c>
      <c r="K174" s="237">
        <f t="shared" ref="K174" si="107">K172-K173</f>
        <v>204.17155150716059</v>
      </c>
      <c r="L174" s="237">
        <f t="shared" ref="L174" si="108">L172-L173</f>
        <v>220.50527562773351</v>
      </c>
      <c r="M174" s="237">
        <f t="shared" ref="M174" si="109">M172-M173</f>
        <v>233.73559216539746</v>
      </c>
      <c r="N174" s="237">
        <f t="shared" ref="N174" si="110">N172-N173</f>
        <v>245.42237177366735</v>
      </c>
      <c r="O174" s="237">
        <f t="shared" ref="O174" si="111">O172-O173</f>
        <v>257.6934903623507</v>
      </c>
      <c r="P174" s="238">
        <f t="shared" ref="P174" si="112">P172-P173</f>
        <v>270.57816488046825</v>
      </c>
    </row>
    <row r="175" spans="2:16" x14ac:dyDescent="0.3">
      <c r="B175" s="24" t="s">
        <v>305</v>
      </c>
      <c r="F175" s="237"/>
      <c r="G175" s="237">
        <f t="shared" ref="G175:P175" si="113">G86</f>
        <v>37.662872542778871</v>
      </c>
      <c r="H175" s="237">
        <f t="shared" si="113"/>
        <v>39.533075127301821</v>
      </c>
      <c r="I175" s="237">
        <f t="shared" si="113"/>
        <v>41.590297970277071</v>
      </c>
      <c r="J175" s="237">
        <f t="shared" si="113"/>
        <v>33.920230723320614</v>
      </c>
      <c r="K175" s="237">
        <f t="shared" si="113"/>
        <v>35.875415313284293</v>
      </c>
      <c r="L175" s="237">
        <f t="shared" si="113"/>
        <v>37.987014670445056</v>
      </c>
      <c r="M175" s="237">
        <f t="shared" si="113"/>
        <v>39.697410149745281</v>
      </c>
      <c r="N175" s="237">
        <f t="shared" si="113"/>
        <v>41.208259489793811</v>
      </c>
      <c r="O175" s="237">
        <f t="shared" si="113"/>
        <v>38.054439622457423</v>
      </c>
      <c r="P175" s="238">
        <f t="shared" si="113"/>
        <v>39.720151019860928</v>
      </c>
    </row>
    <row r="176" spans="2:16" x14ac:dyDescent="0.3">
      <c r="B176" s="24" t="str">
        <f>"Amortization of Capitalized Financing Costs ( "&amp; $Y$17&amp;" years)"</f>
        <v>Amortization of Capitalized Financing Costs ( 7 years)</v>
      </c>
      <c r="F176" s="269"/>
      <c r="G176" s="267">
        <f t="shared" ref="G176:P176" si="114">IF(G168-$Y$12&lt;$Y$17,$G$149/$Y$17,0)</f>
        <v>3.12</v>
      </c>
      <c r="H176" s="267">
        <f t="shared" si="114"/>
        <v>3.12</v>
      </c>
      <c r="I176" s="267">
        <f t="shared" si="114"/>
        <v>3.12</v>
      </c>
      <c r="J176" s="267">
        <f t="shared" si="114"/>
        <v>3.12</v>
      </c>
      <c r="K176" s="267">
        <f t="shared" si="114"/>
        <v>3.12</v>
      </c>
      <c r="L176" s="267">
        <f t="shared" si="114"/>
        <v>3.12</v>
      </c>
      <c r="M176" s="267">
        <f t="shared" si="114"/>
        <v>3.12</v>
      </c>
      <c r="N176" s="267">
        <f t="shared" si="114"/>
        <v>0</v>
      </c>
      <c r="O176" s="267">
        <f t="shared" si="114"/>
        <v>0</v>
      </c>
      <c r="P176" s="268">
        <f t="shared" si="114"/>
        <v>0</v>
      </c>
    </row>
    <row r="177" spans="2:16" x14ac:dyDescent="0.3">
      <c r="B177" s="5" t="s">
        <v>269</v>
      </c>
      <c r="F177" s="237"/>
      <c r="G177" s="237">
        <f t="shared" ref="G177" si="115">G174-G175-G176</f>
        <v>103.88175316658794</v>
      </c>
      <c r="H177" s="237">
        <f t="shared" ref="H177" si="116">H174-H175-H176</f>
        <v>116.47801315300168</v>
      </c>
      <c r="I177" s="237">
        <f t="shared" ref="I177" si="117">I174-I175-I176</f>
        <v>130.33389913805675</v>
      </c>
      <c r="J177" s="237">
        <f t="shared" ref="J177" si="118">J174-J175-J176</f>
        <v>152.00750215367998</v>
      </c>
      <c r="K177" s="237">
        <f t="shared" ref="K177" si="119">K174-K175-K176</f>
        <v>165.17613619387629</v>
      </c>
      <c r="L177" s="237">
        <f t="shared" ref="L177" si="120">L174-L175-L176</f>
        <v>179.39826095728844</v>
      </c>
      <c r="M177" s="237">
        <f t="shared" ref="M177" si="121">M174-M175-M176</f>
        <v>190.91818201565218</v>
      </c>
      <c r="N177" s="237">
        <f t="shared" ref="N177" si="122">N174-N175-N176</f>
        <v>204.21411228387353</v>
      </c>
      <c r="O177" s="237">
        <f t="shared" ref="O177" si="123">O174-O175-O176</f>
        <v>219.63905073989326</v>
      </c>
      <c r="P177" s="238">
        <f t="shared" ref="P177" si="124">P174-P175-P176</f>
        <v>230.85801386060731</v>
      </c>
    </row>
    <row r="178" spans="2:16" x14ac:dyDescent="0.3">
      <c r="B178" s="5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40"/>
    </row>
    <row r="179" spans="2:16" x14ac:dyDescent="0.3">
      <c r="B179" s="32" t="s">
        <v>306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40"/>
    </row>
    <row r="180" spans="2:16" x14ac:dyDescent="0.3">
      <c r="B180" s="24" t="str">
        <f>J136</f>
        <v>Short-term Debt</v>
      </c>
      <c r="F180" s="39"/>
      <c r="G180" s="237">
        <f t="shared" ref="G180:P180" si="125">IF($AD$10=0,G466*G108,AVERAGE(G466,G469)*G108)</f>
        <v>0</v>
      </c>
      <c r="H180" s="237">
        <f t="shared" si="125"/>
        <v>0</v>
      </c>
      <c r="I180" s="237">
        <f t="shared" si="125"/>
        <v>0</v>
      </c>
      <c r="J180" s="237">
        <f t="shared" si="125"/>
        <v>0</v>
      </c>
      <c r="K180" s="237">
        <f t="shared" si="125"/>
        <v>0</v>
      </c>
      <c r="L180" s="237">
        <f t="shared" si="125"/>
        <v>0</v>
      </c>
      <c r="M180" s="237">
        <f t="shared" si="125"/>
        <v>0</v>
      </c>
      <c r="N180" s="237">
        <f t="shared" si="125"/>
        <v>0</v>
      </c>
      <c r="O180" s="237">
        <f t="shared" si="125"/>
        <v>0</v>
      </c>
      <c r="P180" s="238">
        <f t="shared" si="125"/>
        <v>0</v>
      </c>
    </row>
    <row r="181" spans="2:16" x14ac:dyDescent="0.3">
      <c r="B181" s="24" t="str">
        <f t="shared" ref="B181:B186" si="126">J142</f>
        <v>Existing Debt</v>
      </c>
      <c r="F181" s="39"/>
      <c r="G181" s="237">
        <f t="shared" ref="G181:P181" si="127">IF($AD$10=0,G472*G109,AVERAGE(G472,G475)*G109)</f>
        <v>0</v>
      </c>
      <c r="H181" s="237">
        <f t="shared" si="127"/>
        <v>0</v>
      </c>
      <c r="I181" s="237">
        <f t="shared" si="127"/>
        <v>0</v>
      </c>
      <c r="J181" s="237">
        <f t="shared" si="127"/>
        <v>0</v>
      </c>
      <c r="K181" s="237">
        <f t="shared" si="127"/>
        <v>0</v>
      </c>
      <c r="L181" s="237">
        <f t="shared" si="127"/>
        <v>0</v>
      </c>
      <c r="M181" s="237">
        <f t="shared" si="127"/>
        <v>0</v>
      </c>
      <c r="N181" s="237">
        <f t="shared" si="127"/>
        <v>0</v>
      </c>
      <c r="O181" s="237">
        <f t="shared" si="127"/>
        <v>0</v>
      </c>
      <c r="P181" s="238">
        <f t="shared" si="127"/>
        <v>0</v>
      </c>
    </row>
    <row r="182" spans="2:16" x14ac:dyDescent="0.3">
      <c r="B182" s="24" t="str">
        <f t="shared" si="126"/>
        <v>Revolver</v>
      </c>
      <c r="F182" s="39"/>
      <c r="G182" s="237">
        <f t="shared" ref="G182:P182" si="128">IF($AD$10=0, G478*G109,AVERAGE(G478,G482)*G109)</f>
        <v>3.5000000000000004</v>
      </c>
      <c r="H182" s="237">
        <f t="shared" si="128"/>
        <v>3.5000000000000004</v>
      </c>
      <c r="I182" s="237">
        <f t="shared" si="128"/>
        <v>3.5000000000000004</v>
      </c>
      <c r="J182" s="237">
        <f t="shared" si="128"/>
        <v>3.5000000000000004</v>
      </c>
      <c r="K182" s="237">
        <f t="shared" si="128"/>
        <v>3.5000000000000004</v>
      </c>
      <c r="L182" s="237">
        <f t="shared" si="128"/>
        <v>3.5000000000000004</v>
      </c>
      <c r="M182" s="237">
        <f t="shared" si="128"/>
        <v>3.5000000000000004</v>
      </c>
      <c r="N182" s="237">
        <f t="shared" si="128"/>
        <v>3.5000000000000004</v>
      </c>
      <c r="O182" s="237">
        <f t="shared" si="128"/>
        <v>3.5000000000000004</v>
      </c>
      <c r="P182" s="238">
        <f t="shared" si="128"/>
        <v>0.95736361899385791</v>
      </c>
    </row>
    <row r="183" spans="2:16" x14ac:dyDescent="0.3">
      <c r="B183" s="24" t="str">
        <f t="shared" si="126"/>
        <v>Term Loan</v>
      </c>
      <c r="F183" s="39"/>
      <c r="G183" s="237">
        <f t="shared" ref="G183:P183" si="129">IF($AD$10=0,G485*G110,AVERAGE(G485,G489)*G110)</f>
        <v>8</v>
      </c>
      <c r="H183" s="237">
        <f t="shared" si="129"/>
        <v>6.4</v>
      </c>
      <c r="I183" s="237">
        <f t="shared" si="129"/>
        <v>5.12</v>
      </c>
      <c r="J183" s="237">
        <f t="shared" si="129"/>
        <v>4.0960000000000001</v>
      </c>
      <c r="K183" s="237">
        <f t="shared" si="129"/>
        <v>3.2768000000000002</v>
      </c>
      <c r="L183" s="237">
        <f t="shared" si="129"/>
        <v>2.6214400000000002</v>
      </c>
      <c r="M183" s="237">
        <f t="shared" si="129"/>
        <v>2.0971520000000003</v>
      </c>
      <c r="N183" s="237">
        <f t="shared" si="129"/>
        <v>1.6777216000000001</v>
      </c>
      <c r="O183" s="237">
        <f t="shared" si="129"/>
        <v>1.3421772800000003</v>
      </c>
      <c r="P183" s="238">
        <f t="shared" si="129"/>
        <v>1.0737418240000003</v>
      </c>
    </row>
    <row r="184" spans="2:16" x14ac:dyDescent="0.3">
      <c r="B184" s="24" t="str">
        <f t="shared" si="126"/>
        <v>Senior Unsecured Debt</v>
      </c>
      <c r="G184" s="237">
        <f t="shared" ref="G184:P184" si="130">IF($AD$10=0,G492*G114,AVERAGE(G492,G497)*G114)</f>
        <v>12</v>
      </c>
      <c r="H184" s="237">
        <f t="shared" si="130"/>
        <v>6.1529336133755024</v>
      </c>
      <c r="I184" s="237">
        <f t="shared" si="130"/>
        <v>3.7419326733927796</v>
      </c>
      <c r="J184" s="237">
        <f t="shared" si="130"/>
        <v>0.1911508494162571</v>
      </c>
      <c r="K184" s="237">
        <f t="shared" si="130"/>
        <v>0</v>
      </c>
      <c r="L184" s="237">
        <f t="shared" si="130"/>
        <v>0</v>
      </c>
      <c r="M184" s="237">
        <f t="shared" si="130"/>
        <v>0</v>
      </c>
      <c r="N184" s="237">
        <f t="shared" si="130"/>
        <v>0</v>
      </c>
      <c r="O184" s="237">
        <f t="shared" si="130"/>
        <v>0</v>
      </c>
      <c r="P184" s="238">
        <f t="shared" si="130"/>
        <v>0</v>
      </c>
    </row>
    <row r="185" spans="2:16" x14ac:dyDescent="0.3">
      <c r="B185" s="24" t="str">
        <f t="shared" si="126"/>
        <v>Subordinated Debt</v>
      </c>
      <c r="G185" s="237">
        <f t="shared" ref="G185:P185" si="131">IF($AD$10=0,G500*G116,AVERAGE(G500,G505)*G116)</f>
        <v>22.318800000000003</v>
      </c>
      <c r="H185" s="237">
        <f t="shared" si="131"/>
        <v>23.881116000000006</v>
      </c>
      <c r="I185" s="237">
        <f t="shared" si="131"/>
        <v>25.552794120000005</v>
      </c>
      <c r="J185" s="237">
        <f t="shared" si="131"/>
        <v>27.341489708400005</v>
      </c>
      <c r="K185" s="237">
        <f t="shared" si="131"/>
        <v>23.267226259046659</v>
      </c>
      <c r="L185" s="237">
        <f t="shared" si="131"/>
        <v>17.65772416341331</v>
      </c>
      <c r="M185" s="237">
        <f t="shared" si="131"/>
        <v>11.253299106212701</v>
      </c>
      <c r="N185" s="237">
        <f t="shared" si="131"/>
        <v>3.8696395803192072</v>
      </c>
      <c r="O185" s="237">
        <f t="shared" si="131"/>
        <v>0</v>
      </c>
      <c r="P185" s="238">
        <f t="shared" si="131"/>
        <v>0</v>
      </c>
    </row>
    <row r="186" spans="2:16" x14ac:dyDescent="0.3">
      <c r="B186" s="24" t="str">
        <f t="shared" si="126"/>
        <v>Mezzanine</v>
      </c>
      <c r="G186" s="267">
        <f t="shared" ref="G186:P186" si="132">IF($AD$10=0,G508*G118,AVERAGE(G508,G513)*G118)</f>
        <v>6</v>
      </c>
      <c r="H186" s="267">
        <f t="shared" si="132"/>
        <v>6.3599999999999994</v>
      </c>
      <c r="I186" s="267">
        <f t="shared" si="132"/>
        <v>6.7416</v>
      </c>
      <c r="J186" s="267">
        <f t="shared" si="132"/>
        <v>7.146096</v>
      </c>
      <c r="K186" s="267">
        <f t="shared" si="132"/>
        <v>7.5748617600000001</v>
      </c>
      <c r="L186" s="267">
        <f t="shared" si="132"/>
        <v>8.0293534655999999</v>
      </c>
      <c r="M186" s="267">
        <f t="shared" si="132"/>
        <v>8.0293534655999999</v>
      </c>
      <c r="N186" s="267">
        <f t="shared" si="132"/>
        <v>8.0293534655999999</v>
      </c>
      <c r="O186" s="267">
        <f t="shared" si="132"/>
        <v>4.0560038310900639</v>
      </c>
      <c r="P186" s="268">
        <f t="shared" si="132"/>
        <v>0</v>
      </c>
    </row>
    <row r="187" spans="2:16" x14ac:dyDescent="0.3">
      <c r="B187" s="33" t="s">
        <v>152</v>
      </c>
      <c r="F187" s="83"/>
      <c r="G187" s="216">
        <f t="shared" ref="G187:P187" si="133">SUM(G180:G186)</f>
        <v>51.818800000000003</v>
      </c>
      <c r="H187" s="216">
        <f t="shared" si="133"/>
        <v>46.294049613375506</v>
      </c>
      <c r="I187" s="216">
        <f t="shared" si="133"/>
        <v>44.656326793392786</v>
      </c>
      <c r="J187" s="216">
        <f t="shared" si="133"/>
        <v>42.274736557816261</v>
      </c>
      <c r="K187" s="216">
        <f t="shared" si="133"/>
        <v>37.618888019046658</v>
      </c>
      <c r="L187" s="216">
        <f t="shared" si="133"/>
        <v>31.808517629013309</v>
      </c>
      <c r="M187" s="216">
        <f t="shared" si="133"/>
        <v>24.879804571812702</v>
      </c>
      <c r="N187" s="216">
        <f t="shared" si="133"/>
        <v>17.076714645919207</v>
      </c>
      <c r="O187" s="216">
        <f t="shared" si="133"/>
        <v>8.8981811110900644</v>
      </c>
      <c r="P187" s="255">
        <f t="shared" si="133"/>
        <v>2.0311054429938582</v>
      </c>
    </row>
    <row r="188" spans="2:16" x14ac:dyDescent="0.3">
      <c r="B188" s="24"/>
      <c r="P188" s="16"/>
    </row>
    <row r="189" spans="2:16" x14ac:dyDescent="0.3">
      <c r="B189" s="85" t="s">
        <v>307</v>
      </c>
      <c r="G189" s="237">
        <f t="shared" ref="G189:P189" si="134">IF($AD$10=0,G523*G123,AVERAGE(G523,G526)*G123)</f>
        <v>2.161828813898</v>
      </c>
      <c r="H189" s="237">
        <f t="shared" si="134"/>
        <v>0</v>
      </c>
      <c r="I189" s="237">
        <f t="shared" si="134"/>
        <v>0</v>
      </c>
      <c r="J189" s="237">
        <f t="shared" si="134"/>
        <v>0</v>
      </c>
      <c r="K189" s="237">
        <f t="shared" si="134"/>
        <v>0</v>
      </c>
      <c r="L189" s="237">
        <f t="shared" si="134"/>
        <v>0</v>
      </c>
      <c r="M189" s="237">
        <f t="shared" si="134"/>
        <v>0</v>
      </c>
      <c r="N189" s="237">
        <f t="shared" si="134"/>
        <v>0</v>
      </c>
      <c r="O189" s="237">
        <f t="shared" si="134"/>
        <v>0</v>
      </c>
      <c r="P189" s="238">
        <f t="shared" si="134"/>
        <v>0</v>
      </c>
    </row>
    <row r="190" spans="2:16" x14ac:dyDescent="0.3">
      <c r="B190" s="5"/>
      <c r="P190" s="16"/>
    </row>
    <row r="191" spans="2:16" x14ac:dyDescent="0.3">
      <c r="B191" s="85" t="s">
        <v>308</v>
      </c>
      <c r="G191" s="216">
        <f>G189-G187+G177</f>
        <v>54.224781980485936</v>
      </c>
      <c r="H191" s="216">
        <f t="shared" ref="H191:P191" si="135">H189-H187+H177</f>
        <v>70.183963539626177</v>
      </c>
      <c r="I191" s="216">
        <f t="shared" si="135"/>
        <v>85.677572344663957</v>
      </c>
      <c r="J191" s="216">
        <f t="shared" si="135"/>
        <v>109.73276559586373</v>
      </c>
      <c r="K191" s="216">
        <f t="shared" si="135"/>
        <v>127.55724817482962</v>
      </c>
      <c r="L191" s="216">
        <f t="shared" si="135"/>
        <v>147.58974332827512</v>
      </c>
      <c r="M191" s="216">
        <f t="shared" si="135"/>
        <v>166.03837744383947</v>
      </c>
      <c r="N191" s="216">
        <f t="shared" si="135"/>
        <v>187.13739763795434</v>
      </c>
      <c r="O191" s="216">
        <f t="shared" si="135"/>
        <v>210.74086962880321</v>
      </c>
      <c r="P191" s="255">
        <f t="shared" si="135"/>
        <v>228.82690841761345</v>
      </c>
    </row>
    <row r="192" spans="2:16" x14ac:dyDescent="0.3">
      <c r="B192" s="24"/>
      <c r="P192" s="16"/>
    </row>
    <row r="193" spans="2:16" x14ac:dyDescent="0.3">
      <c r="B193" s="85" t="s">
        <v>309</v>
      </c>
      <c r="P193" s="16"/>
    </row>
    <row r="194" spans="2:16" x14ac:dyDescent="0.3">
      <c r="B194" s="24" t="s">
        <v>310</v>
      </c>
      <c r="G194" s="216">
        <f t="shared" ref="G194:P194" si="136">G444</f>
        <v>0</v>
      </c>
      <c r="H194" s="216">
        <f t="shared" si="136"/>
        <v>0</v>
      </c>
      <c r="I194" s="216">
        <f t="shared" si="136"/>
        <v>3.4182811347280135</v>
      </c>
      <c r="J194" s="216">
        <f t="shared" si="136"/>
        <v>7.5293767324485517</v>
      </c>
      <c r="K194" s="216">
        <f t="shared" si="136"/>
        <v>9.9260681277642746</v>
      </c>
      <c r="L194" s="216">
        <f t="shared" si="136"/>
        <v>13.001521538505493</v>
      </c>
      <c r="M194" s="216">
        <f t="shared" si="136"/>
        <v>23.033989475877053</v>
      </c>
      <c r="N194" s="216">
        <f t="shared" si="136"/>
        <v>28.519734726346922</v>
      </c>
      <c r="O194" s="216">
        <f t="shared" si="136"/>
        <v>34.656637443967625</v>
      </c>
      <c r="P194" s="255">
        <f t="shared" si="136"/>
        <v>39.359007529058289</v>
      </c>
    </row>
    <row r="195" spans="2:16" x14ac:dyDescent="0.3">
      <c r="B195" s="24" t="s">
        <v>311</v>
      </c>
      <c r="G195" s="216">
        <f t="shared" ref="G195:P195" si="137">G459</f>
        <v>0</v>
      </c>
      <c r="H195" s="216">
        <f t="shared" si="137"/>
        <v>1.0630097343250964</v>
      </c>
      <c r="I195" s="216">
        <f t="shared" si="137"/>
        <v>0.16649984887710545</v>
      </c>
      <c r="J195" s="216">
        <f t="shared" si="137"/>
        <v>0</v>
      </c>
      <c r="K195" s="216">
        <f t="shared" si="137"/>
        <v>0</v>
      </c>
      <c r="L195" s="216">
        <f t="shared" si="137"/>
        <v>0</v>
      </c>
      <c r="M195" s="216">
        <f t="shared" si="137"/>
        <v>0</v>
      </c>
      <c r="N195" s="216">
        <f t="shared" si="137"/>
        <v>0</v>
      </c>
      <c r="O195" s="216">
        <f t="shared" si="137"/>
        <v>0</v>
      </c>
      <c r="P195" s="255">
        <f t="shared" si="137"/>
        <v>0</v>
      </c>
    </row>
    <row r="196" spans="2:16" x14ac:dyDescent="0.3">
      <c r="B196" s="5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40"/>
    </row>
    <row r="197" spans="2:16" x14ac:dyDescent="0.3">
      <c r="B197" s="85" t="s">
        <v>312</v>
      </c>
      <c r="F197" s="39"/>
      <c r="G197" s="237">
        <f>G191-G194-G195</f>
        <v>54.224781980485936</v>
      </c>
      <c r="H197" s="237">
        <f t="shared" ref="H197:P197" si="138">H191-H194-H195</f>
        <v>69.120953805301085</v>
      </c>
      <c r="I197" s="237">
        <f t="shared" si="138"/>
        <v>82.092791361058829</v>
      </c>
      <c r="J197" s="237">
        <f t="shared" si="138"/>
        <v>102.20338886341517</v>
      </c>
      <c r="K197" s="237">
        <f t="shared" si="138"/>
        <v>117.63118004706536</v>
      </c>
      <c r="L197" s="237">
        <f t="shared" si="138"/>
        <v>134.58822178976962</v>
      </c>
      <c r="M197" s="237">
        <f t="shared" si="138"/>
        <v>143.0043879679624</v>
      </c>
      <c r="N197" s="237">
        <f t="shared" si="138"/>
        <v>158.61766291160743</v>
      </c>
      <c r="O197" s="237">
        <f t="shared" si="138"/>
        <v>176.08423218483557</v>
      </c>
      <c r="P197" s="238">
        <f t="shared" si="138"/>
        <v>189.46790088855516</v>
      </c>
    </row>
    <row r="198" spans="2:16" x14ac:dyDescent="0.3">
      <c r="B198" s="24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40"/>
    </row>
    <row r="199" spans="2:16" x14ac:dyDescent="0.3">
      <c r="B199" s="85" t="s">
        <v>313</v>
      </c>
      <c r="F199" s="39"/>
      <c r="G199" s="237">
        <f t="shared" ref="G199:P199" si="139">IFERROR($P$155*G120,"NA")</f>
        <v>15</v>
      </c>
      <c r="H199" s="237">
        <f t="shared" si="139"/>
        <v>15</v>
      </c>
      <c r="I199" s="237">
        <f t="shared" si="139"/>
        <v>15</v>
      </c>
      <c r="J199" s="237">
        <f t="shared" si="139"/>
        <v>15</v>
      </c>
      <c r="K199" s="237">
        <f t="shared" si="139"/>
        <v>15</v>
      </c>
      <c r="L199" s="237">
        <f t="shared" si="139"/>
        <v>15</v>
      </c>
      <c r="M199" s="237">
        <f t="shared" si="139"/>
        <v>15</v>
      </c>
      <c r="N199" s="237">
        <f t="shared" si="139"/>
        <v>15</v>
      </c>
      <c r="O199" s="237">
        <f t="shared" si="139"/>
        <v>15</v>
      </c>
      <c r="P199" s="327">
        <f t="shared" si="139"/>
        <v>15</v>
      </c>
    </row>
    <row r="200" spans="2:16" x14ac:dyDescent="0.3">
      <c r="B200" s="24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40"/>
    </row>
    <row r="201" spans="2:16" ht="15" thickBot="1" x14ac:dyDescent="0.35">
      <c r="B201" s="86" t="s">
        <v>314</v>
      </c>
      <c r="C201" s="18"/>
      <c r="D201" s="18"/>
      <c r="E201" s="18"/>
      <c r="F201" s="18"/>
      <c r="G201" s="270">
        <f>G197-G199</f>
        <v>39.224781980485936</v>
      </c>
      <c r="H201" s="270">
        <f t="shared" ref="H201:P201" si="140">H197-H199</f>
        <v>54.120953805301085</v>
      </c>
      <c r="I201" s="270">
        <f t="shared" si="140"/>
        <v>67.092791361058829</v>
      </c>
      <c r="J201" s="270">
        <f t="shared" si="140"/>
        <v>87.203388863415171</v>
      </c>
      <c r="K201" s="270">
        <f t="shared" si="140"/>
        <v>102.63118004706536</v>
      </c>
      <c r="L201" s="270">
        <f t="shared" si="140"/>
        <v>119.58822178976962</v>
      </c>
      <c r="M201" s="270">
        <f t="shared" si="140"/>
        <v>128.0043879679624</v>
      </c>
      <c r="N201" s="270">
        <f t="shared" si="140"/>
        <v>143.61766291160743</v>
      </c>
      <c r="O201" s="270">
        <f t="shared" si="140"/>
        <v>161.08423218483557</v>
      </c>
      <c r="P201" s="271">
        <f t="shared" si="140"/>
        <v>174.46790088855516</v>
      </c>
    </row>
    <row r="202" spans="2:16" x14ac:dyDescent="0.3">
      <c r="B202" s="22"/>
    </row>
    <row r="203" spans="2:16" x14ac:dyDescent="0.3">
      <c r="B203" s="22"/>
    </row>
    <row r="204" spans="2:16" x14ac:dyDescent="0.3">
      <c r="B204" s="22"/>
    </row>
    <row r="205" spans="2:16" x14ac:dyDescent="0.3">
      <c r="B205" s="410" t="s">
        <v>315</v>
      </c>
      <c r="C205" s="410"/>
      <c r="D205" s="410"/>
      <c r="E205" s="410"/>
      <c r="F205" s="410"/>
      <c r="G205" s="410"/>
      <c r="H205" s="410"/>
      <c r="I205" s="410"/>
      <c r="J205" s="410"/>
      <c r="K205" s="410"/>
      <c r="L205" s="410"/>
      <c r="M205" s="410"/>
      <c r="N205" s="410"/>
      <c r="O205" s="410"/>
      <c r="P205" s="410"/>
    </row>
    <row r="206" spans="2:16" ht="15" thickBot="1" x14ac:dyDescent="0.35"/>
    <row r="207" spans="2:16" x14ac:dyDescent="0.3">
      <c r="B207" s="3"/>
      <c r="C207" s="9"/>
      <c r="D207" s="9"/>
      <c r="E207" s="9"/>
      <c r="F207" s="28" t="s">
        <v>136</v>
      </c>
      <c r="G207" s="411" t="str">
        <f>"Projected Fiscal Years Ending "&amp;Y13</f>
        <v>Projected Fiscal Years Ending December 31,</v>
      </c>
      <c r="H207" s="408"/>
      <c r="I207" s="408"/>
      <c r="J207" s="408"/>
      <c r="K207" s="408"/>
      <c r="L207" s="408"/>
      <c r="M207" s="408"/>
      <c r="N207" s="408"/>
      <c r="O207" s="408"/>
      <c r="P207" s="412"/>
    </row>
    <row r="208" spans="2:16" x14ac:dyDescent="0.3">
      <c r="B208" s="23" t="s">
        <v>316</v>
      </c>
      <c r="F208" s="25">
        <f>G208-1</f>
        <v>2023</v>
      </c>
      <c r="G208" s="132">
        <f>$Y$12</f>
        <v>2024</v>
      </c>
      <c r="H208" s="27">
        <f t="shared" ref="H208:P208" si="141">G208+1</f>
        <v>2025</v>
      </c>
      <c r="I208" s="27">
        <f t="shared" si="141"/>
        <v>2026</v>
      </c>
      <c r="J208" s="27">
        <f t="shared" si="141"/>
        <v>2027</v>
      </c>
      <c r="K208" s="27">
        <f t="shared" si="141"/>
        <v>2028</v>
      </c>
      <c r="L208" s="27">
        <f t="shared" si="141"/>
        <v>2029</v>
      </c>
      <c r="M208" s="27">
        <f t="shared" si="141"/>
        <v>2030</v>
      </c>
      <c r="N208" s="27">
        <f t="shared" si="141"/>
        <v>2031</v>
      </c>
      <c r="O208" s="27">
        <f t="shared" si="141"/>
        <v>2032</v>
      </c>
      <c r="P208" s="30">
        <f t="shared" si="141"/>
        <v>2033</v>
      </c>
    </row>
    <row r="209" spans="2:16" x14ac:dyDescent="0.3">
      <c r="B209" s="32" t="s">
        <v>265</v>
      </c>
      <c r="P209" s="16"/>
    </row>
    <row r="210" spans="2:16" x14ac:dyDescent="0.3">
      <c r="B210" s="24" t="s">
        <v>266</v>
      </c>
      <c r="F210" s="216">
        <f>G136</f>
        <v>108.0914406949</v>
      </c>
      <c r="G210" s="216">
        <f t="shared" ref="G210:P210" si="142">G526</f>
        <v>0</v>
      </c>
      <c r="H210" s="216">
        <f t="shared" si="142"/>
        <v>0</v>
      </c>
      <c r="I210" s="216">
        <f t="shared" si="142"/>
        <v>0</v>
      </c>
      <c r="J210" s="216">
        <f t="shared" si="142"/>
        <v>0</v>
      </c>
      <c r="K210" s="216">
        <f t="shared" si="142"/>
        <v>0</v>
      </c>
      <c r="L210" s="216">
        <f t="shared" si="142"/>
        <v>0</v>
      </c>
      <c r="M210" s="216">
        <f t="shared" si="142"/>
        <v>0</v>
      </c>
      <c r="N210" s="216">
        <f t="shared" si="142"/>
        <v>0</v>
      </c>
      <c r="O210" s="216">
        <f t="shared" si="142"/>
        <v>0</v>
      </c>
      <c r="P210" s="255">
        <f t="shared" si="142"/>
        <v>126.92608032805134</v>
      </c>
    </row>
    <row r="211" spans="2:16" x14ac:dyDescent="0.3">
      <c r="B211" s="24" t="s">
        <v>268</v>
      </c>
      <c r="F211" s="216">
        <f>G137</f>
        <v>50</v>
      </c>
      <c r="G211" s="216">
        <f>F211</f>
        <v>50</v>
      </c>
      <c r="H211" s="216">
        <f t="shared" ref="H211:O211" si="143">G211</f>
        <v>50</v>
      </c>
      <c r="I211" s="216">
        <f t="shared" si="143"/>
        <v>50</v>
      </c>
      <c r="J211" s="216">
        <f t="shared" si="143"/>
        <v>50</v>
      </c>
      <c r="K211" s="216">
        <f t="shared" si="143"/>
        <v>50</v>
      </c>
      <c r="L211" s="216">
        <f t="shared" si="143"/>
        <v>50</v>
      </c>
      <c r="M211" s="216">
        <f t="shared" si="143"/>
        <v>50</v>
      </c>
      <c r="N211" s="216">
        <f t="shared" si="143"/>
        <v>50</v>
      </c>
      <c r="O211" s="216">
        <f t="shared" si="143"/>
        <v>50</v>
      </c>
      <c r="P211" s="255">
        <f>O211</f>
        <v>50</v>
      </c>
    </row>
    <row r="212" spans="2:16" x14ac:dyDescent="0.3">
      <c r="B212" s="24" t="s">
        <v>221</v>
      </c>
      <c r="F212" s="216">
        <f>G138</f>
        <v>112.766613486597</v>
      </c>
      <c r="G212" s="216">
        <f t="shared" ref="G212:P212" si="144">IFERROR(G91*G64,0)</f>
        <v>132.50077084675146</v>
      </c>
      <c r="H212" s="216">
        <f t="shared" si="144"/>
        <v>145.75084793142662</v>
      </c>
      <c r="I212" s="216">
        <f t="shared" si="144"/>
        <v>160.3259327245693</v>
      </c>
      <c r="J212" s="216">
        <f t="shared" si="144"/>
        <v>173.15200734253486</v>
      </c>
      <c r="K212" s="216">
        <f t="shared" si="144"/>
        <v>187.00416792993764</v>
      </c>
      <c r="L212" s="216">
        <f t="shared" si="144"/>
        <v>201.96450136433268</v>
      </c>
      <c r="M212" s="216">
        <f t="shared" si="144"/>
        <v>214.08237144619264</v>
      </c>
      <c r="N212" s="216">
        <f t="shared" si="144"/>
        <v>224.78649001850226</v>
      </c>
      <c r="O212" s="216">
        <f t="shared" si="144"/>
        <v>236.02581451942737</v>
      </c>
      <c r="P212" s="255">
        <f t="shared" si="144"/>
        <v>247.82710524539877</v>
      </c>
    </row>
    <row r="213" spans="2:16" x14ac:dyDescent="0.3">
      <c r="B213" s="24" t="s">
        <v>225</v>
      </c>
      <c r="F213" s="216">
        <f>G139</f>
        <v>144.44444442285001</v>
      </c>
      <c r="G213" s="216">
        <f t="shared" ref="G213:P213" si="145">IFERROR(G93*G68,0)</f>
        <v>192.60544712275549</v>
      </c>
      <c r="H213" s="216">
        <f t="shared" si="145"/>
        <v>211.86599183503102</v>
      </c>
      <c r="I213" s="216">
        <f t="shared" si="145"/>
        <v>233.05259101853417</v>
      </c>
      <c r="J213" s="216">
        <f t="shared" si="145"/>
        <v>251.69679830001692</v>
      </c>
      <c r="K213" s="216">
        <f t="shared" si="145"/>
        <v>271.83254216401826</v>
      </c>
      <c r="L213" s="216">
        <f t="shared" si="145"/>
        <v>293.57914553713977</v>
      </c>
      <c r="M213" s="216">
        <f t="shared" si="145"/>
        <v>311.19389426936812</v>
      </c>
      <c r="N213" s="216">
        <f t="shared" si="145"/>
        <v>326.7535889828365</v>
      </c>
      <c r="O213" s="216">
        <f t="shared" si="145"/>
        <v>343.09126843197834</v>
      </c>
      <c r="P213" s="255">
        <f t="shared" si="145"/>
        <v>360.24583185357733</v>
      </c>
    </row>
    <row r="214" spans="2:16" x14ac:dyDescent="0.3">
      <c r="B214" s="24" t="s">
        <v>237</v>
      </c>
      <c r="F214" s="258">
        <f>G140</f>
        <v>1.6937799040529999</v>
      </c>
      <c r="G214" s="258">
        <f t="shared" ref="G214:P214" si="146">IFERROR(G95*G64,0)</f>
        <v>1.990191387262275</v>
      </c>
      <c r="H214" s="258">
        <f t="shared" si="146"/>
        <v>2.1892105259885026</v>
      </c>
      <c r="I214" s="258">
        <f t="shared" si="146"/>
        <v>2.4081315785873532</v>
      </c>
      <c r="J214" s="258">
        <f t="shared" si="146"/>
        <v>2.6007821048743414</v>
      </c>
      <c r="K214" s="258">
        <f t="shared" si="146"/>
        <v>2.8088446732642889</v>
      </c>
      <c r="L214" s="258">
        <f t="shared" si="146"/>
        <v>3.0335522471254324</v>
      </c>
      <c r="M214" s="258">
        <f t="shared" si="146"/>
        <v>3.2155653819529584</v>
      </c>
      <c r="N214" s="258">
        <f t="shared" si="146"/>
        <v>3.3763436510506062</v>
      </c>
      <c r="O214" s="258">
        <f t="shared" si="146"/>
        <v>3.5451608336031364</v>
      </c>
      <c r="P214" s="257">
        <f t="shared" si="146"/>
        <v>3.7224188752832932</v>
      </c>
    </row>
    <row r="215" spans="2:16" x14ac:dyDescent="0.3">
      <c r="B215" s="33" t="s">
        <v>273</v>
      </c>
      <c r="F215" s="216">
        <f t="shared" ref="F215:P215" si="147">SUM(F210:F214)</f>
        <v>416.99627850839994</v>
      </c>
      <c r="G215" s="216">
        <f t="shared" si="147"/>
        <v>377.09640935676919</v>
      </c>
      <c r="H215" s="216">
        <f t="shared" si="147"/>
        <v>409.80605029244617</v>
      </c>
      <c r="I215" s="216">
        <f t="shared" si="147"/>
        <v>445.78665532169083</v>
      </c>
      <c r="J215" s="216">
        <f t="shared" si="147"/>
        <v>477.44958774742611</v>
      </c>
      <c r="K215" s="216">
        <f t="shared" si="147"/>
        <v>511.64555476722018</v>
      </c>
      <c r="L215" s="216">
        <f t="shared" si="147"/>
        <v>548.57719914859786</v>
      </c>
      <c r="M215" s="216">
        <f t="shared" si="147"/>
        <v>578.49183109751368</v>
      </c>
      <c r="N215" s="216">
        <f t="shared" si="147"/>
        <v>604.91642265238943</v>
      </c>
      <c r="O215" s="216">
        <f t="shared" si="147"/>
        <v>632.66224378500897</v>
      </c>
      <c r="P215" s="255">
        <f t="shared" si="147"/>
        <v>788.72143630231074</v>
      </c>
    </row>
    <row r="216" spans="2:16" x14ac:dyDescent="0.3">
      <c r="B216" s="5"/>
      <c r="F216" s="216"/>
      <c r="G216" s="216"/>
      <c r="H216" s="216"/>
      <c r="I216" s="216"/>
      <c r="J216" s="216"/>
      <c r="K216" s="216"/>
      <c r="L216" s="216"/>
      <c r="M216" s="216"/>
      <c r="N216" s="216"/>
      <c r="O216" s="216"/>
      <c r="P216" s="255"/>
    </row>
    <row r="217" spans="2:16" x14ac:dyDescent="0.3">
      <c r="B217" s="5" t="s">
        <v>276</v>
      </c>
      <c r="F217" s="216">
        <f>G143</f>
        <v>227.533545972284</v>
      </c>
      <c r="G217" s="216">
        <f t="shared" ref="G217:P217" si="148">F217+G82</f>
        <v>267.26054038719764</v>
      </c>
      <c r="H217" s="216">
        <f t="shared" si="148"/>
        <v>308.96023424360266</v>
      </c>
      <c r="I217" s="216">
        <f t="shared" si="148"/>
        <v>352.82989748564819</v>
      </c>
      <c r="J217" s="216">
        <f t="shared" si="148"/>
        <v>388.60913378705737</v>
      </c>
      <c r="K217" s="216">
        <f t="shared" si="148"/>
        <v>426.45070899257928</v>
      </c>
      <c r="L217" s="216">
        <f t="shared" si="148"/>
        <v>466.51961021454292</v>
      </c>
      <c r="M217" s="216">
        <f t="shared" si="148"/>
        <v>508.39264550982438</v>
      </c>
      <c r="N217" s="216">
        <f t="shared" si="148"/>
        <v>551.85933256986993</v>
      </c>
      <c r="O217" s="216">
        <f t="shared" si="148"/>
        <v>591.9993539829178</v>
      </c>
      <c r="P217" s="255">
        <f t="shared" si="148"/>
        <v>633.89637646661799</v>
      </c>
    </row>
    <row r="218" spans="2:16" x14ac:dyDescent="0.3">
      <c r="B218" s="5" t="s">
        <v>278</v>
      </c>
      <c r="F218" s="258">
        <f>G144</f>
        <v>124.6</v>
      </c>
      <c r="G218" s="258">
        <f t="shared" ref="G218:P218" si="149">F218+G86</f>
        <v>162.26287254277887</v>
      </c>
      <c r="H218" s="258">
        <f t="shared" si="149"/>
        <v>201.79594767008069</v>
      </c>
      <c r="I218" s="258">
        <f t="shared" si="149"/>
        <v>243.38624564035777</v>
      </c>
      <c r="J218" s="258">
        <f t="shared" si="149"/>
        <v>277.30647636367837</v>
      </c>
      <c r="K218" s="258">
        <f t="shared" si="149"/>
        <v>313.18189167696266</v>
      </c>
      <c r="L218" s="258">
        <f t="shared" si="149"/>
        <v>351.1689063474077</v>
      </c>
      <c r="M218" s="258">
        <f t="shared" si="149"/>
        <v>390.86631649715298</v>
      </c>
      <c r="N218" s="258">
        <f t="shared" si="149"/>
        <v>432.0745759869468</v>
      </c>
      <c r="O218" s="258">
        <f t="shared" si="149"/>
        <v>470.12901560940423</v>
      </c>
      <c r="P218" s="257">
        <f t="shared" si="149"/>
        <v>509.84916662926514</v>
      </c>
    </row>
    <row r="219" spans="2:16" x14ac:dyDescent="0.3">
      <c r="B219" s="24" t="s">
        <v>280</v>
      </c>
      <c r="F219" s="216">
        <f t="shared" ref="F219:P219" si="150">F217-F218</f>
        <v>102.93354597228401</v>
      </c>
      <c r="G219" s="216">
        <f t="shared" si="150"/>
        <v>104.99766784441877</v>
      </c>
      <c r="H219" s="216">
        <f t="shared" si="150"/>
        <v>107.16428657352196</v>
      </c>
      <c r="I219" s="216">
        <f t="shared" si="150"/>
        <v>109.44365184529042</v>
      </c>
      <c r="J219" s="216">
        <f t="shared" si="150"/>
        <v>111.302657423379</v>
      </c>
      <c r="K219" s="216">
        <f t="shared" si="150"/>
        <v>113.26881731561662</v>
      </c>
      <c r="L219" s="216">
        <f t="shared" si="150"/>
        <v>115.35070386713522</v>
      </c>
      <c r="M219" s="216">
        <f t="shared" si="150"/>
        <v>117.5263290126714</v>
      </c>
      <c r="N219" s="216">
        <f t="shared" si="150"/>
        <v>119.78475658292314</v>
      </c>
      <c r="O219" s="216">
        <f t="shared" si="150"/>
        <v>121.87033837351356</v>
      </c>
      <c r="P219" s="255">
        <f t="shared" si="150"/>
        <v>124.04720983735285</v>
      </c>
    </row>
    <row r="220" spans="2:16" x14ac:dyDescent="0.3">
      <c r="B220" s="5"/>
      <c r="F220" s="216"/>
      <c r="G220" s="216"/>
      <c r="H220" s="216"/>
      <c r="I220" s="216"/>
      <c r="J220" s="216"/>
      <c r="K220" s="216"/>
      <c r="L220" s="216"/>
      <c r="M220" s="216"/>
      <c r="N220" s="216"/>
      <c r="O220" s="216"/>
      <c r="P220" s="255"/>
    </row>
    <row r="221" spans="2:16" x14ac:dyDescent="0.3">
      <c r="B221" s="32" t="s">
        <v>283</v>
      </c>
      <c r="F221" s="216"/>
      <c r="G221" s="216"/>
      <c r="H221" s="216"/>
      <c r="I221" s="216"/>
      <c r="J221" s="216"/>
      <c r="K221" s="216"/>
      <c r="L221" s="216"/>
      <c r="M221" s="216"/>
      <c r="N221" s="216"/>
      <c r="O221" s="216"/>
      <c r="P221" s="255"/>
    </row>
    <row r="222" spans="2:16" x14ac:dyDescent="0.3">
      <c r="B222" s="24" t="s">
        <v>285</v>
      </c>
      <c r="F222" s="216">
        <f>G148</f>
        <v>1161.6916534339159</v>
      </c>
      <c r="G222" s="216">
        <f>F222</f>
        <v>1161.6916534339159</v>
      </c>
      <c r="H222" s="216">
        <f t="shared" ref="H222:O222" si="151">G222</f>
        <v>1161.6916534339159</v>
      </c>
      <c r="I222" s="216">
        <f t="shared" si="151"/>
        <v>1161.6916534339159</v>
      </c>
      <c r="J222" s="216">
        <f t="shared" si="151"/>
        <v>1161.6916534339159</v>
      </c>
      <c r="K222" s="216">
        <f t="shared" si="151"/>
        <v>1161.6916534339159</v>
      </c>
      <c r="L222" s="216">
        <f t="shared" si="151"/>
        <v>1161.6916534339159</v>
      </c>
      <c r="M222" s="216">
        <f t="shared" si="151"/>
        <v>1161.6916534339159</v>
      </c>
      <c r="N222" s="216">
        <f t="shared" si="151"/>
        <v>1161.6916534339159</v>
      </c>
      <c r="O222" s="216">
        <f t="shared" si="151"/>
        <v>1161.6916534339159</v>
      </c>
      <c r="P222" s="255">
        <f>O222</f>
        <v>1161.6916534339159</v>
      </c>
    </row>
    <row r="223" spans="2:16" x14ac:dyDescent="0.3">
      <c r="B223" s="24" t="s">
        <v>287</v>
      </c>
      <c r="F223" s="216">
        <f>G149</f>
        <v>21.84</v>
      </c>
      <c r="G223" s="216">
        <f t="shared" ref="G223:P223" si="152">F223-G176</f>
        <v>18.72</v>
      </c>
      <c r="H223" s="216">
        <f t="shared" si="152"/>
        <v>15.599999999999998</v>
      </c>
      <c r="I223" s="216">
        <f t="shared" si="152"/>
        <v>12.479999999999997</v>
      </c>
      <c r="J223" s="216">
        <f t="shared" si="152"/>
        <v>9.3599999999999959</v>
      </c>
      <c r="K223" s="216">
        <f t="shared" si="152"/>
        <v>6.2399999999999958</v>
      </c>
      <c r="L223" s="216">
        <f t="shared" si="152"/>
        <v>3.1199999999999957</v>
      </c>
      <c r="M223" s="216">
        <f t="shared" si="152"/>
        <v>-4.4408920985006262E-15</v>
      </c>
      <c r="N223" s="216">
        <f t="shared" si="152"/>
        <v>-4.4408920985006262E-15</v>
      </c>
      <c r="O223" s="216">
        <f t="shared" si="152"/>
        <v>-4.4408920985006262E-15</v>
      </c>
      <c r="P223" s="255">
        <f t="shared" si="152"/>
        <v>-4.4408920985006262E-15</v>
      </c>
    </row>
    <row r="224" spans="2:16" x14ac:dyDescent="0.3">
      <c r="B224" s="24" t="s">
        <v>289</v>
      </c>
      <c r="F224" s="216">
        <f>G150</f>
        <v>9.3000824015949988</v>
      </c>
      <c r="G224" s="216">
        <f>F224</f>
        <v>9.3000824015949988</v>
      </c>
      <c r="H224" s="216">
        <f t="shared" ref="H224:O224" si="153">G224</f>
        <v>9.3000824015949988</v>
      </c>
      <c r="I224" s="216">
        <f t="shared" si="153"/>
        <v>9.3000824015949988</v>
      </c>
      <c r="J224" s="216">
        <f t="shared" si="153"/>
        <v>9.3000824015949988</v>
      </c>
      <c r="K224" s="216">
        <f t="shared" si="153"/>
        <v>9.3000824015949988</v>
      </c>
      <c r="L224" s="216">
        <f t="shared" si="153"/>
        <v>9.3000824015949988</v>
      </c>
      <c r="M224" s="216">
        <f t="shared" si="153"/>
        <v>9.3000824015949988</v>
      </c>
      <c r="N224" s="216">
        <f t="shared" si="153"/>
        <v>9.3000824015949988</v>
      </c>
      <c r="O224" s="216">
        <f t="shared" si="153"/>
        <v>9.3000824015949988</v>
      </c>
      <c r="P224" s="255">
        <f>O224</f>
        <v>9.3000824015949988</v>
      </c>
    </row>
    <row r="225" spans="2:16" x14ac:dyDescent="0.3">
      <c r="B225" s="5"/>
      <c r="F225" s="216"/>
      <c r="G225" s="216"/>
      <c r="H225" s="216"/>
      <c r="I225" s="216"/>
      <c r="J225" s="216"/>
      <c r="K225" s="216"/>
      <c r="L225" s="216"/>
      <c r="M225" s="216"/>
      <c r="N225" s="216"/>
      <c r="O225" s="216"/>
      <c r="P225" s="255"/>
    </row>
    <row r="226" spans="2:16" x14ac:dyDescent="0.3">
      <c r="B226" s="33" t="s">
        <v>292</v>
      </c>
      <c r="F226" s="216">
        <f t="shared" ref="F226:P226" si="154">F215+F219+SUM(F222:F224)</f>
        <v>1712.7615603161948</v>
      </c>
      <c r="G226" s="216">
        <f t="shared" si="154"/>
        <v>1671.805813036699</v>
      </c>
      <c r="H226" s="216">
        <f t="shared" si="154"/>
        <v>1703.5620727014791</v>
      </c>
      <c r="I226" s="216">
        <f t="shared" si="154"/>
        <v>1738.7020430024922</v>
      </c>
      <c r="J226" s="216">
        <f t="shared" si="154"/>
        <v>1769.103981006316</v>
      </c>
      <c r="K226" s="216">
        <f t="shared" si="154"/>
        <v>1802.1461079183478</v>
      </c>
      <c r="L226" s="216">
        <f t="shared" si="154"/>
        <v>1838.039638851244</v>
      </c>
      <c r="M226" s="216">
        <f t="shared" si="154"/>
        <v>1867.0098959456961</v>
      </c>
      <c r="N226" s="216">
        <f t="shared" si="154"/>
        <v>1895.6929150708236</v>
      </c>
      <c r="O226" s="216">
        <f t="shared" si="154"/>
        <v>1925.5243179940335</v>
      </c>
      <c r="P226" s="255">
        <f t="shared" si="154"/>
        <v>2083.7603819751748</v>
      </c>
    </row>
    <row r="227" spans="2:16" x14ac:dyDescent="0.3">
      <c r="B227" s="5"/>
      <c r="F227" s="216"/>
      <c r="G227" s="216"/>
      <c r="H227" s="216"/>
      <c r="I227" s="216"/>
      <c r="J227" s="216"/>
      <c r="K227" s="216"/>
      <c r="L227" s="216"/>
      <c r="M227" s="216"/>
      <c r="N227" s="216"/>
      <c r="O227" s="216"/>
      <c r="P227" s="255"/>
    </row>
    <row r="228" spans="2:16" x14ac:dyDescent="0.3">
      <c r="B228" s="23" t="s">
        <v>317</v>
      </c>
      <c r="F228" s="216"/>
      <c r="G228" s="216"/>
      <c r="H228" s="216"/>
      <c r="I228" s="216"/>
      <c r="J228" s="216"/>
      <c r="K228" s="216"/>
      <c r="L228" s="216"/>
      <c r="M228" s="216"/>
      <c r="N228" s="216"/>
      <c r="O228" s="216"/>
      <c r="P228" s="255"/>
    </row>
    <row r="229" spans="2:16" x14ac:dyDescent="0.3">
      <c r="B229" s="32" t="s">
        <v>318</v>
      </c>
      <c r="F229" s="216"/>
      <c r="G229" s="216"/>
      <c r="H229" s="216"/>
      <c r="I229" s="216"/>
      <c r="J229" s="216"/>
      <c r="K229" s="216"/>
      <c r="L229" s="216"/>
      <c r="M229" s="216"/>
      <c r="N229" s="216"/>
      <c r="O229" s="216"/>
      <c r="P229" s="255"/>
    </row>
    <row r="230" spans="2:16" x14ac:dyDescent="0.3">
      <c r="B230" s="24" t="s">
        <v>196</v>
      </c>
      <c r="F230" s="216">
        <f>P136</f>
        <v>0</v>
      </c>
      <c r="G230" s="216">
        <f t="shared" ref="G230:P230" si="155">G469</f>
        <v>0</v>
      </c>
      <c r="H230" s="216">
        <f t="shared" si="155"/>
        <v>0</v>
      </c>
      <c r="I230" s="216">
        <f t="shared" si="155"/>
        <v>0</v>
      </c>
      <c r="J230" s="216">
        <f t="shared" si="155"/>
        <v>0</v>
      </c>
      <c r="K230" s="216">
        <f t="shared" si="155"/>
        <v>0</v>
      </c>
      <c r="L230" s="216">
        <f t="shared" si="155"/>
        <v>0</v>
      </c>
      <c r="M230" s="216">
        <f t="shared" si="155"/>
        <v>0</v>
      </c>
      <c r="N230" s="216">
        <f t="shared" si="155"/>
        <v>0</v>
      </c>
      <c r="O230" s="216">
        <f t="shared" si="155"/>
        <v>0</v>
      </c>
      <c r="P230" s="255">
        <f t="shared" si="155"/>
        <v>0</v>
      </c>
    </row>
    <row r="231" spans="2:16" x14ac:dyDescent="0.3">
      <c r="B231" s="24" t="s">
        <v>242</v>
      </c>
      <c r="F231" s="216">
        <f>P137</f>
        <v>10.212652842704999</v>
      </c>
      <c r="G231" s="216">
        <f t="shared" ref="G231:P231" si="156">G96*G68</f>
        <v>13.61777931258054</v>
      </c>
      <c r="H231" s="216">
        <f t="shared" si="156"/>
        <v>14.979557243838594</v>
      </c>
      <c r="I231" s="216">
        <f t="shared" si="156"/>
        <v>16.477512968222456</v>
      </c>
      <c r="J231" s="216">
        <f t="shared" si="156"/>
        <v>17.795714005680253</v>
      </c>
      <c r="K231" s="216">
        <f t="shared" si="156"/>
        <v>19.219371126134671</v>
      </c>
      <c r="L231" s="216">
        <f t="shared" si="156"/>
        <v>20.756920816225449</v>
      </c>
      <c r="M231" s="216">
        <f t="shared" si="156"/>
        <v>22.002336065198975</v>
      </c>
      <c r="N231" s="216">
        <f t="shared" si="156"/>
        <v>23.102452868458922</v>
      </c>
      <c r="O231" s="216">
        <f t="shared" si="156"/>
        <v>24.257575511881868</v>
      </c>
      <c r="P231" s="255">
        <f t="shared" si="156"/>
        <v>25.470454287475967</v>
      </c>
    </row>
    <row r="232" spans="2:16" x14ac:dyDescent="0.3">
      <c r="B232" s="24" t="s">
        <v>244</v>
      </c>
      <c r="F232" s="258">
        <f>P138</f>
        <v>145.98086122219499</v>
      </c>
      <c r="G232" s="258">
        <f t="shared" ref="G232:P232" si="157">IFERROR(G98*G64,0)</f>
        <v>171.52751193607912</v>
      </c>
      <c r="H232" s="258">
        <f t="shared" si="157"/>
        <v>188.68026312968703</v>
      </c>
      <c r="I232" s="258">
        <f t="shared" si="157"/>
        <v>207.54828944265574</v>
      </c>
      <c r="J232" s="258">
        <f t="shared" si="157"/>
        <v>224.15215259806823</v>
      </c>
      <c r="K232" s="258">
        <f t="shared" si="157"/>
        <v>242.0843248059137</v>
      </c>
      <c r="L232" s="258">
        <f t="shared" si="157"/>
        <v>261.45107079038684</v>
      </c>
      <c r="M232" s="258">
        <f t="shared" si="157"/>
        <v>277.13813503781</v>
      </c>
      <c r="N232" s="258">
        <f t="shared" si="157"/>
        <v>290.99504178970051</v>
      </c>
      <c r="O232" s="258">
        <f t="shared" si="157"/>
        <v>305.54479387918553</v>
      </c>
      <c r="P232" s="257">
        <f t="shared" si="157"/>
        <v>320.82203357314484</v>
      </c>
    </row>
    <row r="233" spans="2:16" x14ac:dyDescent="0.3">
      <c r="B233" s="33" t="s">
        <v>270</v>
      </c>
      <c r="F233" s="216">
        <f t="shared" ref="F233:P233" si="158">SUM(F230:F232)</f>
        <v>156.1935140649</v>
      </c>
      <c r="G233" s="216">
        <f t="shared" si="158"/>
        <v>185.14529124865967</v>
      </c>
      <c r="H233" s="216">
        <f t="shared" si="158"/>
        <v>203.65982037352563</v>
      </c>
      <c r="I233" s="216">
        <f t="shared" si="158"/>
        <v>224.02580241087821</v>
      </c>
      <c r="J233" s="216">
        <f t="shared" si="158"/>
        <v>241.94786660374848</v>
      </c>
      <c r="K233" s="216">
        <f t="shared" si="158"/>
        <v>261.30369593204836</v>
      </c>
      <c r="L233" s="216">
        <f t="shared" si="158"/>
        <v>282.20799160661227</v>
      </c>
      <c r="M233" s="216">
        <f t="shared" si="158"/>
        <v>299.14047110300896</v>
      </c>
      <c r="N233" s="216">
        <f t="shared" si="158"/>
        <v>314.09749465815941</v>
      </c>
      <c r="O233" s="216">
        <f t="shared" si="158"/>
        <v>329.80236939106737</v>
      </c>
      <c r="P233" s="255">
        <f t="shared" si="158"/>
        <v>346.29248786062078</v>
      </c>
    </row>
    <row r="234" spans="2:16" x14ac:dyDescent="0.3">
      <c r="B234" s="5"/>
      <c r="F234" s="216"/>
      <c r="G234" s="216"/>
      <c r="H234" s="216"/>
      <c r="I234" s="216"/>
      <c r="J234" s="216"/>
      <c r="K234" s="216"/>
      <c r="L234" s="216"/>
      <c r="M234" s="216"/>
      <c r="N234" s="216"/>
      <c r="O234" s="216"/>
      <c r="P234" s="255"/>
    </row>
    <row r="235" spans="2:16" x14ac:dyDescent="0.3">
      <c r="B235" s="32" t="s">
        <v>274</v>
      </c>
      <c r="F235" s="216"/>
      <c r="G235" s="216"/>
      <c r="H235" s="216"/>
      <c r="I235" s="216"/>
      <c r="J235" s="216"/>
      <c r="K235" s="216"/>
      <c r="L235" s="216"/>
      <c r="M235" s="216"/>
      <c r="N235" s="216"/>
      <c r="O235" s="216"/>
      <c r="P235" s="255"/>
    </row>
    <row r="236" spans="2:16" x14ac:dyDescent="0.3">
      <c r="B236" s="24" t="s">
        <v>203</v>
      </c>
      <c r="F236" s="216">
        <f t="shared" ref="F236:F241" si="159">P142</f>
        <v>0</v>
      </c>
      <c r="G236" s="216">
        <f t="shared" ref="G236:P236" si="160">G475</f>
        <v>0</v>
      </c>
      <c r="H236" s="216">
        <f t="shared" si="160"/>
        <v>0</v>
      </c>
      <c r="I236" s="216">
        <f t="shared" si="160"/>
        <v>0</v>
      </c>
      <c r="J236" s="216">
        <f t="shared" si="160"/>
        <v>0</v>
      </c>
      <c r="K236" s="216">
        <f t="shared" si="160"/>
        <v>0</v>
      </c>
      <c r="L236" s="216">
        <f t="shared" si="160"/>
        <v>0</v>
      </c>
      <c r="M236" s="216">
        <f t="shared" si="160"/>
        <v>0</v>
      </c>
      <c r="N236" s="216">
        <f t="shared" si="160"/>
        <v>0</v>
      </c>
      <c r="O236" s="216">
        <f t="shared" si="160"/>
        <v>0</v>
      </c>
      <c r="P236" s="255">
        <f t="shared" si="160"/>
        <v>0</v>
      </c>
    </row>
    <row r="237" spans="2:16" x14ac:dyDescent="0.3">
      <c r="B237" s="24" t="str">
        <f>V32</f>
        <v>Revolver</v>
      </c>
      <c r="F237" s="216">
        <f t="shared" si="159"/>
        <v>100</v>
      </c>
      <c r="G237" s="216">
        <f t="shared" ref="G237:P237" si="161">G482</f>
        <v>100</v>
      </c>
      <c r="H237" s="216">
        <f t="shared" si="161"/>
        <v>100</v>
      </c>
      <c r="I237" s="216">
        <f t="shared" si="161"/>
        <v>100</v>
      </c>
      <c r="J237" s="216">
        <f t="shared" si="161"/>
        <v>100</v>
      </c>
      <c r="K237" s="216">
        <f t="shared" si="161"/>
        <v>100</v>
      </c>
      <c r="L237" s="216">
        <f t="shared" si="161"/>
        <v>100</v>
      </c>
      <c r="M237" s="216">
        <f t="shared" si="161"/>
        <v>100</v>
      </c>
      <c r="N237" s="216">
        <f t="shared" si="161"/>
        <v>100</v>
      </c>
      <c r="O237" s="216">
        <f t="shared" si="161"/>
        <v>27.353246256967367</v>
      </c>
      <c r="P237" s="255">
        <f t="shared" si="161"/>
        <v>0</v>
      </c>
    </row>
    <row r="238" spans="2:16" x14ac:dyDescent="0.3">
      <c r="B238" s="24" t="str">
        <f>V33</f>
        <v>Term Loan</v>
      </c>
      <c r="F238" s="216">
        <f t="shared" si="159"/>
        <v>200</v>
      </c>
      <c r="G238" s="216">
        <f t="shared" ref="G238:P238" si="162">G489</f>
        <v>160</v>
      </c>
      <c r="H238" s="216">
        <f t="shared" si="162"/>
        <v>128</v>
      </c>
      <c r="I238" s="216">
        <f t="shared" si="162"/>
        <v>102.4</v>
      </c>
      <c r="J238" s="216">
        <f t="shared" si="162"/>
        <v>81.92</v>
      </c>
      <c r="K238" s="216">
        <f t="shared" si="162"/>
        <v>65.536000000000001</v>
      </c>
      <c r="L238" s="216">
        <f t="shared" si="162"/>
        <v>52.428800000000003</v>
      </c>
      <c r="M238" s="216">
        <f t="shared" si="162"/>
        <v>41.943040000000003</v>
      </c>
      <c r="N238" s="216">
        <f t="shared" si="162"/>
        <v>33.554432000000006</v>
      </c>
      <c r="O238" s="216">
        <f t="shared" si="162"/>
        <v>26.843545600000006</v>
      </c>
      <c r="P238" s="255">
        <f t="shared" si="162"/>
        <v>21.474836480000004</v>
      </c>
    </row>
    <row r="239" spans="2:16" x14ac:dyDescent="0.3">
      <c r="B239" s="24" t="str">
        <f>V34</f>
        <v>Senior Unsecured Debt</v>
      </c>
      <c r="F239" s="216">
        <f t="shared" si="159"/>
        <v>200</v>
      </c>
      <c r="G239" s="216">
        <f t="shared" ref="G239:P239" si="163">G497</f>
        <v>102.54889355625838</v>
      </c>
      <c r="H239" s="216">
        <f t="shared" si="163"/>
        <v>62.365544556546325</v>
      </c>
      <c r="I239" s="216">
        <f t="shared" si="163"/>
        <v>3.1858474902709517</v>
      </c>
      <c r="J239" s="216">
        <f t="shared" si="163"/>
        <v>0</v>
      </c>
      <c r="K239" s="216">
        <f t="shared" si="163"/>
        <v>0</v>
      </c>
      <c r="L239" s="216">
        <f t="shared" si="163"/>
        <v>0</v>
      </c>
      <c r="M239" s="216">
        <f t="shared" si="163"/>
        <v>0</v>
      </c>
      <c r="N239" s="216">
        <f t="shared" si="163"/>
        <v>0</v>
      </c>
      <c r="O239" s="216">
        <f t="shared" si="163"/>
        <v>0</v>
      </c>
      <c r="P239" s="255">
        <f t="shared" si="163"/>
        <v>0</v>
      </c>
    </row>
    <row r="240" spans="2:16" x14ac:dyDescent="0.3">
      <c r="B240" s="24" t="str">
        <f>V35</f>
        <v>Subordinated Debt</v>
      </c>
      <c r="F240" s="216">
        <f t="shared" si="159"/>
        <v>318.84000000000003</v>
      </c>
      <c r="G240" s="216">
        <f t="shared" ref="G240:P240" si="164">G505</f>
        <v>341.15880000000004</v>
      </c>
      <c r="H240" s="216">
        <f t="shared" si="164"/>
        <v>365.03991600000006</v>
      </c>
      <c r="I240" s="216">
        <f t="shared" si="164"/>
        <v>390.59271012000005</v>
      </c>
      <c r="J240" s="216">
        <f t="shared" si="164"/>
        <v>332.38894655780939</v>
      </c>
      <c r="K240" s="216">
        <f t="shared" si="164"/>
        <v>252.25320233447582</v>
      </c>
      <c r="L240" s="216">
        <f t="shared" si="164"/>
        <v>160.76141580303857</v>
      </c>
      <c r="M240" s="216">
        <f t="shared" si="164"/>
        <v>55.280565433131528</v>
      </c>
      <c r="N240" s="216">
        <f t="shared" si="164"/>
        <v>0</v>
      </c>
      <c r="O240" s="216">
        <f t="shared" si="164"/>
        <v>0</v>
      </c>
      <c r="P240" s="255">
        <f t="shared" si="164"/>
        <v>0</v>
      </c>
    </row>
    <row r="241" spans="2:16" x14ac:dyDescent="0.3">
      <c r="B241" s="24" t="str">
        <f>V36</f>
        <v>Mezzanine</v>
      </c>
      <c r="F241" s="258">
        <f t="shared" si="159"/>
        <v>100</v>
      </c>
      <c r="G241" s="258">
        <f t="shared" ref="G241:P241" si="165">G513</f>
        <v>106</v>
      </c>
      <c r="H241" s="258">
        <f t="shared" si="165"/>
        <v>112.36</v>
      </c>
      <c r="I241" s="258">
        <f t="shared" si="165"/>
        <v>119.1016</v>
      </c>
      <c r="J241" s="258">
        <f t="shared" si="165"/>
        <v>126.247696</v>
      </c>
      <c r="K241" s="258">
        <f t="shared" si="165"/>
        <v>133.82255776</v>
      </c>
      <c r="L241" s="258">
        <f t="shared" si="165"/>
        <v>133.82255776</v>
      </c>
      <c r="M241" s="258">
        <f t="shared" si="165"/>
        <v>133.82255776</v>
      </c>
      <c r="N241" s="258">
        <f t="shared" si="165"/>
        <v>67.600063851501062</v>
      </c>
      <c r="O241" s="258">
        <f t="shared" si="165"/>
        <v>0</v>
      </c>
      <c r="P241" s="257">
        <f t="shared" si="165"/>
        <v>0</v>
      </c>
    </row>
    <row r="242" spans="2:16" x14ac:dyDescent="0.3">
      <c r="B242" s="33" t="s">
        <v>286</v>
      </c>
      <c r="F242" s="216">
        <f t="shared" ref="F242:P242" si="166">SUM(F236:F241)</f>
        <v>918.84</v>
      </c>
      <c r="G242" s="216">
        <f>SUM(G236:G241)</f>
        <v>809.70769355625839</v>
      </c>
      <c r="H242" s="216">
        <f t="shared" si="166"/>
        <v>767.76546055654637</v>
      </c>
      <c r="I242" s="216">
        <f t="shared" si="166"/>
        <v>715.28015761027098</v>
      </c>
      <c r="J242" s="216">
        <f t="shared" si="166"/>
        <v>640.55664255780937</v>
      </c>
      <c r="K242" s="216">
        <f t="shared" si="166"/>
        <v>551.61176009447581</v>
      </c>
      <c r="L242" s="216">
        <f t="shared" si="166"/>
        <v>447.01277356303854</v>
      </c>
      <c r="M242" s="216">
        <f t="shared" si="166"/>
        <v>331.04616319313152</v>
      </c>
      <c r="N242" s="216">
        <f t="shared" si="166"/>
        <v>201.15449585150108</v>
      </c>
      <c r="O242" s="216">
        <f t="shared" si="166"/>
        <v>54.196791856967373</v>
      </c>
      <c r="P242" s="255">
        <f t="shared" si="166"/>
        <v>21.474836480000004</v>
      </c>
    </row>
    <row r="243" spans="2:16" x14ac:dyDescent="0.3">
      <c r="B243" s="5"/>
      <c r="F243" s="216"/>
      <c r="G243" s="216"/>
      <c r="H243" s="216"/>
      <c r="I243" s="216"/>
      <c r="J243" s="216"/>
      <c r="K243" s="216"/>
      <c r="L243" s="216"/>
      <c r="M243" s="216"/>
      <c r="N243" s="216"/>
      <c r="O243" s="216"/>
      <c r="P243" s="255"/>
    </row>
    <row r="244" spans="2:16" x14ac:dyDescent="0.3">
      <c r="B244" s="5" t="s">
        <v>290</v>
      </c>
      <c r="F244" s="216">
        <f>P150</f>
        <v>4.7283625724</v>
      </c>
      <c r="G244" s="216">
        <f>F244</f>
        <v>4.7283625724</v>
      </c>
      <c r="H244" s="216">
        <f t="shared" ref="H244:O244" si="167">G244</f>
        <v>4.7283625724</v>
      </c>
      <c r="I244" s="216">
        <f t="shared" si="167"/>
        <v>4.7283625724</v>
      </c>
      <c r="J244" s="216">
        <f t="shared" si="167"/>
        <v>4.7283625724</v>
      </c>
      <c r="K244" s="216">
        <f t="shared" si="167"/>
        <v>4.7283625724</v>
      </c>
      <c r="L244" s="216">
        <f t="shared" si="167"/>
        <v>4.7283625724</v>
      </c>
      <c r="M244" s="216">
        <f t="shared" si="167"/>
        <v>4.7283625724</v>
      </c>
      <c r="N244" s="216">
        <f t="shared" si="167"/>
        <v>4.7283625724</v>
      </c>
      <c r="O244" s="216">
        <f t="shared" si="167"/>
        <v>4.7283625724</v>
      </c>
      <c r="P244" s="255">
        <f>O244</f>
        <v>4.7283625724</v>
      </c>
    </row>
    <row r="245" spans="2:16" x14ac:dyDescent="0.3">
      <c r="B245" s="5" t="s">
        <v>291</v>
      </c>
      <c r="F245" s="216">
        <f>P151</f>
        <v>0</v>
      </c>
      <c r="G245" s="216">
        <f>G459</f>
        <v>0</v>
      </c>
      <c r="H245" s="216">
        <f t="shared" ref="H245:P245" si="168">G245+H459</f>
        <v>1.0630097343250964</v>
      </c>
      <c r="I245" s="216">
        <f t="shared" si="168"/>
        <v>1.2295095832022018</v>
      </c>
      <c r="J245" s="216">
        <f t="shared" si="168"/>
        <v>1.2295095832022018</v>
      </c>
      <c r="K245" s="216">
        <f t="shared" si="168"/>
        <v>1.2295095832022018</v>
      </c>
      <c r="L245" s="216">
        <f t="shared" si="168"/>
        <v>1.2295095832022018</v>
      </c>
      <c r="M245" s="216">
        <f t="shared" si="168"/>
        <v>1.2295095832022018</v>
      </c>
      <c r="N245" s="216">
        <f t="shared" si="168"/>
        <v>1.2295095832022018</v>
      </c>
      <c r="O245" s="216">
        <f t="shared" si="168"/>
        <v>1.2295095832022018</v>
      </c>
      <c r="P245" s="255">
        <f t="shared" si="168"/>
        <v>1.2295095832022018</v>
      </c>
    </row>
    <row r="246" spans="2:16" x14ac:dyDescent="0.3">
      <c r="B246" s="5"/>
      <c r="F246" s="216"/>
      <c r="G246" s="216"/>
      <c r="H246" s="216"/>
      <c r="I246" s="216"/>
      <c r="J246" s="216"/>
      <c r="K246" s="216"/>
      <c r="L246" s="216"/>
      <c r="M246" s="216"/>
      <c r="N246" s="216"/>
      <c r="O246" s="216"/>
      <c r="P246" s="255"/>
    </row>
    <row r="247" spans="2:16" x14ac:dyDescent="0.3">
      <c r="B247" s="33" t="s">
        <v>293</v>
      </c>
      <c r="F247" s="216">
        <f t="shared" ref="F247:P247" si="169">F233+F242+F244+F245</f>
        <v>1079.7618766373</v>
      </c>
      <c r="G247" s="216">
        <f t="shared" si="169"/>
        <v>999.58134737731802</v>
      </c>
      <c r="H247" s="216">
        <f t="shared" si="169"/>
        <v>977.21665323679701</v>
      </c>
      <c r="I247" s="216">
        <f t="shared" si="169"/>
        <v>945.26383217675141</v>
      </c>
      <c r="J247" s="216">
        <f t="shared" si="169"/>
        <v>888.46238131716007</v>
      </c>
      <c r="K247" s="216">
        <f t="shared" si="169"/>
        <v>818.87332818212644</v>
      </c>
      <c r="L247" s="216">
        <f t="shared" si="169"/>
        <v>735.17863732525302</v>
      </c>
      <c r="M247" s="216">
        <f t="shared" si="169"/>
        <v>636.1445064517427</v>
      </c>
      <c r="N247" s="216">
        <f t="shared" si="169"/>
        <v>521.20986266526268</v>
      </c>
      <c r="O247" s="216">
        <f t="shared" si="169"/>
        <v>389.95703340363696</v>
      </c>
      <c r="P247" s="255">
        <f t="shared" si="169"/>
        <v>373.72519649622302</v>
      </c>
    </row>
    <row r="248" spans="2:16" x14ac:dyDescent="0.3">
      <c r="B248" s="5"/>
      <c r="F248" s="216"/>
      <c r="G248" s="216"/>
      <c r="H248" s="216"/>
      <c r="I248" s="216"/>
      <c r="J248" s="216"/>
      <c r="K248" s="216"/>
      <c r="L248" s="216"/>
      <c r="M248" s="216"/>
      <c r="N248" s="216"/>
      <c r="O248" s="216"/>
      <c r="P248" s="255"/>
    </row>
    <row r="249" spans="2:16" x14ac:dyDescent="0.3">
      <c r="B249" s="5" t="s">
        <v>166</v>
      </c>
      <c r="F249" s="216">
        <f t="shared" ref="F249" si="170">$P$155</f>
        <v>150</v>
      </c>
      <c r="G249" s="216">
        <f>G520</f>
        <v>150</v>
      </c>
      <c r="H249" s="216">
        <f t="shared" ref="H249:P249" si="171">H520</f>
        <v>150</v>
      </c>
      <c r="I249" s="216">
        <f t="shared" si="171"/>
        <v>150</v>
      </c>
      <c r="J249" s="216">
        <f t="shared" si="171"/>
        <v>150</v>
      </c>
      <c r="K249" s="216">
        <f t="shared" si="171"/>
        <v>150</v>
      </c>
      <c r="L249" s="216">
        <f t="shared" si="171"/>
        <v>150</v>
      </c>
      <c r="M249" s="216">
        <f t="shared" si="171"/>
        <v>150</v>
      </c>
      <c r="N249" s="216">
        <f t="shared" si="171"/>
        <v>150</v>
      </c>
      <c r="O249" s="216">
        <f t="shared" si="171"/>
        <v>150</v>
      </c>
      <c r="P249" s="255">
        <f t="shared" si="171"/>
        <v>150</v>
      </c>
    </row>
    <row r="250" spans="2:16" x14ac:dyDescent="0.3">
      <c r="B250" s="5" t="s">
        <v>167</v>
      </c>
      <c r="F250" s="258">
        <f>P156</f>
        <v>483</v>
      </c>
      <c r="G250" s="258">
        <f t="shared" ref="G250:P250" si="172">F250+G201</f>
        <v>522.22478198048589</v>
      </c>
      <c r="H250" s="258">
        <f t="shared" si="172"/>
        <v>576.34573578578693</v>
      </c>
      <c r="I250" s="258">
        <f t="shared" si="172"/>
        <v>643.43852714684579</v>
      </c>
      <c r="J250" s="258">
        <f t="shared" si="172"/>
        <v>730.64191601026096</v>
      </c>
      <c r="K250" s="258">
        <f t="shared" si="172"/>
        <v>833.27309605732626</v>
      </c>
      <c r="L250" s="258">
        <f t="shared" si="172"/>
        <v>952.86131784709585</v>
      </c>
      <c r="M250" s="258">
        <f t="shared" si="172"/>
        <v>1080.8657058150582</v>
      </c>
      <c r="N250" s="258">
        <f t="shared" si="172"/>
        <v>1224.4833687266655</v>
      </c>
      <c r="O250" s="258">
        <f t="shared" si="172"/>
        <v>1385.5676009115011</v>
      </c>
      <c r="P250" s="257">
        <f t="shared" si="172"/>
        <v>1560.0355018000564</v>
      </c>
    </row>
    <row r="251" spans="2:16" x14ac:dyDescent="0.3">
      <c r="B251" s="33" t="s">
        <v>129</v>
      </c>
      <c r="F251" s="216">
        <f>SUM(F249:F250)</f>
        <v>633</v>
      </c>
      <c r="G251" s="216">
        <f t="shared" ref="G251:O251" si="173">SUM(G249:G250)</f>
        <v>672.22478198048589</v>
      </c>
      <c r="H251" s="216">
        <f t="shared" si="173"/>
        <v>726.34573578578693</v>
      </c>
      <c r="I251" s="216">
        <f t="shared" si="173"/>
        <v>793.43852714684579</v>
      </c>
      <c r="J251" s="216">
        <f t="shared" si="173"/>
        <v>880.64191601026096</v>
      </c>
      <c r="K251" s="216">
        <f t="shared" si="173"/>
        <v>983.27309605732626</v>
      </c>
      <c r="L251" s="216">
        <f t="shared" si="173"/>
        <v>1102.861317847096</v>
      </c>
      <c r="M251" s="216">
        <f t="shared" si="173"/>
        <v>1230.8657058150582</v>
      </c>
      <c r="N251" s="216">
        <f t="shared" si="173"/>
        <v>1374.4833687266655</v>
      </c>
      <c r="O251" s="216">
        <f t="shared" si="173"/>
        <v>1535.5676009115011</v>
      </c>
      <c r="P251" s="255">
        <f>SUM(P249:P250)</f>
        <v>1710.0355018000564</v>
      </c>
    </row>
    <row r="252" spans="2:16" x14ac:dyDescent="0.3">
      <c r="B252" s="5"/>
      <c r="F252" s="216"/>
      <c r="G252" s="216"/>
      <c r="H252" s="216"/>
      <c r="I252" s="216"/>
      <c r="J252" s="216"/>
      <c r="K252" s="216"/>
      <c r="L252" s="216"/>
      <c r="M252" s="216"/>
      <c r="N252" s="216"/>
      <c r="O252" s="216"/>
      <c r="P252" s="255"/>
    </row>
    <row r="253" spans="2:16" x14ac:dyDescent="0.3">
      <c r="B253" s="5" t="s">
        <v>298</v>
      </c>
      <c r="F253" s="216">
        <f t="shared" ref="F253:P253" si="174">F247+F251</f>
        <v>1712.7618766373</v>
      </c>
      <c r="G253" s="216">
        <f t="shared" si="174"/>
        <v>1671.8061293578039</v>
      </c>
      <c r="H253" s="216">
        <f t="shared" si="174"/>
        <v>1703.5623890225838</v>
      </c>
      <c r="I253" s="216">
        <f t="shared" si="174"/>
        <v>1738.7023593235972</v>
      </c>
      <c r="J253" s="216">
        <f t="shared" si="174"/>
        <v>1769.1042973274211</v>
      </c>
      <c r="K253" s="216">
        <f t="shared" si="174"/>
        <v>1802.1464242394527</v>
      </c>
      <c r="L253" s="216">
        <f t="shared" si="174"/>
        <v>1838.039955172349</v>
      </c>
      <c r="M253" s="216">
        <f t="shared" si="174"/>
        <v>1867.0102122668009</v>
      </c>
      <c r="N253" s="216">
        <f t="shared" si="174"/>
        <v>1895.6932313919283</v>
      </c>
      <c r="O253" s="216">
        <f t="shared" si="174"/>
        <v>1925.524634315138</v>
      </c>
      <c r="P253" s="255">
        <f t="shared" si="174"/>
        <v>2083.7606982962793</v>
      </c>
    </row>
    <row r="254" spans="2:16" x14ac:dyDescent="0.3">
      <c r="B254" s="5"/>
      <c r="F254" s="216"/>
      <c r="G254" s="216"/>
      <c r="H254" s="216"/>
      <c r="I254" s="216"/>
      <c r="J254" s="216"/>
      <c r="K254" s="216"/>
      <c r="L254" s="216"/>
      <c r="M254" s="216"/>
      <c r="N254" s="216"/>
      <c r="O254" s="216"/>
      <c r="P254" s="255"/>
    </row>
    <row r="255" spans="2:16" ht="15" thickBot="1" x14ac:dyDescent="0.35">
      <c r="B255" s="7" t="s">
        <v>301</v>
      </c>
      <c r="C255" s="18"/>
      <c r="D255" s="18"/>
      <c r="E255" s="18"/>
      <c r="F255" s="265">
        <f>ROUND(F253-F226,3)</f>
        <v>0</v>
      </c>
      <c r="G255" s="265">
        <f t="shared" ref="G255:O255" si="175">ROUND(G253-G226,3)</f>
        <v>0</v>
      </c>
      <c r="H255" s="265">
        <f t="shared" si="175"/>
        <v>0</v>
      </c>
      <c r="I255" s="265">
        <f t="shared" si="175"/>
        <v>0</v>
      </c>
      <c r="J255" s="265">
        <f t="shared" si="175"/>
        <v>0</v>
      </c>
      <c r="K255" s="265">
        <f t="shared" si="175"/>
        <v>0</v>
      </c>
      <c r="L255" s="265">
        <f t="shared" si="175"/>
        <v>0</v>
      </c>
      <c r="M255" s="265">
        <f t="shared" si="175"/>
        <v>0</v>
      </c>
      <c r="N255" s="265">
        <f t="shared" si="175"/>
        <v>0</v>
      </c>
      <c r="O255" s="265">
        <f t="shared" si="175"/>
        <v>0</v>
      </c>
      <c r="P255" s="266">
        <f>ROUND(P253-P226,3)</f>
        <v>0</v>
      </c>
    </row>
    <row r="257" spans="2:16" x14ac:dyDescent="0.3">
      <c r="G257" s="216"/>
    </row>
    <row r="261" spans="2:16" x14ac:dyDescent="0.3">
      <c r="B261" s="415" t="s">
        <v>319</v>
      </c>
      <c r="C261" s="415"/>
      <c r="D261" s="415"/>
      <c r="E261" s="415"/>
      <c r="F261" s="415"/>
      <c r="G261" s="415"/>
      <c r="H261" s="415"/>
      <c r="I261" s="415"/>
      <c r="J261" s="415"/>
      <c r="K261" s="415"/>
      <c r="L261" s="415"/>
      <c r="M261" s="415"/>
      <c r="N261" s="415"/>
      <c r="O261" s="415"/>
      <c r="P261" s="415"/>
    </row>
    <row r="262" spans="2:16" ht="15" thickBot="1" x14ac:dyDescent="0.35">
      <c r="B262" s="53"/>
    </row>
    <row r="263" spans="2:16" x14ac:dyDescent="0.3">
      <c r="B263" s="57"/>
      <c r="C263" s="9"/>
      <c r="D263" s="9"/>
      <c r="E263" s="9"/>
      <c r="F263" s="9"/>
      <c r="G263" s="411" t="str">
        <f>"Projected Fiscal Years Ending "&amp;Y13</f>
        <v>Projected Fiscal Years Ending December 31,</v>
      </c>
      <c r="H263" s="408"/>
      <c r="I263" s="408"/>
      <c r="J263" s="408"/>
      <c r="K263" s="408"/>
      <c r="L263" s="408"/>
      <c r="M263" s="408"/>
      <c r="N263" s="408"/>
      <c r="O263" s="408"/>
      <c r="P263" s="412"/>
    </row>
    <row r="264" spans="2:16" x14ac:dyDescent="0.3">
      <c r="B264" s="61"/>
      <c r="G264" s="26">
        <f>Y12</f>
        <v>2024</v>
      </c>
      <c r="H264" s="27">
        <f t="shared" ref="H264" si="176">G264+1</f>
        <v>2025</v>
      </c>
      <c r="I264" s="27">
        <f t="shared" ref="I264" si="177">H264+1</f>
        <v>2026</v>
      </c>
      <c r="J264" s="27">
        <f t="shared" ref="J264" si="178">I264+1</f>
        <v>2027</v>
      </c>
      <c r="K264" s="27">
        <f t="shared" ref="K264" si="179">J264+1</f>
        <v>2028</v>
      </c>
      <c r="L264" s="27">
        <f t="shared" ref="L264" si="180">K264+1</f>
        <v>2029</v>
      </c>
      <c r="M264" s="27">
        <f t="shared" ref="M264" si="181">L264+1</f>
        <v>2030</v>
      </c>
      <c r="N264" s="27">
        <f t="shared" ref="N264" si="182">M264+1</f>
        <v>2031</v>
      </c>
      <c r="O264" s="27">
        <f t="shared" ref="O264" si="183">N264+1</f>
        <v>2032</v>
      </c>
      <c r="P264" s="30">
        <f t="shared" ref="P264" si="184">O264+1</f>
        <v>2033</v>
      </c>
    </row>
    <row r="265" spans="2:16" x14ac:dyDescent="0.3">
      <c r="B265" s="91" t="s">
        <v>320</v>
      </c>
      <c r="P265" s="16"/>
    </row>
    <row r="266" spans="2:16" x14ac:dyDescent="0.3">
      <c r="B266" s="61" t="s">
        <v>321</v>
      </c>
      <c r="G266" s="216">
        <f t="shared" ref="G266:P266" si="185">G201</f>
        <v>39.224781980485936</v>
      </c>
      <c r="H266" s="216">
        <f t="shared" si="185"/>
        <v>54.120953805301085</v>
      </c>
      <c r="I266" s="216">
        <f t="shared" si="185"/>
        <v>67.092791361058829</v>
      </c>
      <c r="J266" s="216">
        <f t="shared" si="185"/>
        <v>87.203388863415171</v>
      </c>
      <c r="K266" s="216">
        <f t="shared" si="185"/>
        <v>102.63118004706536</v>
      </c>
      <c r="L266" s="216">
        <f t="shared" si="185"/>
        <v>119.58822178976962</v>
      </c>
      <c r="M266" s="216">
        <f t="shared" si="185"/>
        <v>128.0043879679624</v>
      </c>
      <c r="N266" s="216">
        <f t="shared" si="185"/>
        <v>143.61766291160743</v>
      </c>
      <c r="O266" s="216">
        <f t="shared" si="185"/>
        <v>161.08423218483557</v>
      </c>
      <c r="P266" s="255">
        <f t="shared" si="185"/>
        <v>174.46790088855516</v>
      </c>
    </row>
    <row r="267" spans="2:16" x14ac:dyDescent="0.3">
      <c r="B267" s="61" t="s">
        <v>322</v>
      </c>
      <c r="G267" s="216">
        <f t="shared" ref="G267:P267" si="186">G459</f>
        <v>0</v>
      </c>
      <c r="H267" s="216">
        <f t="shared" si="186"/>
        <v>1.0630097343250964</v>
      </c>
      <c r="I267" s="216">
        <f t="shared" si="186"/>
        <v>0.16649984887710545</v>
      </c>
      <c r="J267" s="216">
        <f t="shared" si="186"/>
        <v>0</v>
      </c>
      <c r="K267" s="216">
        <f t="shared" si="186"/>
        <v>0</v>
      </c>
      <c r="L267" s="216">
        <f t="shared" si="186"/>
        <v>0</v>
      </c>
      <c r="M267" s="216">
        <f t="shared" si="186"/>
        <v>0</v>
      </c>
      <c r="N267" s="216">
        <f t="shared" si="186"/>
        <v>0</v>
      </c>
      <c r="O267" s="216">
        <f t="shared" si="186"/>
        <v>0</v>
      </c>
      <c r="P267" s="255">
        <f t="shared" si="186"/>
        <v>0</v>
      </c>
    </row>
    <row r="268" spans="2:16" x14ac:dyDescent="0.3">
      <c r="B268" s="61" t="s">
        <v>305</v>
      </c>
      <c r="G268" s="216">
        <f t="shared" ref="G268:P268" si="187">G175</f>
        <v>37.662872542778871</v>
      </c>
      <c r="H268" s="216">
        <f t="shared" si="187"/>
        <v>39.533075127301821</v>
      </c>
      <c r="I268" s="216">
        <f t="shared" si="187"/>
        <v>41.590297970277071</v>
      </c>
      <c r="J268" s="216">
        <f t="shared" si="187"/>
        <v>33.920230723320614</v>
      </c>
      <c r="K268" s="216">
        <f t="shared" si="187"/>
        <v>35.875415313284293</v>
      </c>
      <c r="L268" s="216">
        <f t="shared" si="187"/>
        <v>37.987014670445056</v>
      </c>
      <c r="M268" s="216">
        <f t="shared" si="187"/>
        <v>39.697410149745281</v>
      </c>
      <c r="N268" s="216">
        <f t="shared" si="187"/>
        <v>41.208259489793811</v>
      </c>
      <c r="O268" s="216">
        <f t="shared" si="187"/>
        <v>38.054439622457423</v>
      </c>
      <c r="P268" s="255">
        <f t="shared" si="187"/>
        <v>39.720151019860928</v>
      </c>
    </row>
    <row r="269" spans="2:16" x14ac:dyDescent="0.3">
      <c r="B269" s="61" t="s">
        <v>323</v>
      </c>
      <c r="G269" s="216">
        <f t="shared" ref="G269:P269" si="188">G176</f>
        <v>3.12</v>
      </c>
      <c r="H269" s="216">
        <f t="shared" si="188"/>
        <v>3.12</v>
      </c>
      <c r="I269" s="216">
        <f t="shared" si="188"/>
        <v>3.12</v>
      </c>
      <c r="J269" s="216">
        <f t="shared" si="188"/>
        <v>3.12</v>
      </c>
      <c r="K269" s="216">
        <f t="shared" si="188"/>
        <v>3.12</v>
      </c>
      <c r="L269" s="216">
        <f t="shared" si="188"/>
        <v>3.12</v>
      </c>
      <c r="M269" s="216">
        <f t="shared" si="188"/>
        <v>3.12</v>
      </c>
      <c r="N269" s="216">
        <f t="shared" si="188"/>
        <v>0</v>
      </c>
      <c r="O269" s="216">
        <f t="shared" si="188"/>
        <v>0</v>
      </c>
      <c r="P269" s="255">
        <f t="shared" si="188"/>
        <v>0</v>
      </c>
    </row>
    <row r="270" spans="2:16" x14ac:dyDescent="0.3">
      <c r="B270" s="61" t="s">
        <v>324</v>
      </c>
      <c r="G270" s="139"/>
      <c r="H270" s="139"/>
      <c r="I270" s="139"/>
      <c r="J270" s="139"/>
      <c r="K270" s="139"/>
      <c r="L270" s="139"/>
      <c r="M270" s="139"/>
      <c r="N270" s="139"/>
      <c r="O270" s="139"/>
      <c r="P270" s="97"/>
    </row>
    <row r="271" spans="2:16" x14ac:dyDescent="0.3">
      <c r="B271" s="65" t="str">
        <f>V34</f>
        <v>Senior Unsecured Debt</v>
      </c>
      <c r="G271" s="216">
        <f t="shared" ref="G271:P271" si="189">G494</f>
        <v>0</v>
      </c>
      <c r="H271" s="216">
        <f t="shared" si="189"/>
        <v>0</v>
      </c>
      <c r="I271" s="216">
        <f t="shared" si="189"/>
        <v>0</v>
      </c>
      <c r="J271" s="216">
        <f t="shared" si="189"/>
        <v>0</v>
      </c>
      <c r="K271" s="216">
        <f t="shared" si="189"/>
        <v>0</v>
      </c>
      <c r="L271" s="216">
        <f t="shared" si="189"/>
        <v>0</v>
      </c>
      <c r="M271" s="216">
        <f t="shared" si="189"/>
        <v>0</v>
      </c>
      <c r="N271" s="216">
        <f t="shared" si="189"/>
        <v>0</v>
      </c>
      <c r="O271" s="216">
        <f t="shared" si="189"/>
        <v>0</v>
      </c>
      <c r="P271" s="255">
        <f t="shared" si="189"/>
        <v>0</v>
      </c>
    </row>
    <row r="272" spans="2:16" x14ac:dyDescent="0.3">
      <c r="B272" s="65" t="str">
        <f>V35</f>
        <v>Subordinated Debt</v>
      </c>
      <c r="G272" s="216">
        <f t="shared" ref="G272:P272" si="190">G502</f>
        <v>22.318800000000003</v>
      </c>
      <c r="H272" s="216">
        <f t="shared" si="190"/>
        <v>23.881116000000006</v>
      </c>
      <c r="I272" s="216">
        <f t="shared" si="190"/>
        <v>25.552794120000005</v>
      </c>
      <c r="J272" s="216">
        <f t="shared" si="190"/>
        <v>27.341489708400005</v>
      </c>
      <c r="K272" s="216">
        <f t="shared" si="190"/>
        <v>23.267226259046659</v>
      </c>
      <c r="L272" s="216">
        <f t="shared" si="190"/>
        <v>0</v>
      </c>
      <c r="M272" s="216">
        <f t="shared" si="190"/>
        <v>0</v>
      </c>
      <c r="N272" s="216">
        <f t="shared" si="190"/>
        <v>0</v>
      </c>
      <c r="O272" s="216">
        <f t="shared" si="190"/>
        <v>0</v>
      </c>
      <c r="P272" s="255">
        <f t="shared" si="190"/>
        <v>0</v>
      </c>
    </row>
    <row r="273" spans="2:16" x14ac:dyDescent="0.3">
      <c r="B273" s="65" t="str">
        <f>V36</f>
        <v>Mezzanine</v>
      </c>
      <c r="G273" s="216">
        <f t="shared" ref="G273:P273" si="191">G510</f>
        <v>6</v>
      </c>
      <c r="H273" s="216">
        <f t="shared" si="191"/>
        <v>6.3599999999999994</v>
      </c>
      <c r="I273" s="216">
        <f t="shared" si="191"/>
        <v>6.7416</v>
      </c>
      <c r="J273" s="216">
        <f t="shared" si="191"/>
        <v>7.146096</v>
      </c>
      <c r="K273" s="216">
        <f t="shared" si="191"/>
        <v>7.5748617600000001</v>
      </c>
      <c r="L273" s="216">
        <f t="shared" si="191"/>
        <v>0</v>
      </c>
      <c r="M273" s="216">
        <f t="shared" si="191"/>
        <v>0</v>
      </c>
      <c r="N273" s="216">
        <f t="shared" si="191"/>
        <v>0</v>
      </c>
      <c r="O273" s="216">
        <f t="shared" si="191"/>
        <v>0</v>
      </c>
      <c r="P273" s="255">
        <f t="shared" si="191"/>
        <v>0</v>
      </c>
    </row>
    <row r="274" spans="2:16" x14ac:dyDescent="0.3">
      <c r="B274" s="65" t="str">
        <f>V37</f>
        <v>Preferred Stock</v>
      </c>
      <c r="G274" s="258">
        <f t="shared" ref="G274:P274" si="192">G518</f>
        <v>0</v>
      </c>
      <c r="H274" s="258">
        <f t="shared" si="192"/>
        <v>0</v>
      </c>
      <c r="I274" s="258">
        <f t="shared" si="192"/>
        <v>0</v>
      </c>
      <c r="J274" s="258">
        <f t="shared" si="192"/>
        <v>0</v>
      </c>
      <c r="K274" s="258">
        <f t="shared" si="192"/>
        <v>0</v>
      </c>
      <c r="L274" s="258">
        <f t="shared" si="192"/>
        <v>0</v>
      </c>
      <c r="M274" s="258">
        <f t="shared" si="192"/>
        <v>0</v>
      </c>
      <c r="N274" s="258">
        <f t="shared" si="192"/>
        <v>0</v>
      </c>
      <c r="O274" s="258">
        <f t="shared" si="192"/>
        <v>0</v>
      </c>
      <c r="P274" s="257">
        <f t="shared" si="192"/>
        <v>0</v>
      </c>
    </row>
    <row r="275" spans="2:16" x14ac:dyDescent="0.3">
      <c r="B275" s="61" t="s">
        <v>325</v>
      </c>
      <c r="G275" s="216">
        <f>SUM(G266:G269)+SUM(G271:G274)</f>
        <v>108.32645452326483</v>
      </c>
      <c r="H275" s="216">
        <f t="shared" ref="H275:O275" si="193">SUM(H266:H269)+SUM(H271:H274)</f>
        <v>128.07815466692801</v>
      </c>
      <c r="I275" s="216">
        <f t="shared" si="193"/>
        <v>144.263983300213</v>
      </c>
      <c r="J275" s="216">
        <f t="shared" si="193"/>
        <v>158.73120529513579</v>
      </c>
      <c r="K275" s="216">
        <f t="shared" si="193"/>
        <v>172.46868337939631</v>
      </c>
      <c r="L275" s="216">
        <f t="shared" si="193"/>
        <v>160.69523646021469</v>
      </c>
      <c r="M275" s="216">
        <f t="shared" si="193"/>
        <v>170.82179811770769</v>
      </c>
      <c r="N275" s="216">
        <f t="shared" si="193"/>
        <v>184.82592240140124</v>
      </c>
      <c r="O275" s="216">
        <f t="shared" si="193"/>
        <v>199.13867180729301</v>
      </c>
      <c r="P275" s="255">
        <f>SUM(P266:P269)+SUM(P271:P274)</f>
        <v>214.1880519084161</v>
      </c>
    </row>
    <row r="276" spans="2:16" x14ac:dyDescent="0.3">
      <c r="B276" s="61"/>
      <c r="G276" s="139"/>
      <c r="H276" s="139"/>
      <c r="I276" s="139"/>
      <c r="J276" s="139"/>
      <c r="K276" s="139"/>
      <c r="L276" s="139"/>
      <c r="M276" s="139"/>
      <c r="N276" s="139"/>
      <c r="O276" s="139"/>
      <c r="P276" s="97"/>
    </row>
    <row r="277" spans="2:16" x14ac:dyDescent="0.3">
      <c r="B277" s="61" t="s">
        <v>326</v>
      </c>
      <c r="G277" s="216">
        <f t="shared" ref="G277:P277" si="194">F212-G212</f>
        <v>-19.73415736015447</v>
      </c>
      <c r="H277" s="216">
        <f t="shared" si="194"/>
        <v>-13.250077084675155</v>
      </c>
      <c r="I277" s="216">
        <f t="shared" si="194"/>
        <v>-14.575084793142679</v>
      </c>
      <c r="J277" s="216">
        <f t="shared" si="194"/>
        <v>-12.82607461796556</v>
      </c>
      <c r="K277" s="216">
        <f t="shared" si="194"/>
        <v>-13.852160587402778</v>
      </c>
      <c r="L277" s="216">
        <f t="shared" si="194"/>
        <v>-14.960333434395039</v>
      </c>
      <c r="M277" s="216">
        <f t="shared" si="194"/>
        <v>-12.117870081859962</v>
      </c>
      <c r="N277" s="216">
        <f t="shared" si="194"/>
        <v>-10.704118572309625</v>
      </c>
      <c r="O277" s="216">
        <f t="shared" si="194"/>
        <v>-11.239324500925107</v>
      </c>
      <c r="P277" s="255">
        <f t="shared" si="194"/>
        <v>-11.801290725971398</v>
      </c>
    </row>
    <row r="278" spans="2:16" x14ac:dyDescent="0.3">
      <c r="B278" s="61" t="s">
        <v>327</v>
      </c>
      <c r="G278" s="216">
        <f t="shared" ref="G278:P278" si="195">F213-G213</f>
        <v>-48.161002699905481</v>
      </c>
      <c r="H278" s="216">
        <f t="shared" si="195"/>
        <v>-19.260544712275532</v>
      </c>
      <c r="I278" s="216">
        <f t="shared" si="195"/>
        <v>-21.186599183503148</v>
      </c>
      <c r="J278" s="216">
        <f t="shared" si="195"/>
        <v>-18.64420728148275</v>
      </c>
      <c r="K278" s="216">
        <f t="shared" si="195"/>
        <v>-20.135743864001341</v>
      </c>
      <c r="L278" s="216">
        <f t="shared" si="195"/>
        <v>-21.746603373121502</v>
      </c>
      <c r="M278" s="216">
        <f t="shared" si="195"/>
        <v>-17.61474873222835</v>
      </c>
      <c r="N278" s="216">
        <f t="shared" si="195"/>
        <v>-15.559694713468389</v>
      </c>
      <c r="O278" s="216">
        <f t="shared" si="195"/>
        <v>-16.337679449141831</v>
      </c>
      <c r="P278" s="255">
        <f t="shared" si="195"/>
        <v>-17.154563421598994</v>
      </c>
    </row>
    <row r="279" spans="2:16" x14ac:dyDescent="0.3">
      <c r="B279" s="61" t="s">
        <v>328</v>
      </c>
      <c r="G279" s="216">
        <f t="shared" ref="G279:P279" si="196">F214-G214</f>
        <v>-0.29641148320927502</v>
      </c>
      <c r="H279" s="216">
        <f t="shared" si="196"/>
        <v>-0.19901913872622767</v>
      </c>
      <c r="I279" s="216">
        <f t="shared" si="196"/>
        <v>-0.21892105259885053</v>
      </c>
      <c r="J279" s="216">
        <f t="shared" si="196"/>
        <v>-0.1926505262869882</v>
      </c>
      <c r="K279" s="216">
        <f t="shared" si="196"/>
        <v>-0.20806256838994752</v>
      </c>
      <c r="L279" s="216">
        <f t="shared" si="196"/>
        <v>-0.22470757386114348</v>
      </c>
      <c r="M279" s="216">
        <f t="shared" si="196"/>
        <v>-0.18201313482752601</v>
      </c>
      <c r="N279" s="216">
        <f t="shared" si="196"/>
        <v>-0.16077826909764781</v>
      </c>
      <c r="O279" s="216">
        <f t="shared" si="196"/>
        <v>-0.1688171825525302</v>
      </c>
      <c r="P279" s="255">
        <f t="shared" si="196"/>
        <v>-0.1772580416801568</v>
      </c>
    </row>
    <row r="280" spans="2:16" x14ac:dyDescent="0.3">
      <c r="B280" s="61" t="s">
        <v>329</v>
      </c>
      <c r="G280" s="216">
        <f t="shared" ref="G280:P280" si="197">G231-F231</f>
        <v>3.4051264698755404</v>
      </c>
      <c r="H280" s="216">
        <f t="shared" si="197"/>
        <v>1.3617779312580538</v>
      </c>
      <c r="I280" s="216">
        <f t="shared" si="197"/>
        <v>1.4979557243838624</v>
      </c>
      <c r="J280" s="216">
        <f t="shared" si="197"/>
        <v>1.318201037457797</v>
      </c>
      <c r="K280" s="216">
        <f t="shared" si="197"/>
        <v>1.4236571204544184</v>
      </c>
      <c r="L280" s="216">
        <f t="shared" si="197"/>
        <v>1.5375496900907777</v>
      </c>
      <c r="M280" s="216">
        <f t="shared" si="197"/>
        <v>1.2454152489735257</v>
      </c>
      <c r="N280" s="216">
        <f t="shared" si="197"/>
        <v>1.1001168032599473</v>
      </c>
      <c r="O280" s="216">
        <f t="shared" si="197"/>
        <v>1.1551226434229456</v>
      </c>
      <c r="P280" s="255">
        <f t="shared" si="197"/>
        <v>1.2128787755940991</v>
      </c>
    </row>
    <row r="281" spans="2:16" x14ac:dyDescent="0.3">
      <c r="B281" s="61" t="s">
        <v>330</v>
      </c>
      <c r="G281" s="258">
        <f t="shared" ref="G281:P281" si="198">G232-F232</f>
        <v>25.546650713884134</v>
      </c>
      <c r="H281" s="258">
        <f t="shared" si="198"/>
        <v>17.152751193607912</v>
      </c>
      <c r="I281" s="258">
        <f t="shared" si="198"/>
        <v>18.868026312968709</v>
      </c>
      <c r="J281" s="258">
        <f t="shared" si="198"/>
        <v>16.603863155412483</v>
      </c>
      <c r="K281" s="258">
        <f t="shared" si="198"/>
        <v>17.932172207845468</v>
      </c>
      <c r="L281" s="258">
        <f t="shared" si="198"/>
        <v>19.366745984473141</v>
      </c>
      <c r="M281" s="258">
        <f t="shared" si="198"/>
        <v>15.687064247423166</v>
      </c>
      <c r="N281" s="258">
        <f t="shared" si="198"/>
        <v>13.856906751890506</v>
      </c>
      <c r="O281" s="258">
        <f t="shared" si="198"/>
        <v>14.549752089485025</v>
      </c>
      <c r="P281" s="257">
        <f t="shared" si="198"/>
        <v>15.277239693959302</v>
      </c>
    </row>
    <row r="282" spans="2:16" x14ac:dyDescent="0.3">
      <c r="B282" s="61" t="s">
        <v>331</v>
      </c>
      <c r="G282" s="216">
        <f>SUM(G277:G281)</f>
        <v>-39.239794359509546</v>
      </c>
      <c r="H282" s="216">
        <f t="shared" ref="H282:P282" si="199">SUM(H277:H281)</f>
        <v>-14.19511181081095</v>
      </c>
      <c r="I282" s="216">
        <f t="shared" si="199"/>
        <v>-15.614622991892105</v>
      </c>
      <c r="J282" s="216">
        <f t="shared" si="199"/>
        <v>-13.740868232865019</v>
      </c>
      <c r="K282" s="216">
        <f t="shared" si="199"/>
        <v>-14.840137691494178</v>
      </c>
      <c r="L282" s="216">
        <f t="shared" si="199"/>
        <v>-16.027348706813768</v>
      </c>
      <c r="M282" s="216">
        <f t="shared" si="199"/>
        <v>-12.982152452519145</v>
      </c>
      <c r="N282" s="216">
        <f t="shared" si="199"/>
        <v>-11.467567999725208</v>
      </c>
      <c r="O282" s="216">
        <f t="shared" si="199"/>
        <v>-12.040946399711498</v>
      </c>
      <c r="P282" s="255">
        <f t="shared" si="199"/>
        <v>-12.642993719697149</v>
      </c>
    </row>
    <row r="283" spans="2:16" x14ac:dyDescent="0.3">
      <c r="B283" s="61"/>
      <c r="G283" s="139"/>
      <c r="H283" s="139"/>
      <c r="I283" s="139"/>
      <c r="J283" s="139"/>
      <c r="K283" s="139"/>
      <c r="L283" s="139"/>
      <c r="M283" s="139"/>
      <c r="N283" s="139"/>
      <c r="O283" s="139"/>
      <c r="P283" s="97"/>
    </row>
    <row r="284" spans="2:16" x14ac:dyDescent="0.3">
      <c r="B284" s="91" t="s">
        <v>332</v>
      </c>
      <c r="G284" s="216">
        <f>G275+G282</f>
        <v>69.086660163755283</v>
      </c>
      <c r="H284" s="216">
        <f t="shared" ref="H284:O284" si="200">H275+H282</f>
        <v>113.88304285611707</v>
      </c>
      <c r="I284" s="216">
        <f t="shared" si="200"/>
        <v>128.64936030832089</v>
      </c>
      <c r="J284" s="216">
        <f t="shared" si="200"/>
        <v>144.99033706227078</v>
      </c>
      <c r="K284" s="216">
        <f t="shared" si="200"/>
        <v>157.62854568790215</v>
      </c>
      <c r="L284" s="216">
        <f t="shared" si="200"/>
        <v>144.66788775340092</v>
      </c>
      <c r="M284" s="216">
        <f t="shared" si="200"/>
        <v>157.83964566518853</v>
      </c>
      <c r="N284" s="216">
        <f t="shared" si="200"/>
        <v>173.35835440167602</v>
      </c>
      <c r="O284" s="216">
        <f t="shared" si="200"/>
        <v>187.09772540758152</v>
      </c>
      <c r="P284" s="255">
        <f>P275+P282</f>
        <v>201.54505818871894</v>
      </c>
    </row>
    <row r="285" spans="2:16" x14ac:dyDescent="0.3">
      <c r="B285" s="61"/>
      <c r="G285" s="139"/>
      <c r="H285" s="139"/>
      <c r="I285" s="139"/>
      <c r="J285" s="139"/>
      <c r="K285" s="139"/>
      <c r="L285" s="139"/>
      <c r="M285" s="139"/>
      <c r="N285" s="139"/>
      <c r="O285" s="139"/>
      <c r="P285" s="97"/>
    </row>
    <row r="286" spans="2:16" x14ac:dyDescent="0.3">
      <c r="B286" s="91" t="s">
        <v>333</v>
      </c>
      <c r="G286" s="139"/>
      <c r="H286" s="139"/>
      <c r="I286" s="139"/>
      <c r="J286" s="139"/>
      <c r="K286" s="139"/>
      <c r="L286" s="139"/>
      <c r="M286" s="139"/>
      <c r="N286" s="139"/>
      <c r="O286" s="139"/>
      <c r="P286" s="97"/>
    </row>
    <row r="287" spans="2:16" x14ac:dyDescent="0.3">
      <c r="B287" s="65" t="s">
        <v>215</v>
      </c>
      <c r="G287" s="272">
        <f>G82</f>
        <v>39.726994414913655</v>
      </c>
      <c r="H287" s="272">
        <f t="shared" ref="H287:P287" si="201">H82</f>
        <v>41.69969385640502</v>
      </c>
      <c r="I287" s="272">
        <f t="shared" si="201"/>
        <v>43.869663242045519</v>
      </c>
      <c r="J287" s="272">
        <f t="shared" si="201"/>
        <v>35.779236301409171</v>
      </c>
      <c r="K287" s="272">
        <f t="shared" si="201"/>
        <v>37.841575205521906</v>
      </c>
      <c r="L287" s="272">
        <f t="shared" si="201"/>
        <v>40.068901221963657</v>
      </c>
      <c r="M287" s="272">
        <f t="shared" si="201"/>
        <v>41.873035295281475</v>
      </c>
      <c r="N287" s="272">
        <f t="shared" si="201"/>
        <v>43.466687060045551</v>
      </c>
      <c r="O287" s="272">
        <f t="shared" si="201"/>
        <v>40.140021413047826</v>
      </c>
      <c r="P287" s="343">
        <f t="shared" si="201"/>
        <v>41.897022483700219</v>
      </c>
    </row>
    <row r="288" spans="2:16" x14ac:dyDescent="0.3">
      <c r="B288" s="5"/>
      <c r="G288" s="139"/>
      <c r="H288" s="139"/>
      <c r="I288" s="139"/>
      <c r="J288" s="139"/>
      <c r="K288" s="139"/>
      <c r="L288" s="139"/>
      <c r="M288" s="139"/>
      <c r="N288" s="139"/>
      <c r="O288" s="139"/>
      <c r="P288" s="97"/>
    </row>
    <row r="289" spans="2:16" x14ac:dyDescent="0.3">
      <c r="B289" s="61" t="s">
        <v>334</v>
      </c>
      <c r="G289" s="216">
        <f>G284-G287</f>
        <v>29.359665748841628</v>
      </c>
      <c r="H289" s="216">
        <f t="shared" ref="H289:P289" si="202">H284-H287</f>
        <v>72.183348999712052</v>
      </c>
      <c r="I289" s="216">
        <f t="shared" si="202"/>
        <v>84.779697066275375</v>
      </c>
      <c r="J289" s="216">
        <f t="shared" si="202"/>
        <v>109.21110076086161</v>
      </c>
      <c r="K289" s="216">
        <f t="shared" si="202"/>
        <v>119.78697048238024</v>
      </c>
      <c r="L289" s="216">
        <f t="shared" si="202"/>
        <v>104.59898653143726</v>
      </c>
      <c r="M289" s="216">
        <f t="shared" si="202"/>
        <v>115.96661036990704</v>
      </c>
      <c r="N289" s="216">
        <f t="shared" si="202"/>
        <v>129.89166734163047</v>
      </c>
      <c r="O289" s="216">
        <f t="shared" si="202"/>
        <v>146.95770399453369</v>
      </c>
      <c r="P289" s="255">
        <f t="shared" si="202"/>
        <v>159.64803570501871</v>
      </c>
    </row>
    <row r="290" spans="2:16" x14ac:dyDescent="0.3">
      <c r="B290" s="61"/>
      <c r="G290" s="139"/>
      <c r="H290" s="139"/>
      <c r="I290" s="139"/>
      <c r="J290" s="139"/>
      <c r="K290" s="139"/>
      <c r="L290" s="139"/>
      <c r="M290" s="139"/>
      <c r="N290" s="139"/>
      <c r="O290" s="139"/>
      <c r="P290" s="97"/>
    </row>
    <row r="291" spans="2:16" x14ac:dyDescent="0.3">
      <c r="B291" s="91" t="s">
        <v>335</v>
      </c>
      <c r="G291" s="139"/>
      <c r="H291" s="139"/>
      <c r="I291" s="139"/>
      <c r="J291" s="139"/>
      <c r="K291" s="139"/>
      <c r="L291" s="139"/>
      <c r="M291" s="139"/>
      <c r="N291" s="139"/>
      <c r="O291" s="139"/>
      <c r="P291" s="97"/>
    </row>
    <row r="292" spans="2:16" x14ac:dyDescent="0.3">
      <c r="B292" s="61" t="s">
        <v>336</v>
      </c>
      <c r="G292" s="139"/>
      <c r="H292" s="139"/>
      <c r="I292" s="139"/>
      <c r="J292" s="139"/>
      <c r="K292" s="139"/>
      <c r="L292" s="139"/>
      <c r="M292" s="139"/>
      <c r="N292" s="139"/>
      <c r="O292" s="139"/>
      <c r="P292" s="97"/>
    </row>
    <row r="293" spans="2:16" x14ac:dyDescent="0.3">
      <c r="B293" s="65" t="s">
        <v>196</v>
      </c>
      <c r="G293" s="216">
        <v>0</v>
      </c>
      <c r="H293" s="216">
        <v>0</v>
      </c>
      <c r="I293" s="216">
        <v>0</v>
      </c>
      <c r="J293" s="216">
        <v>0</v>
      </c>
      <c r="K293" s="216">
        <v>0</v>
      </c>
      <c r="L293" s="216">
        <v>0</v>
      </c>
      <c r="M293" s="216">
        <v>0</v>
      </c>
      <c r="N293" s="216">
        <v>0</v>
      </c>
      <c r="O293" s="216">
        <v>0</v>
      </c>
      <c r="P293" s="255">
        <v>0</v>
      </c>
    </row>
    <row r="294" spans="2:16" x14ac:dyDescent="0.3">
      <c r="B294" s="65" t="s">
        <v>203</v>
      </c>
      <c r="G294" s="216">
        <v>0</v>
      </c>
      <c r="H294" s="216">
        <v>0</v>
      </c>
      <c r="I294" s="216">
        <v>0</v>
      </c>
      <c r="J294" s="216">
        <v>0</v>
      </c>
      <c r="K294" s="216">
        <v>0</v>
      </c>
      <c r="L294" s="216">
        <v>0</v>
      </c>
      <c r="M294" s="216">
        <v>0</v>
      </c>
      <c r="N294" s="216">
        <v>0</v>
      </c>
      <c r="O294" s="216">
        <v>0</v>
      </c>
      <c r="P294" s="255">
        <v>0</v>
      </c>
    </row>
    <row r="295" spans="2:16" x14ac:dyDescent="0.3">
      <c r="B295" s="65" t="str">
        <f>V33</f>
        <v>Term Loan</v>
      </c>
      <c r="G295" s="216">
        <f t="shared" ref="G295:P295" si="203">G487</f>
        <v>40</v>
      </c>
      <c r="H295" s="216">
        <f t="shared" si="203"/>
        <v>32</v>
      </c>
      <c r="I295" s="216">
        <f t="shared" si="203"/>
        <v>25.6</v>
      </c>
      <c r="J295" s="216">
        <f t="shared" si="203"/>
        <v>20.480000000000004</v>
      </c>
      <c r="K295" s="216">
        <f t="shared" si="203"/>
        <v>16.384</v>
      </c>
      <c r="L295" s="216">
        <f t="shared" si="203"/>
        <v>13.107200000000001</v>
      </c>
      <c r="M295" s="216">
        <f t="shared" si="203"/>
        <v>10.485760000000001</v>
      </c>
      <c r="N295" s="216">
        <f t="shared" si="203"/>
        <v>8.3886080000000014</v>
      </c>
      <c r="O295" s="216">
        <f t="shared" si="203"/>
        <v>6.7108864000000015</v>
      </c>
      <c r="P295" s="255">
        <f t="shared" si="203"/>
        <v>5.3687091200000019</v>
      </c>
    </row>
    <row r="296" spans="2:16" x14ac:dyDescent="0.3">
      <c r="B296" s="65" t="str">
        <f>V34</f>
        <v>Senior Unsecured Debt</v>
      </c>
      <c r="G296" s="216">
        <f t="shared" ref="G296:P296" si="204">G495</f>
        <v>0</v>
      </c>
      <c r="H296" s="216">
        <f t="shared" si="204"/>
        <v>0</v>
      </c>
      <c r="I296" s="216">
        <f t="shared" si="204"/>
        <v>0</v>
      </c>
      <c r="J296" s="216">
        <f t="shared" si="204"/>
        <v>0</v>
      </c>
      <c r="K296" s="216">
        <f t="shared" si="204"/>
        <v>0</v>
      </c>
      <c r="L296" s="216">
        <f t="shared" si="204"/>
        <v>0</v>
      </c>
      <c r="M296" s="216">
        <f t="shared" si="204"/>
        <v>0</v>
      </c>
      <c r="N296" s="216">
        <f t="shared" si="204"/>
        <v>0</v>
      </c>
      <c r="O296" s="216">
        <f t="shared" si="204"/>
        <v>0</v>
      </c>
      <c r="P296" s="255">
        <f t="shared" si="204"/>
        <v>0</v>
      </c>
    </row>
    <row r="297" spans="2:16" x14ac:dyDescent="0.3">
      <c r="B297" s="65" t="str">
        <f t="shared" ref="B297:B299" si="205">V35</f>
        <v>Subordinated Debt</v>
      </c>
      <c r="G297" s="216">
        <f t="shared" ref="G297:P297" si="206">G503</f>
        <v>0</v>
      </c>
      <c r="H297" s="216">
        <f t="shared" si="206"/>
        <v>0</v>
      </c>
      <c r="I297" s="216">
        <f t="shared" si="206"/>
        <v>0</v>
      </c>
      <c r="J297" s="216">
        <f t="shared" si="206"/>
        <v>0</v>
      </c>
      <c r="K297" s="216">
        <f t="shared" si="206"/>
        <v>0</v>
      </c>
      <c r="L297" s="216">
        <f t="shared" si="206"/>
        <v>0</v>
      </c>
      <c r="M297" s="216">
        <f t="shared" si="206"/>
        <v>0</v>
      </c>
      <c r="N297" s="216">
        <f t="shared" si="206"/>
        <v>0</v>
      </c>
      <c r="O297" s="216">
        <f t="shared" si="206"/>
        <v>0</v>
      </c>
      <c r="P297" s="255">
        <f t="shared" si="206"/>
        <v>0</v>
      </c>
    </row>
    <row r="298" spans="2:16" x14ac:dyDescent="0.3">
      <c r="B298" s="65" t="str">
        <f t="shared" si="205"/>
        <v>Mezzanine</v>
      </c>
      <c r="G298" s="216">
        <f t="shared" ref="G298:P298" si="207">G511</f>
        <v>0</v>
      </c>
      <c r="H298" s="216">
        <f t="shared" si="207"/>
        <v>0</v>
      </c>
      <c r="I298" s="216">
        <f t="shared" si="207"/>
        <v>0</v>
      </c>
      <c r="J298" s="216">
        <f t="shared" si="207"/>
        <v>0</v>
      </c>
      <c r="K298" s="216">
        <f t="shared" si="207"/>
        <v>0</v>
      </c>
      <c r="L298" s="216">
        <f t="shared" si="207"/>
        <v>0</v>
      </c>
      <c r="M298" s="216">
        <f t="shared" si="207"/>
        <v>0</v>
      </c>
      <c r="N298" s="216">
        <f t="shared" si="207"/>
        <v>0</v>
      </c>
      <c r="O298" s="216">
        <f t="shared" si="207"/>
        <v>0</v>
      </c>
      <c r="P298" s="255">
        <f t="shared" si="207"/>
        <v>0</v>
      </c>
    </row>
    <row r="299" spans="2:16" x14ac:dyDescent="0.3">
      <c r="B299" s="65" t="str">
        <f t="shared" si="205"/>
        <v>Preferred Stock</v>
      </c>
      <c r="G299" s="258">
        <v>0</v>
      </c>
      <c r="H299" s="258">
        <v>0</v>
      </c>
      <c r="I299" s="258">
        <v>0</v>
      </c>
      <c r="J299" s="258">
        <v>0</v>
      </c>
      <c r="K299" s="258">
        <v>0</v>
      </c>
      <c r="L299" s="258">
        <v>0</v>
      </c>
      <c r="M299" s="258">
        <v>0</v>
      </c>
      <c r="N299" s="258">
        <v>0</v>
      </c>
      <c r="O299" s="258">
        <v>0</v>
      </c>
      <c r="P299" s="257">
        <v>0</v>
      </c>
    </row>
    <row r="300" spans="2:16" x14ac:dyDescent="0.3">
      <c r="B300" s="92" t="s">
        <v>337</v>
      </c>
      <c r="G300" s="216">
        <f>SUM(G293:G299)</f>
        <v>40</v>
      </c>
      <c r="H300" s="216">
        <f t="shared" ref="H300:P300" si="208">SUM(H293:H299)</f>
        <v>32</v>
      </c>
      <c r="I300" s="216">
        <f t="shared" si="208"/>
        <v>25.6</v>
      </c>
      <c r="J300" s="216">
        <f t="shared" si="208"/>
        <v>20.480000000000004</v>
      </c>
      <c r="K300" s="216">
        <f t="shared" si="208"/>
        <v>16.384</v>
      </c>
      <c r="L300" s="216">
        <f t="shared" si="208"/>
        <v>13.107200000000001</v>
      </c>
      <c r="M300" s="216">
        <f t="shared" si="208"/>
        <v>10.485760000000001</v>
      </c>
      <c r="N300" s="216">
        <f t="shared" si="208"/>
        <v>8.3886080000000014</v>
      </c>
      <c r="O300" s="216">
        <f t="shared" si="208"/>
        <v>6.7108864000000015</v>
      </c>
      <c r="P300" s="255">
        <f t="shared" si="208"/>
        <v>5.3687091200000019</v>
      </c>
    </row>
    <row r="301" spans="2:16" x14ac:dyDescent="0.3">
      <c r="B301" s="61"/>
      <c r="G301" s="139"/>
      <c r="H301" s="139"/>
      <c r="I301" s="139"/>
      <c r="J301" s="139"/>
      <c r="K301" s="139"/>
      <c r="L301" s="139"/>
      <c r="M301" s="139"/>
      <c r="N301" s="139"/>
      <c r="O301" s="139"/>
      <c r="P301" s="97"/>
    </row>
    <row r="302" spans="2:16" x14ac:dyDescent="0.3">
      <c r="B302" s="61" t="s">
        <v>338</v>
      </c>
      <c r="G302" s="139"/>
      <c r="H302" s="139"/>
      <c r="I302" s="139"/>
      <c r="J302" s="139"/>
      <c r="K302" s="139"/>
      <c r="L302" s="139"/>
      <c r="M302" s="139"/>
      <c r="N302" s="139"/>
      <c r="O302" s="139"/>
      <c r="P302" s="97"/>
    </row>
    <row r="303" spans="2:16" x14ac:dyDescent="0.3">
      <c r="B303" s="65" t="str">
        <f>V33</f>
        <v>Term Loan</v>
      </c>
      <c r="G303" s="216">
        <f t="shared" ref="G303:P303" si="209">G488</f>
        <v>0</v>
      </c>
      <c r="H303" s="216">
        <f t="shared" si="209"/>
        <v>0</v>
      </c>
      <c r="I303" s="216">
        <f t="shared" si="209"/>
        <v>0</v>
      </c>
      <c r="J303" s="216">
        <f t="shared" si="209"/>
        <v>0</v>
      </c>
      <c r="K303" s="216">
        <f t="shared" si="209"/>
        <v>0</v>
      </c>
      <c r="L303" s="216">
        <f t="shared" si="209"/>
        <v>0</v>
      </c>
      <c r="M303" s="216">
        <f t="shared" si="209"/>
        <v>0</v>
      </c>
      <c r="N303" s="216">
        <f t="shared" si="209"/>
        <v>0</v>
      </c>
      <c r="O303" s="216">
        <f t="shared" si="209"/>
        <v>0</v>
      </c>
      <c r="P303" s="255">
        <f t="shared" si="209"/>
        <v>0</v>
      </c>
    </row>
    <row r="304" spans="2:16" x14ac:dyDescent="0.3">
      <c r="B304" s="65" t="str">
        <f t="shared" ref="B304:B306" si="210">V34</f>
        <v>Senior Unsecured Debt</v>
      </c>
      <c r="G304" s="216">
        <f t="shared" ref="G304:P304" si="211">G496</f>
        <v>97.451106443741622</v>
      </c>
      <c r="H304" s="216">
        <f t="shared" si="211"/>
        <v>40.183348999712052</v>
      </c>
      <c r="I304" s="216">
        <f t="shared" si="211"/>
        <v>59.179697066275374</v>
      </c>
      <c r="J304" s="216">
        <f t="shared" si="211"/>
        <v>3.1858474902709517</v>
      </c>
      <c r="K304" s="216">
        <f t="shared" si="211"/>
        <v>0</v>
      </c>
      <c r="L304" s="216">
        <f t="shared" si="211"/>
        <v>0</v>
      </c>
      <c r="M304" s="216">
        <f t="shared" si="211"/>
        <v>0</v>
      </c>
      <c r="N304" s="216">
        <f t="shared" si="211"/>
        <v>0</v>
      </c>
      <c r="O304" s="216">
        <f t="shared" si="211"/>
        <v>0</v>
      </c>
      <c r="P304" s="255">
        <f t="shared" si="211"/>
        <v>0</v>
      </c>
    </row>
    <row r="305" spans="2:16" x14ac:dyDescent="0.3">
      <c r="B305" s="65" t="str">
        <f t="shared" si="210"/>
        <v>Subordinated Debt</v>
      </c>
      <c r="G305" s="216">
        <f t="shared" ref="G305:P305" si="212">G504</f>
        <v>0</v>
      </c>
      <c r="H305" s="216">
        <f t="shared" si="212"/>
        <v>0</v>
      </c>
      <c r="I305" s="216">
        <f t="shared" si="212"/>
        <v>0</v>
      </c>
      <c r="J305" s="216">
        <f t="shared" si="212"/>
        <v>85.545253270590649</v>
      </c>
      <c r="K305" s="216">
        <f t="shared" si="212"/>
        <v>103.40297048238024</v>
      </c>
      <c r="L305" s="216">
        <f t="shared" si="212"/>
        <v>91.491786531437256</v>
      </c>
      <c r="M305" s="216">
        <f t="shared" si="212"/>
        <v>105.48085036990705</v>
      </c>
      <c r="N305" s="216">
        <f t="shared" si="212"/>
        <v>55.280565433131528</v>
      </c>
      <c r="O305" s="216">
        <f t="shared" si="212"/>
        <v>0</v>
      </c>
      <c r="P305" s="255">
        <f t="shared" si="212"/>
        <v>0</v>
      </c>
    </row>
    <row r="306" spans="2:16" x14ac:dyDescent="0.3">
      <c r="B306" s="65" t="str">
        <f t="shared" si="210"/>
        <v>Mezzanine</v>
      </c>
      <c r="G306" s="258">
        <f t="shared" ref="G306:P306" si="213">G512</f>
        <v>0</v>
      </c>
      <c r="H306" s="258">
        <f t="shared" si="213"/>
        <v>0</v>
      </c>
      <c r="I306" s="258">
        <f t="shared" si="213"/>
        <v>0</v>
      </c>
      <c r="J306" s="258">
        <f t="shared" si="213"/>
        <v>0</v>
      </c>
      <c r="K306" s="258">
        <f t="shared" si="213"/>
        <v>0</v>
      </c>
      <c r="L306" s="258">
        <f t="shared" si="213"/>
        <v>0</v>
      </c>
      <c r="M306" s="258">
        <f t="shared" si="213"/>
        <v>0</v>
      </c>
      <c r="N306" s="258">
        <f t="shared" si="213"/>
        <v>66.222493908498933</v>
      </c>
      <c r="O306" s="258">
        <f t="shared" si="213"/>
        <v>67.600063851501062</v>
      </c>
      <c r="P306" s="257">
        <f t="shared" si="213"/>
        <v>0</v>
      </c>
    </row>
    <row r="307" spans="2:16" x14ac:dyDescent="0.3">
      <c r="B307" s="92" t="s">
        <v>339</v>
      </c>
      <c r="G307" s="216">
        <f>SUM(G303:G306)</f>
        <v>97.451106443741622</v>
      </c>
      <c r="H307" s="216">
        <f t="shared" ref="H307:P307" si="214">SUM(H303:H306)</f>
        <v>40.183348999712052</v>
      </c>
      <c r="I307" s="216">
        <f t="shared" si="214"/>
        <v>59.179697066275374</v>
      </c>
      <c r="J307" s="216">
        <f t="shared" si="214"/>
        <v>88.731100760861608</v>
      </c>
      <c r="K307" s="216">
        <f t="shared" si="214"/>
        <v>103.40297048238024</v>
      </c>
      <c r="L307" s="216">
        <f t="shared" si="214"/>
        <v>91.491786531437256</v>
      </c>
      <c r="M307" s="216">
        <f t="shared" si="214"/>
        <v>105.48085036990705</v>
      </c>
      <c r="N307" s="216">
        <f t="shared" si="214"/>
        <v>121.50305934163046</v>
      </c>
      <c r="O307" s="216">
        <f t="shared" si="214"/>
        <v>67.600063851501062</v>
      </c>
      <c r="P307" s="255">
        <f t="shared" si="214"/>
        <v>0</v>
      </c>
    </row>
    <row r="308" spans="2:16" x14ac:dyDescent="0.3">
      <c r="B308" s="61"/>
      <c r="G308" s="139"/>
      <c r="H308" s="139"/>
      <c r="I308" s="139"/>
      <c r="J308" s="139"/>
      <c r="K308" s="139"/>
      <c r="L308" s="139"/>
      <c r="M308" s="139"/>
      <c r="N308" s="139"/>
      <c r="O308" s="139"/>
      <c r="P308" s="97"/>
    </row>
    <row r="309" spans="2:16" x14ac:dyDescent="0.3">
      <c r="B309" s="61" t="s">
        <v>340</v>
      </c>
      <c r="G309" s="216">
        <f t="shared" ref="G309:P309" si="215">IF(G523+G289-G300&lt;0,-(G523+G289-G300),0)</f>
        <v>0</v>
      </c>
      <c r="H309" s="216">
        <f t="shared" si="215"/>
        <v>0</v>
      </c>
      <c r="I309" s="216">
        <f t="shared" si="215"/>
        <v>0</v>
      </c>
      <c r="J309" s="216">
        <f t="shared" si="215"/>
        <v>0</v>
      </c>
      <c r="K309" s="216">
        <f t="shared" si="215"/>
        <v>0</v>
      </c>
      <c r="L309" s="216">
        <f t="shared" si="215"/>
        <v>0</v>
      </c>
      <c r="M309" s="216">
        <f t="shared" si="215"/>
        <v>0</v>
      </c>
      <c r="N309" s="216">
        <f t="shared" si="215"/>
        <v>0</v>
      </c>
      <c r="O309" s="216">
        <f t="shared" si="215"/>
        <v>0</v>
      </c>
      <c r="P309" s="255">
        <f t="shared" si="215"/>
        <v>0</v>
      </c>
    </row>
    <row r="310" spans="2:16" ht="15" customHeight="1" x14ac:dyDescent="0.3">
      <c r="B310" s="61" t="s">
        <v>341</v>
      </c>
      <c r="G310" s="216">
        <f>IF(G309=0,MIN(G523+G289-G300-G307,G478),0)</f>
        <v>0</v>
      </c>
      <c r="H310" s="216">
        <f t="shared" ref="H310:P310" si="216">IF(H309=0,MIN(H523+H289-H300-H307,H478),0)</f>
        <v>0</v>
      </c>
      <c r="I310" s="216">
        <f t="shared" si="216"/>
        <v>0</v>
      </c>
      <c r="J310" s="216">
        <f t="shared" si="216"/>
        <v>0</v>
      </c>
      <c r="K310" s="216">
        <f t="shared" si="216"/>
        <v>0</v>
      </c>
      <c r="L310" s="216">
        <f t="shared" si="216"/>
        <v>0</v>
      </c>
      <c r="M310" s="216">
        <f t="shared" si="216"/>
        <v>0</v>
      </c>
      <c r="N310" s="216">
        <f t="shared" si="216"/>
        <v>0</v>
      </c>
      <c r="O310" s="216">
        <f t="shared" si="216"/>
        <v>72.646753743032633</v>
      </c>
      <c r="P310" s="216">
        <f t="shared" si="216"/>
        <v>27.353246256967367</v>
      </c>
    </row>
    <row r="311" spans="2:16" ht="15" customHeight="1" x14ac:dyDescent="0.3">
      <c r="B311" s="61"/>
      <c r="G311" s="139"/>
      <c r="H311" s="139"/>
      <c r="I311" s="139"/>
      <c r="J311" s="139"/>
      <c r="K311" s="139"/>
      <c r="L311" s="139"/>
      <c r="M311" s="139"/>
      <c r="N311" s="139"/>
      <c r="O311" s="139"/>
      <c r="P311" s="97"/>
    </row>
    <row r="312" spans="2:16" ht="15" thickBot="1" x14ac:dyDescent="0.35">
      <c r="B312" s="66" t="s">
        <v>342</v>
      </c>
      <c r="C312" s="18"/>
      <c r="D312" s="18"/>
      <c r="E312" s="18"/>
      <c r="F312" s="18"/>
      <c r="G312" s="270">
        <f>G289-G300-G307+G309-G310</f>
        <v>-108.0914406949</v>
      </c>
      <c r="H312" s="270">
        <f t="shared" ref="H312:O312" si="217">H289-H300-H307+H309-H310</f>
        <v>0</v>
      </c>
      <c r="I312" s="270">
        <f t="shared" si="217"/>
        <v>0</v>
      </c>
      <c r="J312" s="270">
        <f t="shared" si="217"/>
        <v>0</v>
      </c>
      <c r="K312" s="270">
        <f t="shared" si="217"/>
        <v>0</v>
      </c>
      <c r="L312" s="270">
        <f t="shared" si="217"/>
        <v>0</v>
      </c>
      <c r="M312" s="270">
        <f t="shared" si="217"/>
        <v>0</v>
      </c>
      <c r="N312" s="270">
        <f t="shared" si="217"/>
        <v>0</v>
      </c>
      <c r="O312" s="270">
        <f t="shared" si="217"/>
        <v>0</v>
      </c>
      <c r="P312" s="271">
        <f>P289-P300-P307+P309-P310</f>
        <v>126.92608032805134</v>
      </c>
    </row>
    <row r="314" spans="2:16" x14ac:dyDescent="0.3">
      <c r="G314" s="2"/>
    </row>
    <row r="315" spans="2:16" x14ac:dyDescent="0.3"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</row>
    <row r="316" spans="2:16" x14ac:dyDescent="0.3"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</row>
    <row r="319" spans="2:16" x14ac:dyDescent="0.3">
      <c r="B319" s="410" t="s">
        <v>343</v>
      </c>
      <c r="C319" s="410"/>
      <c r="D319" s="410"/>
      <c r="E319" s="410"/>
      <c r="F319" s="410"/>
      <c r="G319" s="410"/>
      <c r="H319" s="410"/>
      <c r="I319" s="410"/>
      <c r="J319" s="410"/>
      <c r="K319" s="410"/>
      <c r="L319" s="410"/>
      <c r="M319" s="410"/>
      <c r="N319" s="410"/>
      <c r="O319" s="410"/>
      <c r="P319" s="410"/>
    </row>
    <row r="320" spans="2:16" ht="15" thickBot="1" x14ac:dyDescent="0.35"/>
    <row r="321" spans="2:16" x14ac:dyDescent="0.3">
      <c r="B321" s="3"/>
      <c r="C321" s="9"/>
      <c r="D321" s="9"/>
      <c r="E321" s="9"/>
      <c r="F321" s="28" t="s">
        <v>136</v>
      </c>
      <c r="G321" s="411" t="str">
        <f>"Projected Fiscal Years Ending "&amp;Y13</f>
        <v>Projected Fiscal Years Ending December 31,</v>
      </c>
      <c r="H321" s="408"/>
      <c r="I321" s="408"/>
      <c r="J321" s="408"/>
      <c r="K321" s="408"/>
      <c r="L321" s="408"/>
      <c r="M321" s="408"/>
      <c r="N321" s="408"/>
      <c r="O321" s="408"/>
      <c r="P321" s="412"/>
    </row>
    <row r="322" spans="2:16" x14ac:dyDescent="0.3">
      <c r="B322" s="15" t="s">
        <v>344</v>
      </c>
      <c r="F322" s="25">
        <f>G322-1</f>
        <v>2023</v>
      </c>
      <c r="G322" s="132">
        <f>$Y$12</f>
        <v>2024</v>
      </c>
      <c r="H322" s="27">
        <f t="shared" ref="H322:P322" si="218">G322+1</f>
        <v>2025</v>
      </c>
      <c r="I322" s="27">
        <f t="shared" si="218"/>
        <v>2026</v>
      </c>
      <c r="J322" s="27">
        <f t="shared" si="218"/>
        <v>2027</v>
      </c>
      <c r="K322" s="27">
        <f t="shared" si="218"/>
        <v>2028</v>
      </c>
      <c r="L322" s="27">
        <f t="shared" si="218"/>
        <v>2029</v>
      </c>
      <c r="M322" s="27">
        <f t="shared" si="218"/>
        <v>2030</v>
      </c>
      <c r="N322" s="27">
        <f t="shared" si="218"/>
        <v>2031</v>
      </c>
      <c r="O322" s="27">
        <f t="shared" si="218"/>
        <v>2032</v>
      </c>
      <c r="P322" s="30">
        <f t="shared" si="218"/>
        <v>2033</v>
      </c>
    </row>
    <row r="323" spans="2:16" x14ac:dyDescent="0.3">
      <c r="B323" s="5"/>
      <c r="P323" s="16"/>
    </row>
    <row r="324" spans="2:16" x14ac:dyDescent="0.3">
      <c r="B324" s="5" t="s">
        <v>345</v>
      </c>
      <c r="F324" s="216">
        <f t="shared" ref="F324:P324" si="219">F174</f>
        <v>139.51727802273598</v>
      </c>
      <c r="G324" s="216">
        <f t="shared" si="219"/>
        <v>144.66462570936682</v>
      </c>
      <c r="H324" s="216">
        <f t="shared" si="219"/>
        <v>159.13108828030352</v>
      </c>
      <c r="I324" s="216">
        <f t="shared" si="219"/>
        <v>175.04419710833383</v>
      </c>
      <c r="J324" s="216">
        <f t="shared" si="219"/>
        <v>189.04773287700061</v>
      </c>
      <c r="K324" s="216">
        <f t="shared" si="219"/>
        <v>204.17155150716059</v>
      </c>
      <c r="L324" s="216">
        <f t="shared" si="219"/>
        <v>220.50527562773351</v>
      </c>
      <c r="M324" s="216">
        <f t="shared" si="219"/>
        <v>233.73559216539746</v>
      </c>
      <c r="N324" s="216">
        <f t="shared" si="219"/>
        <v>245.42237177366735</v>
      </c>
      <c r="O324" s="216">
        <f t="shared" si="219"/>
        <v>257.6934903623507</v>
      </c>
      <c r="P324" s="255">
        <f t="shared" si="219"/>
        <v>270.57816488046825</v>
      </c>
    </row>
    <row r="325" spans="2:16" x14ac:dyDescent="0.3">
      <c r="B325" s="5"/>
      <c r="F325" s="216"/>
      <c r="G325" s="216"/>
      <c r="H325" s="216"/>
      <c r="I325" s="216"/>
      <c r="J325" s="216"/>
      <c r="K325" s="216"/>
      <c r="L325" s="216"/>
      <c r="M325" s="216"/>
      <c r="N325" s="216"/>
      <c r="O325" s="216"/>
      <c r="P325" s="255"/>
    </row>
    <row r="326" spans="2:16" x14ac:dyDescent="0.3">
      <c r="B326" s="5" t="s">
        <v>346</v>
      </c>
      <c r="F326" s="216">
        <f t="shared" ref="F326:P326" si="220">F324-F82</f>
        <v>129.21727802273597</v>
      </c>
      <c r="G326" s="216">
        <f t="shared" si="220"/>
        <v>104.93763129445315</v>
      </c>
      <c r="H326" s="216">
        <f t="shared" si="220"/>
        <v>117.4313944238985</v>
      </c>
      <c r="I326" s="216">
        <f t="shared" si="220"/>
        <v>131.1745338662883</v>
      </c>
      <c r="J326" s="216">
        <f t="shared" si="220"/>
        <v>153.26849657559143</v>
      </c>
      <c r="K326" s="216">
        <f t="shared" si="220"/>
        <v>166.32997630163868</v>
      </c>
      <c r="L326" s="216">
        <f t="shared" si="220"/>
        <v>180.43637440576987</v>
      </c>
      <c r="M326" s="216">
        <f t="shared" si="220"/>
        <v>191.86255687011598</v>
      </c>
      <c r="N326" s="216">
        <f t="shared" si="220"/>
        <v>201.95568471362179</v>
      </c>
      <c r="O326" s="216">
        <f t="shared" si="220"/>
        <v>217.55346894930287</v>
      </c>
      <c r="P326" s="255">
        <f t="shared" si="220"/>
        <v>228.68114239676802</v>
      </c>
    </row>
    <row r="327" spans="2:16" x14ac:dyDescent="0.3">
      <c r="B327" s="5"/>
      <c r="F327" s="216"/>
      <c r="G327" s="216"/>
      <c r="H327" s="216"/>
      <c r="I327" s="216"/>
      <c r="J327" s="216"/>
      <c r="K327" s="216"/>
      <c r="L327" s="216"/>
      <c r="M327" s="216"/>
      <c r="N327" s="216"/>
      <c r="O327" s="216"/>
      <c r="P327" s="255"/>
    </row>
    <row r="328" spans="2:16" x14ac:dyDescent="0.3">
      <c r="B328" s="5" t="s">
        <v>347</v>
      </c>
      <c r="F328" s="273">
        <v>0</v>
      </c>
      <c r="G328" s="83">
        <f t="shared" ref="G328:P328" si="221">G326+G282</f>
        <v>65.697836934943609</v>
      </c>
      <c r="H328" s="216">
        <f t="shared" si="221"/>
        <v>103.23628261308755</v>
      </c>
      <c r="I328" s="216">
        <f t="shared" si="221"/>
        <v>115.55991087439619</v>
      </c>
      <c r="J328" s="216">
        <f t="shared" si="221"/>
        <v>139.52762834272642</v>
      </c>
      <c r="K328" s="216">
        <f t="shared" si="221"/>
        <v>151.48983861014449</v>
      </c>
      <c r="L328" s="216">
        <f t="shared" si="221"/>
        <v>164.4090256989561</v>
      </c>
      <c r="M328" s="216">
        <f t="shared" si="221"/>
        <v>178.88040441759682</v>
      </c>
      <c r="N328" s="216">
        <f t="shared" si="221"/>
        <v>190.48811671389657</v>
      </c>
      <c r="O328" s="216">
        <f t="shared" si="221"/>
        <v>205.51252254959138</v>
      </c>
      <c r="P328" s="255">
        <f t="shared" si="221"/>
        <v>216.03814867707086</v>
      </c>
    </row>
    <row r="329" spans="2:16" x14ac:dyDescent="0.3">
      <c r="B329" s="33" t="s">
        <v>348</v>
      </c>
      <c r="F329" s="216"/>
      <c r="G329" s="216"/>
      <c r="H329" s="216"/>
      <c r="I329" s="216"/>
      <c r="J329" s="216"/>
      <c r="K329" s="216"/>
      <c r="L329" s="216"/>
      <c r="M329" s="216"/>
      <c r="N329" s="216"/>
      <c r="O329" s="216"/>
      <c r="P329" s="255"/>
    </row>
    <row r="330" spans="2:16" x14ac:dyDescent="0.3">
      <c r="B330" s="33"/>
      <c r="F330" s="216"/>
      <c r="G330" s="216"/>
      <c r="H330" s="216"/>
      <c r="I330" s="216"/>
      <c r="J330" s="216"/>
      <c r="K330" s="216"/>
      <c r="L330" s="216"/>
      <c r="M330" s="216"/>
      <c r="N330" s="216"/>
      <c r="O330" s="216"/>
      <c r="P330" s="255"/>
    </row>
    <row r="331" spans="2:16" x14ac:dyDescent="0.3">
      <c r="B331" s="5" t="s">
        <v>349</v>
      </c>
      <c r="F331" s="216">
        <f>G331</f>
        <v>23.5</v>
      </c>
      <c r="G331" s="216">
        <f t="shared" ref="G331:P331" si="222">SUMPRODUCT($U$65:$U$71,G180:G186)</f>
        <v>23.5</v>
      </c>
      <c r="H331" s="216">
        <f t="shared" si="222"/>
        <v>16.052933613375501</v>
      </c>
      <c r="I331" s="216">
        <f t="shared" si="222"/>
        <v>12.361932673392781</v>
      </c>
      <c r="J331" s="216">
        <f t="shared" si="222"/>
        <v>7.7871508494162569</v>
      </c>
      <c r="K331" s="216">
        <f t="shared" si="222"/>
        <v>6.7768000000000006</v>
      </c>
      <c r="L331" s="216">
        <f t="shared" si="222"/>
        <v>6.1214400000000007</v>
      </c>
      <c r="M331" s="216">
        <f t="shared" si="222"/>
        <v>5.5971520000000012</v>
      </c>
      <c r="N331" s="216">
        <f t="shared" si="222"/>
        <v>5.1777216000000008</v>
      </c>
      <c r="O331" s="216">
        <f t="shared" si="222"/>
        <v>4.8421772800000005</v>
      </c>
      <c r="P331" s="255">
        <f t="shared" si="222"/>
        <v>2.0311054429938582</v>
      </c>
    </row>
    <row r="332" spans="2:16" x14ac:dyDescent="0.3">
      <c r="B332" s="5" t="s">
        <v>148</v>
      </c>
      <c r="F332" s="216">
        <f t="shared" ref="F332:F334" si="223">G332</f>
        <v>23.5</v>
      </c>
      <c r="G332" s="216">
        <f t="shared" ref="G332:P332" si="224">G187-SUM(G271:G273)</f>
        <v>23.5</v>
      </c>
      <c r="H332" s="216">
        <f t="shared" si="224"/>
        <v>16.052933613375501</v>
      </c>
      <c r="I332" s="216">
        <f t="shared" si="224"/>
        <v>12.361932673392779</v>
      </c>
      <c r="J332" s="216">
        <f t="shared" si="224"/>
        <v>7.7871508494162569</v>
      </c>
      <c r="K332" s="216">
        <f t="shared" si="224"/>
        <v>6.7767999999999979</v>
      </c>
      <c r="L332" s="216">
        <f t="shared" si="224"/>
        <v>31.808517629013309</v>
      </c>
      <c r="M332" s="216">
        <f t="shared" si="224"/>
        <v>24.879804571812702</v>
      </c>
      <c r="N332" s="216">
        <f t="shared" si="224"/>
        <v>17.076714645919207</v>
      </c>
      <c r="O332" s="216">
        <f t="shared" si="224"/>
        <v>8.8981811110900644</v>
      </c>
      <c r="P332" s="255">
        <f t="shared" si="224"/>
        <v>2.0311054429938582</v>
      </c>
    </row>
    <row r="333" spans="2:16" x14ac:dyDescent="0.3">
      <c r="B333" s="5" t="s">
        <v>350</v>
      </c>
      <c r="F333" s="216">
        <f t="shared" si="223"/>
        <v>51.818800000000003</v>
      </c>
      <c r="G333" s="216">
        <f t="shared" ref="G333:P333" si="225">G187</f>
        <v>51.818800000000003</v>
      </c>
      <c r="H333" s="216">
        <f t="shared" si="225"/>
        <v>46.294049613375506</v>
      </c>
      <c r="I333" s="216">
        <f t="shared" si="225"/>
        <v>44.656326793392786</v>
      </c>
      <c r="J333" s="216">
        <f t="shared" si="225"/>
        <v>42.274736557816261</v>
      </c>
      <c r="K333" s="216">
        <f t="shared" si="225"/>
        <v>37.618888019046658</v>
      </c>
      <c r="L333" s="216">
        <f t="shared" si="225"/>
        <v>31.808517629013309</v>
      </c>
      <c r="M333" s="216">
        <f t="shared" si="225"/>
        <v>24.879804571812702</v>
      </c>
      <c r="N333" s="216">
        <f t="shared" si="225"/>
        <v>17.076714645919207</v>
      </c>
      <c r="O333" s="216">
        <f t="shared" si="225"/>
        <v>8.8981811110900644</v>
      </c>
      <c r="P333" s="255">
        <f t="shared" si="225"/>
        <v>2.0311054429938582</v>
      </c>
    </row>
    <row r="334" spans="2:16" x14ac:dyDescent="0.3">
      <c r="B334" s="5" t="s">
        <v>351</v>
      </c>
      <c r="F334" s="216">
        <f t="shared" si="223"/>
        <v>66.81880000000001</v>
      </c>
      <c r="G334" s="216">
        <f t="shared" ref="G334:P334" si="226">G333+G199</f>
        <v>66.81880000000001</v>
      </c>
      <c r="H334" s="216">
        <f t="shared" si="226"/>
        <v>61.294049613375506</v>
      </c>
      <c r="I334" s="216">
        <f t="shared" si="226"/>
        <v>59.656326793392786</v>
      </c>
      <c r="J334" s="216">
        <f t="shared" si="226"/>
        <v>57.274736557816261</v>
      </c>
      <c r="K334" s="216">
        <f t="shared" si="226"/>
        <v>52.618888019046658</v>
      </c>
      <c r="L334" s="216">
        <f t="shared" si="226"/>
        <v>46.808517629013309</v>
      </c>
      <c r="M334" s="216">
        <f t="shared" si="226"/>
        <v>39.879804571812699</v>
      </c>
      <c r="N334" s="216">
        <f t="shared" si="226"/>
        <v>32.076714645919211</v>
      </c>
      <c r="O334" s="216">
        <f t="shared" si="226"/>
        <v>23.898181111090064</v>
      </c>
      <c r="P334" s="255">
        <f t="shared" si="226"/>
        <v>17.031105442993859</v>
      </c>
    </row>
    <row r="335" spans="2:16" x14ac:dyDescent="0.3">
      <c r="B335" s="5"/>
      <c r="F335" s="216"/>
      <c r="G335" s="216"/>
      <c r="H335" s="216"/>
      <c r="I335" s="216"/>
      <c r="J335" s="216"/>
      <c r="K335" s="216"/>
      <c r="L335" s="216"/>
      <c r="M335" s="216"/>
      <c r="N335" s="216"/>
      <c r="O335" s="216"/>
      <c r="P335" s="255"/>
    </row>
    <row r="336" spans="2:16" x14ac:dyDescent="0.3">
      <c r="B336" s="5" t="s">
        <v>352</v>
      </c>
      <c r="F336" s="216"/>
      <c r="G336" s="216"/>
      <c r="H336" s="216"/>
      <c r="I336" s="216"/>
      <c r="J336" s="216"/>
      <c r="K336" s="216"/>
      <c r="L336" s="216"/>
      <c r="M336" s="216"/>
      <c r="N336" s="216"/>
      <c r="O336" s="216"/>
      <c r="P336" s="255"/>
    </row>
    <row r="337" spans="2:16" x14ac:dyDescent="0.3">
      <c r="B337" s="5" t="s">
        <v>353</v>
      </c>
      <c r="F337" s="216"/>
      <c r="G337" s="216"/>
      <c r="H337" s="216"/>
      <c r="I337" s="216"/>
      <c r="J337" s="216"/>
      <c r="K337" s="216"/>
      <c r="L337" s="216"/>
      <c r="M337" s="216"/>
      <c r="N337" s="216"/>
      <c r="O337" s="216"/>
      <c r="P337" s="255"/>
    </row>
    <row r="338" spans="2:16" x14ac:dyDescent="0.3">
      <c r="B338" s="5" t="s">
        <v>349</v>
      </c>
      <c r="F338" s="216">
        <f t="shared" ref="F338:P338" si="227">IF(ISERROR(F$324/F331),"NA",IF(F$324/F331&lt;=0,"NA",F$324/F331))</f>
        <v>5.9369054477759988</v>
      </c>
      <c r="G338" s="216">
        <f t="shared" si="227"/>
        <v>6.1559415195475244</v>
      </c>
      <c r="H338" s="216">
        <f t="shared" si="227"/>
        <v>9.912897674211619</v>
      </c>
      <c r="I338" s="216">
        <f t="shared" si="227"/>
        <v>14.159937748657246</v>
      </c>
      <c r="J338" s="216">
        <f t="shared" si="227"/>
        <v>24.276880791537778</v>
      </c>
      <c r="K338" s="216">
        <f t="shared" si="227"/>
        <v>30.128017870847682</v>
      </c>
      <c r="L338" s="216">
        <f t="shared" si="227"/>
        <v>36.021798078186421</v>
      </c>
      <c r="M338" s="216">
        <f t="shared" si="227"/>
        <v>41.759736409766504</v>
      </c>
      <c r="N338" s="216">
        <f t="shared" si="227"/>
        <v>47.399684790635966</v>
      </c>
      <c r="O338" s="216">
        <f t="shared" si="227"/>
        <v>53.218516270918251</v>
      </c>
      <c r="P338" s="255">
        <f t="shared" si="227"/>
        <v>133.21719254596397</v>
      </c>
    </row>
    <row r="339" spans="2:16" x14ac:dyDescent="0.3">
      <c r="B339" s="5" t="s">
        <v>148</v>
      </c>
      <c r="F339" s="216">
        <f t="shared" ref="F339:P339" si="228">IF(ISERROR(F$324/F332),"NA",IF(F$324/F332&lt;=0,"NA",F$324/F332))</f>
        <v>5.9369054477759988</v>
      </c>
      <c r="G339" s="216">
        <f t="shared" si="228"/>
        <v>6.1559415195475244</v>
      </c>
      <c r="H339" s="216">
        <f t="shared" si="228"/>
        <v>9.912897674211619</v>
      </c>
      <c r="I339" s="216">
        <f t="shared" si="228"/>
        <v>14.159937748657249</v>
      </c>
      <c r="J339" s="216">
        <f t="shared" si="228"/>
        <v>24.276880791537778</v>
      </c>
      <c r="K339" s="216">
        <f t="shared" si="228"/>
        <v>30.128017870847692</v>
      </c>
      <c r="L339" s="216">
        <f t="shared" si="228"/>
        <v>6.9322713557265985</v>
      </c>
      <c r="M339" s="216">
        <f t="shared" si="228"/>
        <v>9.3945911629147449</v>
      </c>
      <c r="N339" s="216">
        <f t="shared" si="228"/>
        <v>14.371755742391322</v>
      </c>
      <c r="O339" s="216">
        <f t="shared" si="228"/>
        <v>28.960243351439512</v>
      </c>
      <c r="P339" s="255">
        <f t="shared" si="228"/>
        <v>133.21719254596397</v>
      </c>
    </row>
    <row r="340" spans="2:16" x14ac:dyDescent="0.3">
      <c r="B340" s="5" t="s">
        <v>350</v>
      </c>
      <c r="F340" s="216">
        <f t="shared" ref="F340:P340" si="229">IF(ISERROR(F$324/F333),"NA",IF(F$324/F333&lt;=0,"NA",F$324/F333))</f>
        <v>2.6924065787462461</v>
      </c>
      <c r="G340" s="216">
        <f t="shared" si="229"/>
        <v>2.791740173631323</v>
      </c>
      <c r="H340" s="216">
        <f t="shared" si="229"/>
        <v>3.4373983181269709</v>
      </c>
      <c r="I340" s="216">
        <f t="shared" si="229"/>
        <v>3.9198073302847836</v>
      </c>
      <c r="J340" s="216">
        <f t="shared" si="229"/>
        <v>4.4718843515075006</v>
      </c>
      <c r="K340" s="216">
        <f t="shared" si="229"/>
        <v>5.4273680658446724</v>
      </c>
      <c r="L340" s="216">
        <f t="shared" si="229"/>
        <v>6.9322713557265985</v>
      </c>
      <c r="M340" s="216">
        <f t="shared" si="229"/>
        <v>9.3945911629147449</v>
      </c>
      <c r="N340" s="216">
        <f t="shared" si="229"/>
        <v>14.371755742391322</v>
      </c>
      <c r="O340" s="216">
        <f t="shared" si="229"/>
        <v>28.960243351439512</v>
      </c>
      <c r="P340" s="255">
        <f t="shared" si="229"/>
        <v>133.21719254596397</v>
      </c>
    </row>
    <row r="341" spans="2:16" x14ac:dyDescent="0.3">
      <c r="B341" s="5" t="s">
        <v>354</v>
      </c>
      <c r="F341" s="216">
        <f t="shared" ref="F341:P341" si="230">IF(ISERROR(F$324/F334),"NA",IF(F$324/F334&lt;=0,"NA",F$324/F334))</f>
        <v>2.0879943671951002</v>
      </c>
      <c r="G341" s="216">
        <f t="shared" si="230"/>
        <v>2.1650287899418545</v>
      </c>
      <c r="H341" s="216">
        <f t="shared" si="230"/>
        <v>2.5961914620432935</v>
      </c>
      <c r="I341" s="216">
        <f t="shared" si="230"/>
        <v>2.9342101084192262</v>
      </c>
      <c r="J341" s="216">
        <f t="shared" si="230"/>
        <v>3.300717632915962</v>
      </c>
      <c r="K341" s="216">
        <f t="shared" si="230"/>
        <v>3.8801951009161546</v>
      </c>
      <c r="L341" s="216">
        <f t="shared" si="230"/>
        <v>4.7107938212308991</v>
      </c>
      <c r="M341" s="216">
        <f t="shared" si="230"/>
        <v>5.8610014435878979</v>
      </c>
      <c r="N341" s="216">
        <f t="shared" si="230"/>
        <v>7.651106869352966</v>
      </c>
      <c r="O341" s="216">
        <f t="shared" si="230"/>
        <v>10.782975037492156</v>
      </c>
      <c r="P341" s="255">
        <f t="shared" si="230"/>
        <v>15.887293152293697</v>
      </c>
    </row>
    <row r="342" spans="2:16" x14ac:dyDescent="0.3">
      <c r="B342" s="5"/>
      <c r="F342" s="216"/>
      <c r="G342" s="216"/>
      <c r="H342" s="216"/>
      <c r="I342" s="216"/>
      <c r="J342" s="216"/>
      <c r="K342" s="216"/>
      <c r="L342" s="216"/>
      <c r="M342" s="216"/>
      <c r="N342" s="216"/>
      <c r="O342" s="216"/>
      <c r="P342" s="255"/>
    </row>
    <row r="343" spans="2:16" x14ac:dyDescent="0.3">
      <c r="B343" s="5" t="s">
        <v>355</v>
      </c>
      <c r="F343" s="216"/>
      <c r="G343" s="216"/>
      <c r="H343" s="216"/>
      <c r="I343" s="216"/>
      <c r="J343" s="216"/>
      <c r="K343" s="216"/>
      <c r="L343" s="216"/>
      <c r="M343" s="216"/>
      <c r="N343" s="216"/>
      <c r="O343" s="216"/>
      <c r="P343" s="255"/>
    </row>
    <row r="344" spans="2:16" x14ac:dyDescent="0.3">
      <c r="B344" s="5" t="s">
        <v>349</v>
      </c>
      <c r="F344" s="216">
        <f t="shared" ref="F344:P344" si="231">IF(ISERROR(F$326/F331),"NA",IF(F$326/F331&lt;=0,"NA",F$326/F331))</f>
        <v>5.4986075754355728</v>
      </c>
      <c r="G344" s="216">
        <f t="shared" si="231"/>
        <v>4.4654311189129006</v>
      </c>
      <c r="H344" s="216">
        <f t="shared" si="231"/>
        <v>7.315260702632771</v>
      </c>
      <c r="I344" s="216">
        <f t="shared" si="231"/>
        <v>10.611167147724558</v>
      </c>
      <c r="J344" s="216">
        <f t="shared" si="231"/>
        <v>19.682230322670684</v>
      </c>
      <c r="K344" s="216">
        <f t="shared" si="231"/>
        <v>24.544029084765473</v>
      </c>
      <c r="L344" s="216">
        <f t="shared" si="231"/>
        <v>29.476132152854532</v>
      </c>
      <c r="M344" s="216">
        <f t="shared" si="231"/>
        <v>34.278603988263306</v>
      </c>
      <c r="N344" s="216">
        <f t="shared" si="231"/>
        <v>39.004739983243162</v>
      </c>
      <c r="O344" s="216">
        <f t="shared" si="231"/>
        <v>44.928852532491923</v>
      </c>
      <c r="P344" s="255">
        <f t="shared" si="231"/>
        <v>112.5894980910942</v>
      </c>
    </row>
    <row r="345" spans="2:16" x14ac:dyDescent="0.3">
      <c r="B345" s="5" t="s">
        <v>148</v>
      </c>
      <c r="F345" s="216">
        <f t="shared" ref="F345:P345" si="232">IF(ISERROR(F$326/F332),"NA",IF(F$326/F332&lt;=0,"NA",F$326/F332))</f>
        <v>5.4986075754355728</v>
      </c>
      <c r="G345" s="216">
        <f t="shared" si="232"/>
        <v>4.4654311189129006</v>
      </c>
      <c r="H345" s="216">
        <f t="shared" si="232"/>
        <v>7.315260702632771</v>
      </c>
      <c r="I345" s="216">
        <f t="shared" si="232"/>
        <v>10.61116714772456</v>
      </c>
      <c r="J345" s="216">
        <f t="shared" si="232"/>
        <v>19.682230322670684</v>
      </c>
      <c r="K345" s="216">
        <f t="shared" si="232"/>
        <v>24.544029084765484</v>
      </c>
      <c r="L345" s="216">
        <f t="shared" si="232"/>
        <v>5.6725804235903636</v>
      </c>
      <c r="M345" s="216">
        <f t="shared" si="232"/>
        <v>7.7115781322287607</v>
      </c>
      <c r="N345" s="216">
        <f t="shared" si="232"/>
        <v>11.826378135438528</v>
      </c>
      <c r="O345" s="216">
        <f t="shared" si="232"/>
        <v>24.449206667434492</v>
      </c>
      <c r="P345" s="255">
        <f t="shared" si="232"/>
        <v>112.5894980910942</v>
      </c>
    </row>
    <row r="346" spans="2:16" x14ac:dyDescent="0.3">
      <c r="B346" s="5" t="s">
        <v>350</v>
      </c>
      <c r="F346" s="216">
        <f t="shared" ref="F346:P346" si="233">IF(ISERROR(F$326/F333),"NA",IF(F$326/F333&lt;=0,"NA",F$326/F333))</f>
        <v>2.4936370202076459</v>
      </c>
      <c r="G346" s="216">
        <f t="shared" si="233"/>
        <v>2.0250880239305649</v>
      </c>
      <c r="H346" s="216">
        <f t="shared" si="233"/>
        <v>2.5366412185718494</v>
      </c>
      <c r="I346" s="216">
        <f t="shared" si="233"/>
        <v>2.9374232787479619</v>
      </c>
      <c r="J346" s="216">
        <f t="shared" si="233"/>
        <v>3.6255340436238224</v>
      </c>
      <c r="K346" s="216">
        <f t="shared" si="233"/>
        <v>4.4214485079257226</v>
      </c>
      <c r="L346" s="216">
        <f t="shared" si="233"/>
        <v>5.6725804235903636</v>
      </c>
      <c r="M346" s="216">
        <f t="shared" si="233"/>
        <v>7.7115781322287607</v>
      </c>
      <c r="N346" s="216">
        <f t="shared" si="233"/>
        <v>11.826378135438528</v>
      </c>
      <c r="O346" s="216">
        <f t="shared" si="233"/>
        <v>24.449206667434492</v>
      </c>
      <c r="P346" s="255">
        <f t="shared" si="233"/>
        <v>112.5894980910942</v>
      </c>
    </row>
    <row r="347" spans="2:16" x14ac:dyDescent="0.3">
      <c r="B347" s="5" t="s">
        <v>356</v>
      </c>
      <c r="F347" s="216">
        <f t="shared" ref="F347:P347" si="234">IF(ISERROR(F$326/F334),"NA",IF(F$326/F334&lt;=0,"NA",F$326/F334))</f>
        <v>1.9338461334644732</v>
      </c>
      <c r="G347" s="216">
        <f t="shared" si="234"/>
        <v>1.5704806326131737</v>
      </c>
      <c r="H347" s="216">
        <f t="shared" si="234"/>
        <v>1.9158694059965125</v>
      </c>
      <c r="I347" s="216">
        <f t="shared" si="234"/>
        <v>2.1988369200233175</v>
      </c>
      <c r="J347" s="216">
        <f t="shared" si="234"/>
        <v>2.6760227246243864</v>
      </c>
      <c r="K347" s="216">
        <f t="shared" si="234"/>
        <v>3.1610317618538724</v>
      </c>
      <c r="L347" s="216">
        <f t="shared" si="234"/>
        <v>3.8547765138781078</v>
      </c>
      <c r="M347" s="216">
        <f t="shared" si="234"/>
        <v>4.8110204884435586</v>
      </c>
      <c r="N347" s="216">
        <f t="shared" si="234"/>
        <v>6.2960214891993163</v>
      </c>
      <c r="O347" s="216">
        <f t="shared" si="234"/>
        <v>9.1033484070612456</v>
      </c>
      <c r="P347" s="255">
        <f t="shared" si="234"/>
        <v>13.427263612582548</v>
      </c>
    </row>
    <row r="348" spans="2:16" x14ac:dyDescent="0.3">
      <c r="B348" s="5"/>
      <c r="F348" s="216"/>
      <c r="G348" s="216"/>
      <c r="H348" s="216"/>
      <c r="I348" s="216"/>
      <c r="J348" s="216"/>
      <c r="K348" s="216"/>
      <c r="L348" s="216"/>
      <c r="M348" s="216"/>
      <c r="N348" s="216"/>
      <c r="O348" s="216"/>
      <c r="P348" s="255"/>
    </row>
    <row r="349" spans="2:16" x14ac:dyDescent="0.3">
      <c r="B349" s="5" t="s">
        <v>357</v>
      </c>
      <c r="F349" s="216"/>
      <c r="G349" s="216"/>
      <c r="H349" s="216"/>
      <c r="I349" s="216"/>
      <c r="J349" s="216"/>
      <c r="K349" s="216"/>
      <c r="L349" s="216"/>
      <c r="M349" s="216"/>
      <c r="N349" s="216"/>
      <c r="O349" s="216"/>
      <c r="P349" s="255"/>
    </row>
    <row r="350" spans="2:16" x14ac:dyDescent="0.3">
      <c r="B350" s="5" t="s">
        <v>349</v>
      </c>
      <c r="F350" s="273">
        <v>0</v>
      </c>
      <c r="G350" s="216">
        <f t="shared" ref="G350:P350" si="235">IF(ISERROR(G$328/G331),"NA",IF(G$328/G331&lt;=0,"NA",G$328/G331))</f>
        <v>2.7956526355295153</v>
      </c>
      <c r="H350" s="216">
        <f t="shared" si="235"/>
        <v>6.4309916865955152</v>
      </c>
      <c r="I350" s="216">
        <f t="shared" si="235"/>
        <v>9.348045643633192</v>
      </c>
      <c r="J350" s="216">
        <f t="shared" si="235"/>
        <v>17.917673747540892</v>
      </c>
      <c r="K350" s="216">
        <f t="shared" si="235"/>
        <v>22.35418466092322</v>
      </c>
      <c r="L350" s="216">
        <f t="shared" si="235"/>
        <v>26.8579003794787</v>
      </c>
      <c r="M350" s="216">
        <f t="shared" si="235"/>
        <v>31.959182887582251</v>
      </c>
      <c r="N350" s="216">
        <f t="shared" si="235"/>
        <v>36.789949601364533</v>
      </c>
      <c r="O350" s="216">
        <f t="shared" si="235"/>
        <v>42.442172325749993</v>
      </c>
      <c r="P350" s="255">
        <f t="shared" si="235"/>
        <v>106.36481203980711</v>
      </c>
    </row>
    <row r="351" spans="2:16" x14ac:dyDescent="0.3">
      <c r="B351" s="5" t="s">
        <v>358</v>
      </c>
      <c r="F351" s="273">
        <v>0</v>
      </c>
      <c r="G351" s="216">
        <f t="shared" ref="G351:P351" si="236">IF(ISERROR(G$328/G332),"NA",IF(G$328/G332&lt;=0,"NA",G$328/G332))</f>
        <v>2.7956526355295153</v>
      </c>
      <c r="H351" s="216">
        <f t="shared" si="236"/>
        <v>6.4309916865955152</v>
      </c>
      <c r="I351" s="216">
        <f t="shared" si="236"/>
        <v>9.348045643633192</v>
      </c>
      <c r="J351" s="216">
        <f t="shared" si="236"/>
        <v>17.917673747540892</v>
      </c>
      <c r="K351" s="216">
        <f t="shared" si="236"/>
        <v>22.354184660923227</v>
      </c>
      <c r="L351" s="216">
        <f t="shared" si="236"/>
        <v>5.1687107087629478</v>
      </c>
      <c r="M351" s="216">
        <f t="shared" si="236"/>
        <v>7.189783340189793</v>
      </c>
      <c r="N351" s="216">
        <f t="shared" si="236"/>
        <v>11.154845686867361</v>
      </c>
      <c r="O351" s="216">
        <f t="shared" si="236"/>
        <v>23.096014790422178</v>
      </c>
      <c r="P351" s="255">
        <f t="shared" si="236"/>
        <v>106.36481203980711</v>
      </c>
    </row>
    <row r="352" spans="2:16" x14ac:dyDescent="0.3">
      <c r="B352" s="5" t="s">
        <v>350</v>
      </c>
      <c r="F352" s="273">
        <v>0</v>
      </c>
      <c r="G352" s="216">
        <f t="shared" ref="G352:P352" si="237">IF(ISERROR(G$328/G333),"NA",IF(G$328/G333&lt;=0,"NA",G$328/G333))</f>
        <v>1.2678378683980256</v>
      </c>
      <c r="H352" s="216">
        <f t="shared" si="237"/>
        <v>2.230011923244235</v>
      </c>
      <c r="I352" s="216">
        <f t="shared" si="237"/>
        <v>2.5877612238249315</v>
      </c>
      <c r="J352" s="216">
        <f t="shared" si="237"/>
        <v>3.3004966962219631</v>
      </c>
      <c r="K352" s="216">
        <f t="shared" si="237"/>
        <v>4.0269621614930333</v>
      </c>
      <c r="L352" s="216">
        <f t="shared" si="237"/>
        <v>5.1687107087629478</v>
      </c>
      <c r="M352" s="216">
        <f t="shared" si="237"/>
        <v>7.189783340189793</v>
      </c>
      <c r="N352" s="216">
        <f t="shared" si="237"/>
        <v>11.154845686867361</v>
      </c>
      <c r="O352" s="216">
        <f t="shared" si="237"/>
        <v>23.096014790422178</v>
      </c>
      <c r="P352" s="255">
        <f t="shared" si="237"/>
        <v>106.36481203980711</v>
      </c>
    </row>
    <row r="353" spans="2:16" ht="15" thickBot="1" x14ac:dyDescent="0.35">
      <c r="B353" s="7" t="s">
        <v>356</v>
      </c>
      <c r="C353" s="18"/>
      <c r="D353" s="18"/>
      <c r="E353" s="18"/>
      <c r="F353" s="274">
        <v>0</v>
      </c>
      <c r="G353" s="270">
        <f t="shared" ref="G353:P353" si="238">IF(ISERROR(G$328/G334),"NA",IF(G$328/G334&lt;=0,"NA",G$328/G334))</f>
        <v>0.98322383722760065</v>
      </c>
      <c r="H353" s="270">
        <f t="shared" si="238"/>
        <v>1.6842790330263882</v>
      </c>
      <c r="I353" s="270">
        <f t="shared" si="238"/>
        <v>1.9370939695066005</v>
      </c>
      <c r="J353" s="270">
        <f t="shared" si="238"/>
        <v>2.4361112198548409</v>
      </c>
      <c r="K353" s="270">
        <f t="shared" si="238"/>
        <v>2.879001140337841</v>
      </c>
      <c r="L353" s="270">
        <f t="shared" si="238"/>
        <v>3.5123741153693468</v>
      </c>
      <c r="M353" s="270">
        <f t="shared" si="238"/>
        <v>4.4854884906840953</v>
      </c>
      <c r="N353" s="270">
        <f t="shared" si="238"/>
        <v>5.9385170462939048</v>
      </c>
      <c r="O353" s="270">
        <f t="shared" si="238"/>
        <v>8.5995047737847425</v>
      </c>
      <c r="P353" s="271">
        <f t="shared" si="238"/>
        <v>12.68491639607241</v>
      </c>
    </row>
    <row r="356" spans="2:16" x14ac:dyDescent="0.3">
      <c r="B356" s="12" t="s">
        <v>359</v>
      </c>
    </row>
    <row r="357" spans="2:16" x14ac:dyDescent="0.3">
      <c r="B357" t="str">
        <f xml:space="preserve"> _xlfn.CONCAT("(1) Senior Debt includes: ",IF(U65=1,V65,""),IF(U66=1,", "&amp;V66,""),IF(U67=1,", "&amp;V67,""),IF(U68=1,", "&amp;V68,""),IF(U69=1,", "&amp;V69,""),IF(U70=1,", "&amp;V70,""),IF(U71=1,", "&amp;V71,""),".")</f>
        <v>(1) Senior Debt includes: Short-term Debt, Existing Debt, Revolver, Term Loan, Senior Unsecured Debt.</v>
      </c>
    </row>
    <row r="358" spans="2:16" x14ac:dyDescent="0.3">
      <c r="B358" t="s">
        <v>360</v>
      </c>
    </row>
    <row r="359" spans="2:16" x14ac:dyDescent="0.3">
      <c r="B359" t="s">
        <v>361</v>
      </c>
    </row>
    <row r="364" spans="2:16" x14ac:dyDescent="0.3">
      <c r="B364" s="410" t="s">
        <v>362</v>
      </c>
      <c r="C364" s="410"/>
      <c r="D364" s="410"/>
      <c r="E364" s="410"/>
      <c r="F364" s="410"/>
      <c r="G364" s="410"/>
      <c r="H364" s="410"/>
      <c r="I364" s="410"/>
      <c r="J364" s="410"/>
      <c r="K364" s="410"/>
      <c r="L364" s="410"/>
      <c r="M364" s="410"/>
      <c r="N364" s="410"/>
      <c r="O364" s="410"/>
      <c r="P364" s="410"/>
    </row>
    <row r="365" spans="2:16" ht="15" thickBot="1" x14ac:dyDescent="0.35"/>
    <row r="366" spans="2:16" x14ac:dyDescent="0.3">
      <c r="B366" s="3"/>
      <c r="C366" s="9"/>
      <c r="D366" s="9"/>
      <c r="E366" s="9"/>
      <c r="F366" s="28" t="s">
        <v>136</v>
      </c>
      <c r="G366" s="411" t="str">
        <f>"Projected Fiscal Years Ending "&amp;Y13</f>
        <v>Projected Fiscal Years Ending December 31,</v>
      </c>
      <c r="H366" s="408"/>
      <c r="I366" s="408"/>
      <c r="J366" s="408"/>
      <c r="K366" s="408"/>
      <c r="L366" s="408"/>
      <c r="M366" s="408"/>
      <c r="N366" s="408"/>
      <c r="O366" s="408"/>
      <c r="P366" s="412"/>
    </row>
    <row r="367" spans="2:16" x14ac:dyDescent="0.3">
      <c r="B367" s="15" t="s">
        <v>363</v>
      </c>
      <c r="F367" s="25">
        <f>G367-1</f>
        <v>2023</v>
      </c>
      <c r="G367" s="132">
        <f>$Y$12</f>
        <v>2024</v>
      </c>
      <c r="H367" s="27">
        <f t="shared" ref="H367:P367" si="239">G367+1</f>
        <v>2025</v>
      </c>
      <c r="I367" s="27">
        <f t="shared" si="239"/>
        <v>2026</v>
      </c>
      <c r="J367" s="27">
        <f t="shared" si="239"/>
        <v>2027</v>
      </c>
      <c r="K367" s="27">
        <f t="shared" si="239"/>
        <v>2028</v>
      </c>
      <c r="L367" s="27">
        <f t="shared" si="239"/>
        <v>2029</v>
      </c>
      <c r="M367" s="27">
        <f t="shared" si="239"/>
        <v>2030</v>
      </c>
      <c r="N367" s="27">
        <f t="shared" si="239"/>
        <v>2031</v>
      </c>
      <c r="O367" s="27">
        <f t="shared" si="239"/>
        <v>2032</v>
      </c>
      <c r="P367" s="30">
        <f t="shared" si="239"/>
        <v>2033</v>
      </c>
    </row>
    <row r="368" spans="2:16" x14ac:dyDescent="0.3">
      <c r="B368" s="5"/>
      <c r="P368" s="16"/>
    </row>
    <row r="369" spans="2:16" x14ac:dyDescent="0.3">
      <c r="B369" s="5" t="s">
        <v>364</v>
      </c>
      <c r="F369" s="216">
        <f t="shared" ref="F369:P369" si="240">F238+F237</f>
        <v>300</v>
      </c>
      <c r="G369" s="216">
        <f t="shared" si="240"/>
        <v>260</v>
      </c>
      <c r="H369" s="216">
        <f t="shared" si="240"/>
        <v>228</v>
      </c>
      <c r="I369" s="216">
        <f t="shared" si="240"/>
        <v>202.4</v>
      </c>
      <c r="J369" s="216">
        <f t="shared" si="240"/>
        <v>181.92000000000002</v>
      </c>
      <c r="K369" s="216">
        <f t="shared" si="240"/>
        <v>165.536</v>
      </c>
      <c r="L369" s="216">
        <f t="shared" si="240"/>
        <v>152.4288</v>
      </c>
      <c r="M369" s="216">
        <f t="shared" si="240"/>
        <v>141.94304</v>
      </c>
      <c r="N369" s="216">
        <f t="shared" si="240"/>
        <v>133.55443200000002</v>
      </c>
      <c r="O369" s="216">
        <f t="shared" si="240"/>
        <v>54.196791856967373</v>
      </c>
      <c r="P369" s="255">
        <f t="shared" si="240"/>
        <v>21.474836480000004</v>
      </c>
    </row>
    <row r="370" spans="2:16" x14ac:dyDescent="0.3">
      <c r="B370" s="24" t="s">
        <v>365</v>
      </c>
      <c r="G370" s="275">
        <f t="shared" ref="G370:P370" si="241">IFERROR((G369-F369)/$F$369,0)</f>
        <v>-0.13333333333333333</v>
      </c>
      <c r="H370" s="275">
        <f t="shared" si="241"/>
        <v>-0.10666666666666667</v>
      </c>
      <c r="I370" s="275">
        <f t="shared" si="241"/>
        <v>-8.5333333333333317E-2</v>
      </c>
      <c r="J370" s="275">
        <f t="shared" si="241"/>
        <v>-6.8266666666666628E-2</v>
      </c>
      <c r="K370" s="275">
        <f t="shared" si="241"/>
        <v>-5.4613333333333382E-2</v>
      </c>
      <c r="L370" s="275">
        <f t="shared" si="241"/>
        <v>-4.3690666666666683E-2</v>
      </c>
      <c r="M370" s="275">
        <f t="shared" si="241"/>
        <v>-3.4952533333333327E-2</v>
      </c>
      <c r="N370" s="275">
        <f t="shared" si="241"/>
        <v>-2.7962026666666587E-2</v>
      </c>
      <c r="O370" s="275">
        <f t="shared" si="241"/>
        <v>-0.26452546714344216</v>
      </c>
      <c r="P370" s="276">
        <f t="shared" si="241"/>
        <v>-0.10907318458989124</v>
      </c>
    </row>
    <row r="371" spans="2:16" x14ac:dyDescent="0.3">
      <c r="B371" s="24" t="s">
        <v>181</v>
      </c>
      <c r="G371" s="235">
        <f>G370</f>
        <v>-0.13333333333333333</v>
      </c>
      <c r="H371" s="235">
        <f>G371+H370</f>
        <v>-0.24</v>
      </c>
      <c r="I371" s="235">
        <f t="shared" ref="I371:P371" si="242">H371+I370</f>
        <v>-0.32533333333333331</v>
      </c>
      <c r="J371" s="235">
        <f t="shared" si="242"/>
        <v>-0.39359999999999995</v>
      </c>
      <c r="K371" s="235">
        <f t="shared" si="242"/>
        <v>-0.44821333333333335</v>
      </c>
      <c r="L371" s="235">
        <f t="shared" si="242"/>
        <v>-0.49190400000000001</v>
      </c>
      <c r="M371" s="235">
        <f t="shared" si="242"/>
        <v>-0.52685653333333338</v>
      </c>
      <c r="N371" s="235">
        <f t="shared" si="242"/>
        <v>-0.55481855999999996</v>
      </c>
      <c r="O371" s="235">
        <f t="shared" si="242"/>
        <v>-0.81934402714344212</v>
      </c>
      <c r="P371" s="277">
        <f t="shared" si="242"/>
        <v>-0.92841721173333336</v>
      </c>
    </row>
    <row r="372" spans="2:16" x14ac:dyDescent="0.3">
      <c r="B372" s="5"/>
      <c r="P372" s="16"/>
    </row>
    <row r="373" spans="2:16" x14ac:dyDescent="0.3">
      <c r="B373" s="5" t="s">
        <v>366</v>
      </c>
      <c r="F373" s="216">
        <f t="shared" ref="F373:P373" si="243">SUMPRODUCT($U$65:$U$71,_xlfn.VSTACK(F230,F236:F241))</f>
        <v>500</v>
      </c>
      <c r="G373" s="216">
        <f t="shared" si="243"/>
        <v>362.54889355625835</v>
      </c>
      <c r="H373" s="216">
        <f t="shared" si="243"/>
        <v>290.3655445565463</v>
      </c>
      <c r="I373" s="216">
        <f t="shared" si="243"/>
        <v>205.58584749027096</v>
      </c>
      <c r="J373" s="216">
        <f t="shared" si="243"/>
        <v>181.92000000000002</v>
      </c>
      <c r="K373" s="216">
        <f t="shared" si="243"/>
        <v>165.536</v>
      </c>
      <c r="L373" s="216">
        <f t="shared" si="243"/>
        <v>152.4288</v>
      </c>
      <c r="M373" s="216">
        <f t="shared" si="243"/>
        <v>141.94304</v>
      </c>
      <c r="N373" s="216">
        <f t="shared" si="243"/>
        <v>133.55443200000002</v>
      </c>
      <c r="O373" s="216">
        <f t="shared" si="243"/>
        <v>54.196791856967373</v>
      </c>
      <c r="P373" s="255">
        <f t="shared" si="243"/>
        <v>21.474836480000004</v>
      </c>
    </row>
    <row r="374" spans="2:16" x14ac:dyDescent="0.3">
      <c r="B374" s="24" t="s">
        <v>365</v>
      </c>
      <c r="G374" s="275">
        <f t="shared" ref="G374:P374" si="244">IFERROR((G373-F373)/$F$373,0)</f>
        <v>-0.27490221288748329</v>
      </c>
      <c r="H374" s="275">
        <f t="shared" si="244"/>
        <v>-0.14436669799942412</v>
      </c>
      <c r="I374" s="275">
        <f t="shared" si="244"/>
        <v>-0.16955939413255067</v>
      </c>
      <c r="J374" s="275">
        <f t="shared" si="244"/>
        <v>-4.7331694980541898E-2</v>
      </c>
      <c r="K374" s="275">
        <f t="shared" si="244"/>
        <v>-3.2768000000000026E-2</v>
      </c>
      <c r="L374" s="275">
        <f t="shared" si="244"/>
        <v>-2.6214400000000013E-2</v>
      </c>
      <c r="M374" s="275">
        <f t="shared" si="244"/>
        <v>-2.0971519999999997E-2</v>
      </c>
      <c r="N374" s="275">
        <f t="shared" si="244"/>
        <v>-1.6777215999999952E-2</v>
      </c>
      <c r="O374" s="275">
        <f t="shared" si="244"/>
        <v>-0.1587152802860653</v>
      </c>
      <c r="P374" s="276">
        <f t="shared" si="244"/>
        <v>-6.5443910753934742E-2</v>
      </c>
    </row>
    <row r="375" spans="2:16" x14ac:dyDescent="0.3">
      <c r="B375" s="24" t="s">
        <v>181</v>
      </c>
      <c r="G375" s="235">
        <f>G374</f>
        <v>-0.27490221288748329</v>
      </c>
      <c r="H375" s="235">
        <f>G375+H374</f>
        <v>-0.41926891088690743</v>
      </c>
      <c r="I375" s="235">
        <f t="shared" ref="I375:P375" si="245">H375+I374</f>
        <v>-0.58882830501945804</v>
      </c>
      <c r="J375" s="235">
        <f t="shared" si="245"/>
        <v>-0.63615999999999995</v>
      </c>
      <c r="K375" s="235">
        <f t="shared" si="245"/>
        <v>-0.66892799999999997</v>
      </c>
      <c r="L375" s="235">
        <f t="shared" si="245"/>
        <v>-0.69514239999999994</v>
      </c>
      <c r="M375" s="235">
        <f t="shared" si="245"/>
        <v>-0.71611391999999996</v>
      </c>
      <c r="N375" s="235">
        <f t="shared" si="245"/>
        <v>-0.73289113599999989</v>
      </c>
      <c r="O375" s="235">
        <f t="shared" si="245"/>
        <v>-0.89160641628606518</v>
      </c>
      <c r="P375" s="277">
        <f t="shared" si="245"/>
        <v>-0.95705032703999993</v>
      </c>
    </row>
    <row r="376" spans="2:16" x14ac:dyDescent="0.3">
      <c r="B376" s="24"/>
      <c r="P376" s="16"/>
    </row>
    <row r="377" spans="2:16" x14ac:dyDescent="0.3">
      <c r="B377" s="5" t="s">
        <v>367</v>
      </c>
      <c r="F377" s="216">
        <f t="shared" ref="F377:P377" si="246">F239</f>
        <v>200</v>
      </c>
      <c r="G377" s="216">
        <f t="shared" si="246"/>
        <v>102.54889355625838</v>
      </c>
      <c r="H377" s="216">
        <f t="shared" si="246"/>
        <v>62.365544556546325</v>
      </c>
      <c r="I377" s="216">
        <f t="shared" si="246"/>
        <v>3.1858474902709517</v>
      </c>
      <c r="J377" s="216">
        <f t="shared" si="246"/>
        <v>0</v>
      </c>
      <c r="K377" s="216">
        <f t="shared" si="246"/>
        <v>0</v>
      </c>
      <c r="L377" s="216">
        <f t="shared" si="246"/>
        <v>0</v>
      </c>
      <c r="M377" s="216">
        <f t="shared" si="246"/>
        <v>0</v>
      </c>
      <c r="N377" s="216">
        <f t="shared" si="246"/>
        <v>0</v>
      </c>
      <c r="O377" s="216">
        <f t="shared" si="246"/>
        <v>0</v>
      </c>
      <c r="P377" s="255">
        <f t="shared" si="246"/>
        <v>0</v>
      </c>
    </row>
    <row r="378" spans="2:16" x14ac:dyDescent="0.3">
      <c r="B378" s="24" t="s">
        <v>365</v>
      </c>
      <c r="G378" s="275">
        <f t="shared" ref="G378:P378" si="247">IFERROR((G377-F377)/$F$377,0)</f>
        <v>-0.4872555322187081</v>
      </c>
      <c r="H378" s="275">
        <f t="shared" si="247"/>
        <v>-0.20091674499856027</v>
      </c>
      <c r="I378" s="275">
        <f t="shared" si="247"/>
        <v>-0.29589848533137686</v>
      </c>
      <c r="J378" s="275">
        <f t="shared" si="247"/>
        <v>-1.5929237451354758E-2</v>
      </c>
      <c r="K378" s="275">
        <f t="shared" si="247"/>
        <v>0</v>
      </c>
      <c r="L378" s="275">
        <f t="shared" si="247"/>
        <v>0</v>
      </c>
      <c r="M378" s="275">
        <f t="shared" si="247"/>
        <v>0</v>
      </c>
      <c r="N378" s="275">
        <f t="shared" si="247"/>
        <v>0</v>
      </c>
      <c r="O378" s="275">
        <f t="shared" si="247"/>
        <v>0</v>
      </c>
      <c r="P378" s="276">
        <f t="shared" si="247"/>
        <v>0</v>
      </c>
    </row>
    <row r="379" spans="2:16" x14ac:dyDescent="0.3">
      <c r="B379" s="24" t="s">
        <v>181</v>
      </c>
      <c r="G379" s="235">
        <f>G378</f>
        <v>-0.4872555322187081</v>
      </c>
      <c r="H379" s="235">
        <f>G379+H378</f>
        <v>-0.68817227721726837</v>
      </c>
      <c r="I379" s="235">
        <f t="shared" ref="I379:P379" si="248">H379+I378</f>
        <v>-0.98407076254864523</v>
      </c>
      <c r="J379" s="235">
        <f t="shared" si="248"/>
        <v>-1</v>
      </c>
      <c r="K379" s="235">
        <f t="shared" si="248"/>
        <v>-1</v>
      </c>
      <c r="L379" s="235">
        <f t="shared" si="248"/>
        <v>-1</v>
      </c>
      <c r="M379" s="235">
        <f t="shared" si="248"/>
        <v>-1</v>
      </c>
      <c r="N379" s="235">
        <f t="shared" si="248"/>
        <v>-1</v>
      </c>
      <c r="O379" s="235">
        <f t="shared" si="248"/>
        <v>-1</v>
      </c>
      <c r="P379" s="277">
        <f t="shared" si="248"/>
        <v>-1</v>
      </c>
    </row>
    <row r="380" spans="2:16" x14ac:dyDescent="0.3">
      <c r="B380" s="24"/>
      <c r="P380" s="16"/>
    </row>
    <row r="381" spans="2:16" x14ac:dyDescent="0.3">
      <c r="B381" s="32" t="s">
        <v>368</v>
      </c>
      <c r="P381" s="16"/>
    </row>
    <row r="382" spans="2:16" x14ac:dyDescent="0.3">
      <c r="B382" s="32"/>
      <c r="P382" s="16"/>
    </row>
    <row r="383" spans="2:16" x14ac:dyDescent="0.3">
      <c r="B383" s="5" t="s">
        <v>369</v>
      </c>
      <c r="F383" s="216">
        <f t="shared" ref="F383:P383" si="249">IFERROR(F215/F233,"NA")</f>
        <v>2.6697413205975615</v>
      </c>
      <c r="G383" s="216">
        <f t="shared" si="249"/>
        <v>2.0367593840143052</v>
      </c>
      <c r="H383" s="216">
        <f t="shared" si="249"/>
        <v>2.0122086405695274</v>
      </c>
      <c r="I383" s="216">
        <f t="shared" si="249"/>
        <v>1.9898897828924567</v>
      </c>
      <c r="J383" s="216">
        <f t="shared" si="249"/>
        <v>1.973357295724256</v>
      </c>
      <c r="K383" s="216">
        <f t="shared" si="249"/>
        <v>1.9580494372351811</v>
      </c>
      <c r="L383" s="216">
        <f t="shared" si="249"/>
        <v>1.9438754941897416</v>
      </c>
      <c r="M383" s="216">
        <f t="shared" si="249"/>
        <v>1.933846760902874</v>
      </c>
      <c r="N383" s="216">
        <f t="shared" si="249"/>
        <v>1.9258874487704396</v>
      </c>
      <c r="O383" s="216">
        <f t="shared" si="249"/>
        <v>1.9183071515014547</v>
      </c>
      <c r="P383" s="255">
        <f t="shared" si="249"/>
        <v>2.2776163617495597</v>
      </c>
    </row>
    <row r="384" spans="2:16" x14ac:dyDescent="0.3">
      <c r="B384" s="5"/>
      <c r="P384" s="16"/>
    </row>
    <row r="385" spans="2:19" x14ac:dyDescent="0.3">
      <c r="B385" s="5" t="s">
        <v>370</v>
      </c>
      <c r="P385" s="16"/>
    </row>
    <row r="386" spans="2:19" x14ac:dyDescent="0.3">
      <c r="B386" s="24" t="s">
        <v>235</v>
      </c>
      <c r="F386" s="216">
        <f t="shared" ref="F386:P386" si="250">IFERROR(F242/F251,"NA")</f>
        <v>1.4515639810426542</v>
      </c>
      <c r="G386" s="216">
        <f t="shared" si="250"/>
        <v>1.2045192549592192</v>
      </c>
      <c r="H386" s="216">
        <f t="shared" si="250"/>
        <v>1.0570248061358136</v>
      </c>
      <c r="I386" s="216">
        <f t="shared" si="250"/>
        <v>0.90149410841237154</v>
      </c>
      <c r="J386" s="216">
        <f t="shared" si="250"/>
        <v>0.72737469215619965</v>
      </c>
      <c r="K386" s="216">
        <f t="shared" si="250"/>
        <v>0.56099547755989454</v>
      </c>
      <c r="L386" s="216">
        <f t="shared" si="250"/>
        <v>0.40532092868725833</v>
      </c>
      <c r="M386" s="216">
        <f t="shared" si="250"/>
        <v>0.26895392537881979</v>
      </c>
      <c r="N386" s="216">
        <f t="shared" si="250"/>
        <v>0.14634916684212232</v>
      </c>
      <c r="O386" s="216">
        <f t="shared" si="250"/>
        <v>3.529430539221886E-2</v>
      </c>
      <c r="P386" s="255">
        <f t="shared" si="250"/>
        <v>1.2558123183638395E-2</v>
      </c>
    </row>
    <row r="387" spans="2:19" x14ac:dyDescent="0.3">
      <c r="B387" s="24" t="s">
        <v>371</v>
      </c>
      <c r="F387" s="216">
        <f t="shared" ref="F387:P387" si="251">IFERROR(F242/(F242+F251),"NA")</f>
        <v>0.59209712341478504</v>
      </c>
      <c r="G387" s="216">
        <f t="shared" si="251"/>
        <v>0.54638636167480481</v>
      </c>
      <c r="H387" s="216">
        <f t="shared" si="251"/>
        <v>0.51386099136133823</v>
      </c>
      <c r="I387" s="216">
        <f t="shared" si="251"/>
        <v>0.47409776576434554</v>
      </c>
      <c r="J387" s="216">
        <f t="shared" si="251"/>
        <v>0.42108680615683464</v>
      </c>
      <c r="K387" s="216">
        <f t="shared" si="251"/>
        <v>0.35938315365066104</v>
      </c>
      <c r="L387" s="216">
        <f t="shared" si="251"/>
        <v>0.28841876642787756</v>
      </c>
      <c r="M387" s="216">
        <f t="shared" si="251"/>
        <v>0.21194932298154892</v>
      </c>
      <c r="N387" s="216">
        <f t="shared" si="251"/>
        <v>0.12766543656613294</v>
      </c>
      <c r="O387" s="216">
        <f t="shared" si="251"/>
        <v>3.4091084253426558E-2</v>
      </c>
      <c r="P387" s="255">
        <f t="shared" si="251"/>
        <v>1.2402372660004667E-2</v>
      </c>
    </row>
    <row r="388" spans="2:19" x14ac:dyDescent="0.3">
      <c r="B388" s="24"/>
      <c r="P388" s="16"/>
    </row>
    <row r="389" spans="2:19" x14ac:dyDescent="0.3">
      <c r="B389" s="5" t="s">
        <v>372</v>
      </c>
      <c r="P389" s="16"/>
    </row>
    <row r="390" spans="2:19" x14ac:dyDescent="0.3">
      <c r="B390" s="24" t="s">
        <v>235</v>
      </c>
      <c r="F390" s="237">
        <f t="shared" ref="F390:P390" si="252">IF(F242-F210&gt;=0, IFERROR((F242-F210)/(F251),"NA"),"NA")</f>
        <v>1.2808034112244866</v>
      </c>
      <c r="G390" s="237">
        <f t="shared" si="252"/>
        <v>1.2045192549592192</v>
      </c>
      <c r="H390" s="237">
        <f t="shared" si="252"/>
        <v>1.0570248061358136</v>
      </c>
      <c r="I390" s="237">
        <f t="shared" si="252"/>
        <v>0.90149410841237154</v>
      </c>
      <c r="J390" s="237">
        <f t="shared" si="252"/>
        <v>0.72737469215619965</v>
      </c>
      <c r="K390" s="237">
        <f t="shared" si="252"/>
        <v>0.56099547755989454</v>
      </c>
      <c r="L390" s="237">
        <f t="shared" si="252"/>
        <v>0.40532092868725833</v>
      </c>
      <c r="M390" s="237">
        <f t="shared" si="252"/>
        <v>0.26895392537881979</v>
      </c>
      <c r="N390" s="237">
        <f t="shared" si="252"/>
        <v>0.14634916684212232</v>
      </c>
      <c r="O390" s="237">
        <f t="shared" si="252"/>
        <v>3.529430539221886E-2</v>
      </c>
      <c r="P390" s="238" t="str">
        <f t="shared" si="252"/>
        <v>NA</v>
      </c>
    </row>
    <row r="391" spans="2:19" x14ac:dyDescent="0.3">
      <c r="B391" s="24" t="s">
        <v>373</v>
      </c>
      <c r="F391" s="237">
        <f t="shared" ref="F391:P391" si="253">IF((F242-F210)/(F251+F242-F210)&gt;=0,IFERROR((F242-F210)/(F251+F242-F210),"NA"),"NA")</f>
        <v>0.56155800404422673</v>
      </c>
      <c r="G391" s="237">
        <f t="shared" si="253"/>
        <v>0.54638636167480481</v>
      </c>
      <c r="H391" s="237">
        <f t="shared" si="253"/>
        <v>0.51386099136133823</v>
      </c>
      <c r="I391" s="237">
        <f t="shared" si="253"/>
        <v>0.47409776576434554</v>
      </c>
      <c r="J391" s="237">
        <f t="shared" si="253"/>
        <v>0.42108680615683464</v>
      </c>
      <c r="K391" s="237">
        <f t="shared" si="253"/>
        <v>0.35938315365066104</v>
      </c>
      <c r="L391" s="237">
        <f t="shared" si="253"/>
        <v>0.28841876642787756</v>
      </c>
      <c r="M391" s="237">
        <f t="shared" si="253"/>
        <v>0.21194932298154892</v>
      </c>
      <c r="N391" s="237">
        <f t="shared" si="253"/>
        <v>0.12766543656613294</v>
      </c>
      <c r="O391" s="237">
        <f t="shared" si="253"/>
        <v>3.4091084253426558E-2</v>
      </c>
      <c r="P391" s="238" t="str">
        <f t="shared" si="253"/>
        <v>NA</v>
      </c>
    </row>
    <row r="392" spans="2:19" x14ac:dyDescent="0.3">
      <c r="B392" s="24"/>
      <c r="P392" s="16"/>
    </row>
    <row r="393" spans="2:19" x14ac:dyDescent="0.3">
      <c r="B393" s="5" t="s">
        <v>374</v>
      </c>
      <c r="P393" s="16"/>
    </row>
    <row r="394" spans="2:19" x14ac:dyDescent="0.3">
      <c r="B394" s="24" t="s">
        <v>235</v>
      </c>
      <c r="F394" s="237">
        <f t="shared" ref="F394:P394" si="254">IF(ISERROR((F373-F210)/F251),"NA",IF((F373-F210)/F251&gt;=0,(F373-F210)/F251,"NA"))</f>
        <v>0.619128845663665</v>
      </c>
      <c r="G394" s="237">
        <f t="shared" si="254"/>
        <v>0.53932687885758845</v>
      </c>
      <c r="H394" s="237">
        <f t="shared" si="254"/>
        <v>0.39976216593660924</v>
      </c>
      <c r="I394" s="237">
        <f t="shared" si="254"/>
        <v>0.25910746763148057</v>
      </c>
      <c r="J394" s="237">
        <f t="shared" si="254"/>
        <v>0.20657658543461874</v>
      </c>
      <c r="K394" s="237">
        <f t="shared" si="254"/>
        <v>0.16835200786409904</v>
      </c>
      <c r="L394" s="237">
        <f t="shared" si="254"/>
        <v>0.13821211926949928</v>
      </c>
      <c r="M394" s="237">
        <f t="shared" si="254"/>
        <v>0.11531968055443363</v>
      </c>
      <c r="N394" s="237">
        <f t="shared" si="254"/>
        <v>9.716700473700611E-2</v>
      </c>
      <c r="O394" s="237">
        <f t="shared" si="254"/>
        <v>3.529430539221886E-2</v>
      </c>
      <c r="P394" s="238" t="str">
        <f t="shared" si="254"/>
        <v>NA</v>
      </c>
    </row>
    <row r="395" spans="2:19" x14ac:dyDescent="0.3">
      <c r="B395" s="24" t="s">
        <v>373</v>
      </c>
      <c r="F395" s="237">
        <f t="shared" ref="F395:P395" si="255">IF(ISERROR((F373-F210)/(F242+F251-F210)),"NA",IF((F373-F210)/(F251+F242-F210)&gt;=0,(F373-F210) /(F251+F242-F210),"NA"))</f>
        <v>0.27145208684657113</v>
      </c>
      <c r="G395" s="237">
        <f t="shared" si="255"/>
        <v>0.2446460277651625</v>
      </c>
      <c r="H395" s="237">
        <f t="shared" si="255"/>
        <v>0.19433998303966746</v>
      </c>
      <c r="I395" s="237">
        <f t="shared" si="255"/>
        <v>0.13626519613453816</v>
      </c>
      <c r="J395" s="237">
        <f t="shared" si="255"/>
        <v>0.11958991084717063</v>
      </c>
      <c r="K395" s="237">
        <f t="shared" si="255"/>
        <v>0.10784913235447824</v>
      </c>
      <c r="L395" s="237">
        <f t="shared" si="255"/>
        <v>9.8349150324407622E-2</v>
      </c>
      <c r="M395" s="237">
        <f t="shared" si="255"/>
        <v>9.0877752334472942E-2</v>
      </c>
      <c r="N395" s="237">
        <f t="shared" si="255"/>
        <v>8.4762136657432721E-2</v>
      </c>
      <c r="O395" s="237">
        <f t="shared" si="255"/>
        <v>3.4091084253426558E-2</v>
      </c>
      <c r="P395" s="238" t="str">
        <f t="shared" si="255"/>
        <v>NA</v>
      </c>
      <c r="S395" s="131"/>
    </row>
    <row r="396" spans="2:19" x14ac:dyDescent="0.3">
      <c r="B396" s="24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7"/>
    </row>
    <row r="397" spans="2:19" x14ac:dyDescent="0.3">
      <c r="B397" s="5" t="s">
        <v>375</v>
      </c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7"/>
    </row>
    <row r="398" spans="2:19" ht="15" thickBot="1" x14ac:dyDescent="0.35">
      <c r="B398" s="134" t="s">
        <v>153</v>
      </c>
      <c r="C398" s="18"/>
      <c r="D398" s="18"/>
      <c r="E398" s="18"/>
      <c r="F398" s="286">
        <f t="shared" ref="F398:P398" si="256">IF(F242-F210&gt;=0, IFERROR((F242-F210)/F324,"NA"),"NA")</f>
        <v>5.8110978854746511</v>
      </c>
      <c r="G398" s="286">
        <f t="shared" si="256"/>
        <v>5.5971367539634196</v>
      </c>
      <c r="H398" s="286">
        <f t="shared" si="256"/>
        <v>4.8247358128045725</v>
      </c>
      <c r="I398" s="286">
        <f t="shared" si="256"/>
        <v>4.0862831754861793</v>
      </c>
      <c r="J398" s="286">
        <f t="shared" si="256"/>
        <v>3.3883328448830023</v>
      </c>
      <c r="K398" s="286">
        <f t="shared" si="256"/>
        <v>2.7017072458066225</v>
      </c>
      <c r="L398" s="286">
        <f t="shared" si="256"/>
        <v>2.0272203115797769</v>
      </c>
      <c r="M398" s="286">
        <f t="shared" si="256"/>
        <v>1.4163275696534678</v>
      </c>
      <c r="N398" s="286">
        <f t="shared" si="256"/>
        <v>0.81962575130277504</v>
      </c>
      <c r="O398" s="286">
        <f t="shared" si="256"/>
        <v>0.21031494346543098</v>
      </c>
      <c r="P398" s="287" t="str">
        <f t="shared" si="256"/>
        <v>NA</v>
      </c>
    </row>
    <row r="399" spans="2:19" x14ac:dyDescent="0.3">
      <c r="F399" s="34"/>
    </row>
    <row r="401" spans="2:16" x14ac:dyDescent="0.3">
      <c r="B401" s="12" t="s">
        <v>359</v>
      </c>
    </row>
    <row r="402" spans="2:16" x14ac:dyDescent="0.3">
      <c r="B402" t="str">
        <f xml:space="preserve"> _xlfn.CONCAT("(1) Senior Debt includes: ",IF(U65=1,V65,""),IF(U66=1,", "&amp;V66,""),IF(U67=1,", "&amp;V67,""),IF(U68=1,", "&amp;V68,""),IF(U69=1,", "&amp;V69,""),IF(U70=1,", "&amp;V70,""),IF(U71=1,", "&amp;V71,""),".")</f>
        <v>(1) Senior Debt includes: Short-term Debt, Existing Debt, Revolver, Term Loan, Senior Unsecured Debt.</v>
      </c>
    </row>
    <row r="403" spans="2:16" x14ac:dyDescent="0.3">
      <c r="B403" t="s">
        <v>360</v>
      </c>
    </row>
    <row r="404" spans="2:16" x14ac:dyDescent="0.3">
      <c r="B404" t="s">
        <v>361</v>
      </c>
    </row>
    <row r="409" spans="2:16" x14ac:dyDescent="0.3">
      <c r="B409" s="413" t="s">
        <v>376</v>
      </c>
      <c r="C409" s="413"/>
      <c r="D409" s="413"/>
      <c r="E409" s="413"/>
      <c r="F409" s="413"/>
      <c r="G409" s="413"/>
      <c r="H409" s="413"/>
      <c r="I409" s="413"/>
      <c r="J409" s="413"/>
      <c r="K409" s="413"/>
      <c r="L409" s="413"/>
      <c r="M409" s="413"/>
      <c r="N409" s="413"/>
      <c r="O409" s="413"/>
      <c r="P409" s="413"/>
    </row>
    <row r="410" spans="2:16" ht="15" thickBot="1" x14ac:dyDescent="0.35"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</row>
    <row r="411" spans="2:16" x14ac:dyDescent="0.3">
      <c r="B411" s="57"/>
      <c r="C411" s="288"/>
      <c r="D411" s="288"/>
      <c r="E411" s="288"/>
      <c r="F411" s="9"/>
      <c r="G411" s="411" t="str">
        <f>"Projected Fiscal Years Ending "&amp;Y13</f>
        <v>Projected Fiscal Years Ending December 31,</v>
      </c>
      <c r="H411" s="408"/>
      <c r="I411" s="408"/>
      <c r="J411" s="408"/>
      <c r="K411" s="408"/>
      <c r="L411" s="408"/>
      <c r="M411" s="408"/>
      <c r="N411" s="408"/>
      <c r="O411" s="408"/>
      <c r="P411" s="412"/>
    </row>
    <row r="412" spans="2:16" x14ac:dyDescent="0.3">
      <c r="B412" s="61"/>
      <c r="G412" s="99">
        <f>$Y$12</f>
        <v>2024</v>
      </c>
      <c r="H412" s="99">
        <f>G412+1</f>
        <v>2025</v>
      </c>
      <c r="I412" s="99">
        <f t="shared" ref="I412:P412" si="257">H412+1</f>
        <v>2026</v>
      </c>
      <c r="J412" s="99">
        <f t="shared" si="257"/>
        <v>2027</v>
      </c>
      <c r="K412" s="99">
        <f t="shared" si="257"/>
        <v>2028</v>
      </c>
      <c r="L412" s="99">
        <f t="shared" si="257"/>
        <v>2029</v>
      </c>
      <c r="M412" s="99">
        <f t="shared" si="257"/>
        <v>2030</v>
      </c>
      <c r="N412" s="99">
        <f t="shared" si="257"/>
        <v>2031</v>
      </c>
      <c r="O412" s="99">
        <f t="shared" si="257"/>
        <v>2032</v>
      </c>
      <c r="P412" s="100">
        <f t="shared" si="257"/>
        <v>2033</v>
      </c>
    </row>
    <row r="413" spans="2:16" x14ac:dyDescent="0.3">
      <c r="B413" s="61"/>
      <c r="G413" s="53"/>
      <c r="H413" s="53"/>
      <c r="I413" s="53"/>
      <c r="J413" s="53"/>
      <c r="K413" s="53"/>
      <c r="L413" s="53"/>
      <c r="M413" s="53"/>
      <c r="N413" s="53"/>
      <c r="O413" s="53"/>
      <c r="P413" s="94"/>
    </row>
    <row r="414" spans="2:16" x14ac:dyDescent="0.3">
      <c r="B414" s="61" t="s">
        <v>308</v>
      </c>
      <c r="G414" s="289">
        <f t="shared" ref="G414:P414" si="258">G191</f>
        <v>54.224781980485936</v>
      </c>
      <c r="H414" s="289">
        <f t="shared" si="258"/>
        <v>70.183963539626177</v>
      </c>
      <c r="I414" s="289">
        <f t="shared" si="258"/>
        <v>85.677572344663957</v>
      </c>
      <c r="J414" s="289">
        <f t="shared" si="258"/>
        <v>109.73276559586373</v>
      </c>
      <c r="K414" s="289">
        <f t="shared" si="258"/>
        <v>127.55724817482962</v>
      </c>
      <c r="L414" s="289">
        <f t="shared" si="258"/>
        <v>147.58974332827512</v>
      </c>
      <c r="M414" s="289">
        <f t="shared" si="258"/>
        <v>166.03837744383947</v>
      </c>
      <c r="N414" s="289">
        <f t="shared" si="258"/>
        <v>187.13739763795434</v>
      </c>
      <c r="O414" s="289">
        <f t="shared" si="258"/>
        <v>210.74086962880321</v>
      </c>
      <c r="P414" s="290">
        <f t="shared" si="258"/>
        <v>228.82690841761345</v>
      </c>
    </row>
    <row r="415" spans="2:16" x14ac:dyDescent="0.3">
      <c r="B415" s="61"/>
      <c r="G415" s="289"/>
      <c r="H415" s="289"/>
      <c r="I415" s="289"/>
      <c r="J415" s="289"/>
      <c r="K415" s="289"/>
      <c r="L415" s="289"/>
      <c r="M415" s="289"/>
      <c r="N415" s="289"/>
      <c r="O415" s="289"/>
      <c r="P415" s="290"/>
    </row>
    <row r="416" spans="2:16" x14ac:dyDescent="0.3">
      <c r="B416" s="61" t="s">
        <v>377</v>
      </c>
      <c r="G416" s="289"/>
      <c r="H416" s="289"/>
      <c r="I416" s="289"/>
      <c r="J416" s="289"/>
      <c r="K416" s="289"/>
      <c r="L416" s="289"/>
      <c r="M416" s="289"/>
      <c r="N416" s="289"/>
      <c r="O416" s="289"/>
      <c r="P416" s="290"/>
    </row>
    <row r="417" spans="2:16" x14ac:dyDescent="0.3">
      <c r="B417" s="65" t="str">
        <f>"Amortization of Goodwill: deductible for tax purpose only ("&amp;$Y$15&amp;" years)"</f>
        <v>Amortization of Goodwill: deductible for tax purpose only (15 years)</v>
      </c>
      <c r="G417" s="289">
        <f>IF(AND(G412-$Y$12&lt;$Y$15,$G$148&gt;0),$G$148/$Y$15,0)*-1</f>
        <v>-77.446110228927722</v>
      </c>
      <c r="H417" s="289">
        <f t="shared" ref="H417:P417" si="259">IF(AND(H412-$Y$12&lt;$Y$15,$G$148&gt;0),$G$148/$Y$15,0)*-1</f>
        <v>-77.446110228927722</v>
      </c>
      <c r="I417" s="289">
        <f t="shared" si="259"/>
        <v>-77.446110228927722</v>
      </c>
      <c r="J417" s="289">
        <f t="shared" si="259"/>
        <v>-77.446110228927722</v>
      </c>
      <c r="K417" s="289">
        <f t="shared" si="259"/>
        <v>-77.446110228927722</v>
      </c>
      <c r="L417" s="289">
        <f t="shared" si="259"/>
        <v>-77.446110228927722</v>
      </c>
      <c r="M417" s="289">
        <f t="shared" si="259"/>
        <v>-77.446110228927722</v>
      </c>
      <c r="N417" s="289">
        <f t="shared" si="259"/>
        <v>-77.446110228927722</v>
      </c>
      <c r="O417" s="289">
        <f t="shared" si="259"/>
        <v>-77.446110228927722</v>
      </c>
      <c r="P417" s="290">
        <f t="shared" si="259"/>
        <v>-77.446110228927722</v>
      </c>
    </row>
    <row r="418" spans="2:16" x14ac:dyDescent="0.3">
      <c r="B418" s="65" t="s">
        <v>378</v>
      </c>
      <c r="G418" s="289">
        <f t="shared" ref="G418:P418" si="260">$AG$14*G287*$AG$16*AA129*-1</f>
        <v>0</v>
      </c>
      <c r="H418" s="289">
        <f t="shared" si="260"/>
        <v>0</v>
      </c>
      <c r="I418" s="289">
        <f t="shared" si="260"/>
        <v>0</v>
      </c>
      <c r="J418" s="289">
        <f t="shared" si="260"/>
        <v>0</v>
      </c>
      <c r="K418" s="289">
        <f t="shared" si="260"/>
        <v>0</v>
      </c>
      <c r="L418" s="289">
        <f t="shared" si="260"/>
        <v>0</v>
      </c>
      <c r="M418" s="289">
        <f t="shared" si="260"/>
        <v>0</v>
      </c>
      <c r="N418" s="289">
        <f t="shared" si="260"/>
        <v>0</v>
      </c>
      <c r="O418" s="289">
        <f t="shared" si="260"/>
        <v>0</v>
      </c>
      <c r="P418" s="290">
        <f t="shared" si="260"/>
        <v>0</v>
      </c>
    </row>
    <row r="419" spans="2:16" x14ac:dyDescent="0.3">
      <c r="B419" s="65" t="s">
        <v>379</v>
      </c>
      <c r="G419" s="289">
        <f t="shared" ref="G419:P419" si="261">AA149</f>
        <v>18.492445236125626</v>
      </c>
      <c r="H419" s="289">
        <f t="shared" si="261"/>
        <v>11.350645667475</v>
      </c>
      <c r="I419" s="289">
        <f t="shared" si="261"/>
        <v>5.5561570519757595</v>
      </c>
      <c r="J419" s="289">
        <f t="shared" si="261"/>
        <v>-3.3275140882877281</v>
      </c>
      <c r="K419" s="289">
        <f t="shared" si="261"/>
        <v>-11.93395283911623</v>
      </c>
      <c r="L419" s="289">
        <f t="shared" si="261"/>
        <v>-20.137781028172427</v>
      </c>
      <c r="M419" s="289">
        <f t="shared" si="261"/>
        <v>0</v>
      </c>
      <c r="N419" s="289">
        <f t="shared" si="261"/>
        <v>0</v>
      </c>
      <c r="O419" s="289">
        <f t="shared" si="261"/>
        <v>0</v>
      </c>
      <c r="P419" s="290">
        <f t="shared" si="261"/>
        <v>0</v>
      </c>
    </row>
    <row r="420" spans="2:16" x14ac:dyDescent="0.3">
      <c r="B420" s="65" t="s">
        <v>380</v>
      </c>
      <c r="G420" s="278">
        <v>0</v>
      </c>
      <c r="H420" s="278">
        <v>0</v>
      </c>
      <c r="I420" s="278">
        <v>0</v>
      </c>
      <c r="J420" s="278">
        <v>0</v>
      </c>
      <c r="K420" s="278">
        <v>0</v>
      </c>
      <c r="L420" s="278">
        <v>0</v>
      </c>
      <c r="M420" s="278">
        <v>0</v>
      </c>
      <c r="N420" s="278">
        <v>0</v>
      </c>
      <c r="O420" s="278">
        <v>0</v>
      </c>
      <c r="P420" s="279">
        <v>0</v>
      </c>
    </row>
    <row r="421" spans="2:16" x14ac:dyDescent="0.3">
      <c r="B421" s="61"/>
      <c r="G421" s="289"/>
      <c r="H421" s="289"/>
      <c r="I421" s="289"/>
      <c r="J421" s="289"/>
      <c r="K421" s="289"/>
      <c r="L421" s="289"/>
      <c r="M421" s="289"/>
      <c r="N421" s="289"/>
      <c r="O421" s="289"/>
      <c r="P421" s="290"/>
    </row>
    <row r="422" spans="2:16" x14ac:dyDescent="0.3">
      <c r="B422" s="61" t="s">
        <v>381</v>
      </c>
      <c r="G422" s="280">
        <f>G414+SUM(G417:G420)</f>
        <v>-4.7288830123161603</v>
      </c>
      <c r="H422" s="280">
        <f t="shared" ref="H422:P422" si="262">H414+SUM(H417:H420)</f>
        <v>4.0884989781734475</v>
      </c>
      <c r="I422" s="280">
        <f t="shared" si="262"/>
        <v>13.787619167711995</v>
      </c>
      <c r="J422" s="280">
        <f t="shared" si="262"/>
        <v>28.959141278648275</v>
      </c>
      <c r="K422" s="280">
        <f t="shared" si="262"/>
        <v>38.177185106785672</v>
      </c>
      <c r="L422" s="280">
        <f t="shared" si="262"/>
        <v>50.005852071174971</v>
      </c>
      <c r="M422" s="280">
        <f t="shared" si="262"/>
        <v>88.592267214911743</v>
      </c>
      <c r="N422" s="280">
        <f t="shared" si="262"/>
        <v>109.69128740902661</v>
      </c>
      <c r="O422" s="280">
        <f t="shared" si="262"/>
        <v>133.29475939987549</v>
      </c>
      <c r="P422" s="281">
        <f t="shared" si="262"/>
        <v>151.38079818868573</v>
      </c>
    </row>
    <row r="423" spans="2:16" x14ac:dyDescent="0.3">
      <c r="B423" s="61"/>
      <c r="G423" s="289"/>
      <c r="H423" s="289"/>
      <c r="I423" s="289"/>
      <c r="J423" s="289"/>
      <c r="K423" s="289"/>
      <c r="L423" s="289"/>
      <c r="M423" s="289"/>
      <c r="N423" s="289"/>
      <c r="O423" s="289"/>
      <c r="P423" s="290"/>
    </row>
    <row r="424" spans="2:16" x14ac:dyDescent="0.3">
      <c r="B424" s="95" t="s">
        <v>382</v>
      </c>
      <c r="G424" s="289"/>
      <c r="H424" s="289"/>
      <c r="I424" s="289"/>
      <c r="J424" s="289"/>
      <c r="K424" s="289"/>
      <c r="L424" s="289"/>
      <c r="M424" s="289"/>
      <c r="N424" s="289"/>
      <c r="O424" s="289"/>
      <c r="P424" s="290"/>
    </row>
    <row r="425" spans="2:16" x14ac:dyDescent="0.3">
      <c r="B425" s="65" t="s">
        <v>191</v>
      </c>
      <c r="G425" s="289">
        <f t="shared" ref="G425:P425" si="263">G86</f>
        <v>37.662872542778871</v>
      </c>
      <c r="H425" s="289">
        <f t="shared" si="263"/>
        <v>39.533075127301821</v>
      </c>
      <c r="I425" s="289">
        <f t="shared" si="263"/>
        <v>41.590297970277071</v>
      </c>
      <c r="J425" s="289">
        <f t="shared" si="263"/>
        <v>33.920230723320614</v>
      </c>
      <c r="K425" s="289">
        <f t="shared" si="263"/>
        <v>35.875415313284293</v>
      </c>
      <c r="L425" s="289">
        <f t="shared" si="263"/>
        <v>37.987014670445056</v>
      </c>
      <c r="M425" s="289">
        <f t="shared" si="263"/>
        <v>39.697410149745281</v>
      </c>
      <c r="N425" s="289">
        <f t="shared" si="263"/>
        <v>41.208259489793811</v>
      </c>
      <c r="O425" s="289">
        <f t="shared" si="263"/>
        <v>38.054439622457423</v>
      </c>
      <c r="P425" s="290">
        <f t="shared" si="263"/>
        <v>39.720151019860928</v>
      </c>
    </row>
    <row r="426" spans="2:16" x14ac:dyDescent="0.3">
      <c r="B426" s="65" t="s">
        <v>218</v>
      </c>
      <c r="G426" s="282">
        <f t="shared" ref="G426:P426" si="264">G88</f>
        <v>37.662872542778871</v>
      </c>
      <c r="H426" s="282">
        <f t="shared" si="264"/>
        <v>39.533075127301821</v>
      </c>
      <c r="I426" s="282">
        <f t="shared" si="264"/>
        <v>41.590297970277071</v>
      </c>
      <c r="J426" s="282">
        <f t="shared" si="264"/>
        <v>33.920230723320614</v>
      </c>
      <c r="K426" s="282">
        <f t="shared" si="264"/>
        <v>35.875415313284293</v>
      </c>
      <c r="L426" s="282">
        <f t="shared" si="264"/>
        <v>37.987014670445056</v>
      </c>
      <c r="M426" s="282">
        <f t="shared" si="264"/>
        <v>39.697410149745281</v>
      </c>
      <c r="N426" s="282">
        <f t="shared" si="264"/>
        <v>41.208259489793811</v>
      </c>
      <c r="O426" s="282">
        <f t="shared" si="264"/>
        <v>38.054439622457423</v>
      </c>
      <c r="P426" s="283">
        <f t="shared" si="264"/>
        <v>39.720151019860928</v>
      </c>
    </row>
    <row r="427" spans="2:16" x14ac:dyDescent="0.3">
      <c r="B427" s="92" t="s">
        <v>383</v>
      </c>
      <c r="G427" s="289">
        <f>G425-G426</f>
        <v>0</v>
      </c>
      <c r="H427" s="289">
        <f t="shared" ref="H427:P427" si="265">H425-H426</f>
        <v>0</v>
      </c>
      <c r="I427" s="289">
        <f t="shared" si="265"/>
        <v>0</v>
      </c>
      <c r="J427" s="289">
        <f t="shared" si="265"/>
        <v>0</v>
      </c>
      <c r="K427" s="289">
        <f t="shared" si="265"/>
        <v>0</v>
      </c>
      <c r="L427" s="289">
        <f t="shared" si="265"/>
        <v>0</v>
      </c>
      <c r="M427" s="289">
        <f t="shared" si="265"/>
        <v>0</v>
      </c>
      <c r="N427" s="289">
        <f t="shared" si="265"/>
        <v>0</v>
      </c>
      <c r="O427" s="289">
        <f t="shared" si="265"/>
        <v>0</v>
      </c>
      <c r="P427" s="290">
        <f t="shared" si="265"/>
        <v>0</v>
      </c>
    </row>
    <row r="428" spans="2:16" x14ac:dyDescent="0.3">
      <c r="B428" s="61"/>
      <c r="G428" s="289"/>
      <c r="H428" s="289"/>
      <c r="I428" s="289"/>
      <c r="J428" s="289"/>
      <c r="K428" s="289"/>
      <c r="L428" s="289"/>
      <c r="M428" s="289"/>
      <c r="N428" s="289"/>
      <c r="O428" s="289"/>
      <c r="P428" s="290"/>
    </row>
    <row r="429" spans="2:16" x14ac:dyDescent="0.3">
      <c r="B429" s="61" t="s">
        <v>384</v>
      </c>
      <c r="G429" s="289">
        <f>G422+G427</f>
        <v>-4.7288830123161603</v>
      </c>
      <c r="H429" s="289">
        <f t="shared" ref="H429:P429" si="266">H422+H427</f>
        <v>4.0884989781734475</v>
      </c>
      <c r="I429" s="289">
        <f t="shared" si="266"/>
        <v>13.787619167711995</v>
      </c>
      <c r="J429" s="289">
        <f t="shared" si="266"/>
        <v>28.959141278648275</v>
      </c>
      <c r="K429" s="289">
        <f t="shared" si="266"/>
        <v>38.177185106785672</v>
      </c>
      <c r="L429" s="289">
        <f t="shared" si="266"/>
        <v>50.005852071174971</v>
      </c>
      <c r="M429" s="289">
        <f t="shared" si="266"/>
        <v>88.592267214911743</v>
      </c>
      <c r="N429" s="289">
        <f t="shared" si="266"/>
        <v>109.69128740902661</v>
      </c>
      <c r="O429" s="289">
        <f t="shared" si="266"/>
        <v>133.29475939987549</v>
      </c>
      <c r="P429" s="290">
        <f t="shared" si="266"/>
        <v>151.38079818868573</v>
      </c>
    </row>
    <row r="430" spans="2:16" x14ac:dyDescent="0.3">
      <c r="B430" s="61"/>
      <c r="G430" s="289"/>
      <c r="H430" s="289"/>
      <c r="I430" s="289"/>
      <c r="J430" s="289"/>
      <c r="K430" s="289"/>
      <c r="L430" s="289"/>
      <c r="M430" s="289"/>
      <c r="N430" s="289"/>
      <c r="O430" s="289"/>
      <c r="P430" s="290"/>
    </row>
    <row r="431" spans="2:16" x14ac:dyDescent="0.3">
      <c r="B431" s="61" t="s">
        <v>385</v>
      </c>
      <c r="G431" s="237"/>
      <c r="H431" s="289"/>
      <c r="I431" s="289"/>
      <c r="J431" s="289"/>
      <c r="K431" s="289"/>
      <c r="L431" s="289"/>
      <c r="M431" s="289"/>
      <c r="N431" s="289"/>
      <c r="O431" s="289"/>
      <c r="P431" s="290"/>
    </row>
    <row r="432" spans="2:16" x14ac:dyDescent="0.3">
      <c r="B432" s="61" t="s">
        <v>386</v>
      </c>
      <c r="G432" s="278">
        <v>0</v>
      </c>
      <c r="H432" s="289">
        <f>G435</f>
        <v>4.7288830123161603</v>
      </c>
      <c r="I432" s="289">
        <f t="shared" ref="I432:P432" si="267">H435</f>
        <v>0.64038403414271272</v>
      </c>
      <c r="J432" s="289">
        <f t="shared" si="267"/>
        <v>0</v>
      </c>
      <c r="K432" s="289">
        <f t="shared" si="267"/>
        <v>0</v>
      </c>
      <c r="L432" s="289">
        <f t="shared" si="267"/>
        <v>0</v>
      </c>
      <c r="M432" s="289">
        <f t="shared" si="267"/>
        <v>0</v>
      </c>
      <c r="N432" s="289">
        <f t="shared" si="267"/>
        <v>0</v>
      </c>
      <c r="O432" s="289">
        <f t="shared" si="267"/>
        <v>0</v>
      </c>
      <c r="P432" s="290">
        <f t="shared" si="267"/>
        <v>0</v>
      </c>
    </row>
    <row r="433" spans="2:18" x14ac:dyDescent="0.3">
      <c r="B433" s="65" t="s">
        <v>281</v>
      </c>
      <c r="G433" s="289">
        <f>IF(G429&lt;0,G429*-1,0)</f>
        <v>4.7288830123161603</v>
      </c>
      <c r="H433" s="289">
        <f t="shared" ref="H433:P433" si="268">IF(H429&lt;0,H429*-1,0)</f>
        <v>0</v>
      </c>
      <c r="I433" s="289">
        <f t="shared" si="268"/>
        <v>0</v>
      </c>
      <c r="J433" s="289">
        <f t="shared" si="268"/>
        <v>0</v>
      </c>
      <c r="K433" s="289">
        <f t="shared" si="268"/>
        <v>0</v>
      </c>
      <c r="L433" s="289">
        <f t="shared" si="268"/>
        <v>0</v>
      </c>
      <c r="M433" s="289">
        <f t="shared" si="268"/>
        <v>0</v>
      </c>
      <c r="N433" s="289">
        <f t="shared" si="268"/>
        <v>0</v>
      </c>
      <c r="O433" s="289">
        <f t="shared" si="268"/>
        <v>0</v>
      </c>
      <c r="P433" s="290">
        <f t="shared" si="268"/>
        <v>0</v>
      </c>
    </row>
    <row r="434" spans="2:18" x14ac:dyDescent="0.3">
      <c r="B434" s="65" t="s">
        <v>282</v>
      </c>
      <c r="G434" s="284">
        <f>IF($AG$14=1,IF(G429&gt;0,MIN(G429*$AG$21,G432),0),IF(G429&gt;0,MIN(G429,G432),0))</f>
        <v>0</v>
      </c>
      <c r="H434" s="284">
        <f t="shared" ref="H434:P434" si="269">IF($AG$14=1,IF(H429&gt;0,MIN(H429*$AG$21,H432),0),IF(H429&gt;0,MIN(H429,H432),0))</f>
        <v>4.0884989781734475</v>
      </c>
      <c r="I434" s="284">
        <f t="shared" si="269"/>
        <v>0.64038403414271272</v>
      </c>
      <c r="J434" s="284">
        <f t="shared" si="269"/>
        <v>0</v>
      </c>
      <c r="K434" s="284">
        <f t="shared" si="269"/>
        <v>0</v>
      </c>
      <c r="L434" s="284">
        <f t="shared" si="269"/>
        <v>0</v>
      </c>
      <c r="M434" s="284">
        <f t="shared" si="269"/>
        <v>0</v>
      </c>
      <c r="N434" s="284">
        <f t="shared" si="269"/>
        <v>0</v>
      </c>
      <c r="O434" s="284">
        <f t="shared" si="269"/>
        <v>0</v>
      </c>
      <c r="P434" s="285">
        <f t="shared" si="269"/>
        <v>0</v>
      </c>
    </row>
    <row r="435" spans="2:18" x14ac:dyDescent="0.3">
      <c r="B435" s="61" t="s">
        <v>387</v>
      </c>
      <c r="G435" s="289">
        <f>G432+G433-G434</f>
        <v>4.7288830123161603</v>
      </c>
      <c r="H435" s="289">
        <f t="shared" ref="H435:P435" si="270">H432+H433-H434</f>
        <v>0.64038403414271272</v>
      </c>
      <c r="I435" s="289">
        <f t="shared" si="270"/>
        <v>0</v>
      </c>
      <c r="J435" s="289">
        <f t="shared" si="270"/>
        <v>0</v>
      </c>
      <c r="K435" s="289">
        <f t="shared" si="270"/>
        <v>0</v>
      </c>
      <c r="L435" s="289">
        <f t="shared" si="270"/>
        <v>0</v>
      </c>
      <c r="M435" s="289">
        <f t="shared" si="270"/>
        <v>0</v>
      </c>
      <c r="N435" s="289">
        <f t="shared" si="270"/>
        <v>0</v>
      </c>
      <c r="O435" s="289">
        <f t="shared" si="270"/>
        <v>0</v>
      </c>
      <c r="P435" s="290">
        <f t="shared" si="270"/>
        <v>0</v>
      </c>
      <c r="R435" s="284"/>
    </row>
    <row r="436" spans="2:18" x14ac:dyDescent="0.3">
      <c r="B436" s="61"/>
      <c r="G436" s="289"/>
      <c r="H436" s="289"/>
      <c r="I436" s="289"/>
      <c r="J436" s="289"/>
      <c r="K436" s="289"/>
      <c r="L436" s="289"/>
      <c r="M436" s="289"/>
      <c r="N436" s="289"/>
      <c r="O436" s="289"/>
      <c r="P436" s="290"/>
    </row>
    <row r="437" spans="2:18" x14ac:dyDescent="0.3">
      <c r="B437" s="61" t="s">
        <v>388</v>
      </c>
      <c r="G437" s="289">
        <f>G434</f>
        <v>0</v>
      </c>
      <c r="H437" s="289">
        <f t="shared" ref="H437:P437" si="271">H434</f>
        <v>4.0884989781734475</v>
      </c>
      <c r="I437" s="289">
        <f t="shared" si="271"/>
        <v>0.64038403414271272</v>
      </c>
      <c r="J437" s="289">
        <f t="shared" si="271"/>
        <v>0</v>
      </c>
      <c r="K437" s="289">
        <f t="shared" si="271"/>
        <v>0</v>
      </c>
      <c r="L437" s="289">
        <f t="shared" si="271"/>
        <v>0</v>
      </c>
      <c r="M437" s="289">
        <f t="shared" si="271"/>
        <v>0</v>
      </c>
      <c r="N437" s="289">
        <f t="shared" si="271"/>
        <v>0</v>
      </c>
      <c r="O437" s="289">
        <f t="shared" si="271"/>
        <v>0</v>
      </c>
      <c r="P437" s="290">
        <f t="shared" si="271"/>
        <v>0</v>
      </c>
    </row>
    <row r="438" spans="2:18" x14ac:dyDescent="0.3">
      <c r="B438" s="61"/>
      <c r="G438" s="289"/>
      <c r="H438" s="289"/>
      <c r="I438" s="289"/>
      <c r="J438" s="289"/>
      <c r="K438" s="289"/>
      <c r="L438" s="289"/>
      <c r="M438" s="289"/>
      <c r="N438" s="289"/>
      <c r="O438" s="289"/>
      <c r="P438" s="290"/>
    </row>
    <row r="439" spans="2:18" x14ac:dyDescent="0.3">
      <c r="B439" s="61" t="s">
        <v>389</v>
      </c>
      <c r="G439" s="289">
        <f>G429+G433-G437</f>
        <v>0</v>
      </c>
      <c r="H439" s="289">
        <f t="shared" ref="H439:P439" si="272">H429+H433-H437</f>
        <v>0</v>
      </c>
      <c r="I439" s="289">
        <f t="shared" si="272"/>
        <v>13.147235133569282</v>
      </c>
      <c r="J439" s="289">
        <f t="shared" si="272"/>
        <v>28.959141278648275</v>
      </c>
      <c r="K439" s="289">
        <f t="shared" si="272"/>
        <v>38.177185106785672</v>
      </c>
      <c r="L439" s="289">
        <f t="shared" si="272"/>
        <v>50.005852071174971</v>
      </c>
      <c r="M439" s="289">
        <f t="shared" si="272"/>
        <v>88.592267214911743</v>
      </c>
      <c r="N439" s="289">
        <f t="shared" si="272"/>
        <v>109.69128740902661</v>
      </c>
      <c r="O439" s="289">
        <f t="shared" si="272"/>
        <v>133.29475939987549</v>
      </c>
      <c r="P439" s="290">
        <f t="shared" si="272"/>
        <v>151.38079818868573</v>
      </c>
    </row>
    <row r="440" spans="2:18" x14ac:dyDescent="0.3">
      <c r="B440" s="61"/>
      <c r="G440" s="289"/>
      <c r="H440" s="289"/>
      <c r="I440" s="289"/>
      <c r="J440" s="289"/>
      <c r="K440" s="289"/>
      <c r="L440" s="289"/>
      <c r="M440" s="289"/>
      <c r="N440" s="289"/>
      <c r="O440" s="289"/>
      <c r="P440" s="290"/>
    </row>
    <row r="441" spans="2:18" x14ac:dyDescent="0.3">
      <c r="B441" s="61" t="s">
        <v>390</v>
      </c>
      <c r="G441" s="289"/>
      <c r="H441" s="289"/>
      <c r="I441" s="289"/>
      <c r="J441" s="289"/>
      <c r="K441" s="289"/>
      <c r="L441" s="289"/>
      <c r="M441" s="289"/>
      <c r="N441" s="289"/>
      <c r="O441" s="289"/>
      <c r="P441" s="290"/>
    </row>
    <row r="442" spans="2:18" x14ac:dyDescent="0.3">
      <c r="B442" s="61" t="s">
        <v>391</v>
      </c>
      <c r="G442" s="289">
        <f>IF(G439&gt;0,G439*AA78,0)</f>
        <v>0</v>
      </c>
      <c r="H442" s="289">
        <f t="shared" ref="H442:P442" si="273">H439*AB78</f>
        <v>0</v>
      </c>
      <c r="I442" s="289">
        <f t="shared" si="273"/>
        <v>3.4182811347280135</v>
      </c>
      <c r="J442" s="289">
        <f t="shared" si="273"/>
        <v>7.5293767324485517</v>
      </c>
      <c r="K442" s="289">
        <f t="shared" si="273"/>
        <v>9.9260681277642746</v>
      </c>
      <c r="L442" s="289">
        <f t="shared" si="273"/>
        <v>13.001521538505493</v>
      </c>
      <c r="M442" s="289">
        <f t="shared" si="273"/>
        <v>23.033989475877053</v>
      </c>
      <c r="N442" s="289">
        <f t="shared" si="273"/>
        <v>28.519734726346922</v>
      </c>
      <c r="O442" s="289">
        <f t="shared" si="273"/>
        <v>34.656637443967625</v>
      </c>
      <c r="P442" s="290">
        <f t="shared" si="273"/>
        <v>39.359007529058289</v>
      </c>
    </row>
    <row r="443" spans="2:18" x14ac:dyDescent="0.3">
      <c r="B443" s="61" t="s">
        <v>392</v>
      </c>
      <c r="G443" s="284">
        <f t="shared" ref="G443:P443" si="274">IF(G439-G442&gt;0,(G439-G442)*AA79,0)</f>
        <v>0</v>
      </c>
      <c r="H443" s="284">
        <f t="shared" si="274"/>
        <v>0</v>
      </c>
      <c r="I443" s="284">
        <f t="shared" si="274"/>
        <v>0</v>
      </c>
      <c r="J443" s="284">
        <f t="shared" si="274"/>
        <v>0</v>
      </c>
      <c r="K443" s="284">
        <f t="shared" si="274"/>
        <v>0</v>
      </c>
      <c r="L443" s="284">
        <f t="shared" si="274"/>
        <v>0</v>
      </c>
      <c r="M443" s="284">
        <f t="shared" si="274"/>
        <v>0</v>
      </c>
      <c r="N443" s="284">
        <f t="shared" si="274"/>
        <v>0</v>
      </c>
      <c r="O443" s="284">
        <f t="shared" si="274"/>
        <v>0</v>
      </c>
      <c r="P443" s="285">
        <f t="shared" si="274"/>
        <v>0</v>
      </c>
      <c r="R443" s="289"/>
    </row>
    <row r="444" spans="2:18" x14ac:dyDescent="0.3">
      <c r="B444" s="61" t="s">
        <v>393</v>
      </c>
      <c r="G444" s="289">
        <f>SUM(G442:G443)</f>
        <v>0</v>
      </c>
      <c r="H444" s="289">
        <f t="shared" ref="H444:P444" si="275">SUM(H442:H443)</f>
        <v>0</v>
      </c>
      <c r="I444" s="289">
        <f t="shared" si="275"/>
        <v>3.4182811347280135</v>
      </c>
      <c r="J444" s="289">
        <f t="shared" si="275"/>
        <v>7.5293767324485517</v>
      </c>
      <c r="K444" s="289">
        <f t="shared" si="275"/>
        <v>9.9260681277642746</v>
      </c>
      <c r="L444" s="289">
        <f t="shared" si="275"/>
        <v>13.001521538505493</v>
      </c>
      <c r="M444" s="289">
        <f t="shared" si="275"/>
        <v>23.033989475877053</v>
      </c>
      <c r="N444" s="289">
        <f t="shared" si="275"/>
        <v>28.519734726346922</v>
      </c>
      <c r="O444" s="289">
        <f t="shared" si="275"/>
        <v>34.656637443967625</v>
      </c>
      <c r="P444" s="290">
        <f t="shared" si="275"/>
        <v>39.359007529058289</v>
      </c>
    </row>
    <row r="445" spans="2:18" x14ac:dyDescent="0.3">
      <c r="B445" s="61"/>
      <c r="G445" s="289"/>
      <c r="H445" s="289"/>
      <c r="I445" s="289"/>
      <c r="J445" s="289"/>
      <c r="K445" s="289"/>
      <c r="L445" s="289"/>
      <c r="M445" s="289"/>
      <c r="N445" s="289"/>
      <c r="O445" s="289"/>
      <c r="P445" s="290"/>
    </row>
    <row r="446" spans="2:18" x14ac:dyDescent="0.3">
      <c r="B446" s="61" t="s">
        <v>394</v>
      </c>
      <c r="G446" s="289"/>
      <c r="H446" s="289"/>
      <c r="I446" s="289"/>
      <c r="J446" s="289"/>
      <c r="K446" s="289"/>
      <c r="L446" s="289"/>
      <c r="M446" s="289"/>
      <c r="N446" s="289"/>
      <c r="O446" s="289"/>
      <c r="P446" s="290"/>
    </row>
    <row r="447" spans="2:18" x14ac:dyDescent="0.3">
      <c r="B447" s="61" t="s">
        <v>391</v>
      </c>
      <c r="G447" s="289">
        <f t="shared" ref="G447:P447" si="276">IF(G439&gt;=0,G427*AA78*-1,0)</f>
        <v>0</v>
      </c>
      <c r="H447" s="289">
        <f t="shared" si="276"/>
        <v>0</v>
      </c>
      <c r="I447" s="289">
        <f t="shared" si="276"/>
        <v>0</v>
      </c>
      <c r="J447" s="289">
        <f t="shared" si="276"/>
        <v>0</v>
      </c>
      <c r="K447" s="289">
        <f t="shared" si="276"/>
        <v>0</v>
      </c>
      <c r="L447" s="289">
        <f t="shared" si="276"/>
        <v>0</v>
      </c>
      <c r="M447" s="289">
        <f t="shared" si="276"/>
        <v>0</v>
      </c>
      <c r="N447" s="289">
        <f t="shared" si="276"/>
        <v>0</v>
      </c>
      <c r="O447" s="289">
        <f t="shared" si="276"/>
        <v>0</v>
      </c>
      <c r="P447" s="290">
        <f t="shared" si="276"/>
        <v>0</v>
      </c>
    </row>
    <row r="448" spans="2:18" x14ac:dyDescent="0.3">
      <c r="B448" s="61" t="s">
        <v>392</v>
      </c>
      <c r="G448" s="284">
        <f t="shared" ref="G448:P448" si="277">IF(G439&gt;=0,((G427*-1)-G447)*AA79,0)</f>
        <v>0</v>
      </c>
      <c r="H448" s="284">
        <f t="shared" si="277"/>
        <v>0</v>
      </c>
      <c r="I448" s="284">
        <f t="shared" si="277"/>
        <v>0</v>
      </c>
      <c r="J448" s="284">
        <f t="shared" si="277"/>
        <v>0</v>
      </c>
      <c r="K448" s="284">
        <f t="shared" si="277"/>
        <v>0</v>
      </c>
      <c r="L448" s="284">
        <f t="shared" si="277"/>
        <v>0</v>
      </c>
      <c r="M448" s="284">
        <f t="shared" si="277"/>
        <v>0</v>
      </c>
      <c r="N448" s="284">
        <f t="shared" si="277"/>
        <v>0</v>
      </c>
      <c r="O448" s="284">
        <f t="shared" si="277"/>
        <v>0</v>
      </c>
      <c r="P448" s="285">
        <f t="shared" si="277"/>
        <v>0</v>
      </c>
    </row>
    <row r="449" spans="2:16" x14ac:dyDescent="0.3">
      <c r="B449" s="61" t="s">
        <v>395</v>
      </c>
      <c r="G449" s="289">
        <f>SUM(G447:G448)</f>
        <v>0</v>
      </c>
      <c r="H449" s="289">
        <f t="shared" ref="H449:P449" si="278">SUM(H447:H448)</f>
        <v>0</v>
      </c>
      <c r="I449" s="289">
        <f t="shared" si="278"/>
        <v>0</v>
      </c>
      <c r="J449" s="289">
        <f t="shared" si="278"/>
        <v>0</v>
      </c>
      <c r="K449" s="289">
        <f t="shared" si="278"/>
        <v>0</v>
      </c>
      <c r="L449" s="289">
        <f t="shared" si="278"/>
        <v>0</v>
      </c>
      <c r="M449" s="289">
        <f t="shared" si="278"/>
        <v>0</v>
      </c>
      <c r="N449" s="289">
        <f t="shared" si="278"/>
        <v>0</v>
      </c>
      <c r="O449" s="289">
        <f t="shared" si="278"/>
        <v>0</v>
      </c>
      <c r="P449" s="290">
        <f t="shared" si="278"/>
        <v>0</v>
      </c>
    </row>
    <row r="450" spans="2:16" x14ac:dyDescent="0.3">
      <c r="B450" s="61"/>
      <c r="G450" s="289"/>
      <c r="H450" s="289"/>
      <c r="I450" s="289"/>
      <c r="J450" s="289"/>
      <c r="K450" s="289"/>
      <c r="L450" s="289"/>
      <c r="M450" s="289"/>
      <c r="N450" s="289"/>
      <c r="O450" s="289"/>
      <c r="P450" s="290"/>
    </row>
    <row r="451" spans="2:16" x14ac:dyDescent="0.3">
      <c r="B451" s="61" t="s">
        <v>396</v>
      </c>
      <c r="G451" s="289"/>
      <c r="H451" s="289"/>
      <c r="I451" s="289"/>
      <c r="J451" s="289"/>
      <c r="K451" s="289"/>
      <c r="L451" s="289"/>
      <c r="M451" s="289"/>
      <c r="N451" s="289"/>
      <c r="O451" s="289"/>
      <c r="P451" s="290"/>
    </row>
    <row r="452" spans="2:16" x14ac:dyDescent="0.3">
      <c r="B452" s="61" t="s">
        <v>397</v>
      </c>
      <c r="G452" s="289">
        <f t="shared" ref="G452:P452" si="279">G437*AA78</f>
        <v>0</v>
      </c>
      <c r="H452" s="289">
        <f t="shared" si="279"/>
        <v>1.0630097343250964</v>
      </c>
      <c r="I452" s="289">
        <f t="shared" si="279"/>
        <v>0.16649984887710531</v>
      </c>
      <c r="J452" s="289">
        <f t="shared" si="279"/>
        <v>0</v>
      </c>
      <c r="K452" s="289">
        <f t="shared" si="279"/>
        <v>0</v>
      </c>
      <c r="L452" s="289">
        <f t="shared" si="279"/>
        <v>0</v>
      </c>
      <c r="M452" s="289">
        <f t="shared" si="279"/>
        <v>0</v>
      </c>
      <c r="N452" s="289">
        <f t="shared" si="279"/>
        <v>0</v>
      </c>
      <c r="O452" s="289">
        <f t="shared" si="279"/>
        <v>0</v>
      </c>
      <c r="P452" s="290">
        <f t="shared" si="279"/>
        <v>0</v>
      </c>
    </row>
    <row r="453" spans="2:16" x14ac:dyDescent="0.3">
      <c r="B453" s="61" t="s">
        <v>393</v>
      </c>
      <c r="G453" s="284">
        <f t="shared" ref="G453:P453" si="280">(G437-G452)*AA79</f>
        <v>0</v>
      </c>
      <c r="H453" s="284">
        <f t="shared" si="280"/>
        <v>0</v>
      </c>
      <c r="I453" s="284">
        <f t="shared" si="280"/>
        <v>0</v>
      </c>
      <c r="J453" s="284">
        <f t="shared" si="280"/>
        <v>0</v>
      </c>
      <c r="K453" s="284">
        <f t="shared" si="280"/>
        <v>0</v>
      </c>
      <c r="L453" s="284">
        <f t="shared" si="280"/>
        <v>0</v>
      </c>
      <c r="M453" s="284">
        <f t="shared" si="280"/>
        <v>0</v>
      </c>
      <c r="N453" s="284">
        <f t="shared" si="280"/>
        <v>0</v>
      </c>
      <c r="O453" s="284">
        <f t="shared" si="280"/>
        <v>0</v>
      </c>
      <c r="P453" s="285">
        <f t="shared" si="280"/>
        <v>0</v>
      </c>
    </row>
    <row r="454" spans="2:16" x14ac:dyDescent="0.3">
      <c r="B454" s="61" t="s">
        <v>398</v>
      </c>
      <c r="G454" s="289">
        <f>SUM(G452:G453)</f>
        <v>0</v>
      </c>
      <c r="H454" s="289">
        <f t="shared" ref="H454:P454" si="281">SUM(H452:H453)</f>
        <v>1.0630097343250964</v>
      </c>
      <c r="I454" s="289">
        <f t="shared" si="281"/>
        <v>0.16649984887710531</v>
      </c>
      <c r="J454" s="289">
        <f t="shared" si="281"/>
        <v>0</v>
      </c>
      <c r="K454" s="289">
        <f t="shared" si="281"/>
        <v>0</v>
      </c>
      <c r="L454" s="289">
        <f t="shared" si="281"/>
        <v>0</v>
      </c>
      <c r="M454" s="289">
        <f t="shared" si="281"/>
        <v>0</v>
      </c>
      <c r="N454" s="289">
        <f t="shared" si="281"/>
        <v>0</v>
      </c>
      <c r="O454" s="289">
        <f t="shared" si="281"/>
        <v>0</v>
      </c>
      <c r="P454" s="290">
        <f t="shared" si="281"/>
        <v>0</v>
      </c>
    </row>
    <row r="455" spans="2:16" x14ac:dyDescent="0.3">
      <c r="B455" s="61"/>
      <c r="G455" s="289"/>
      <c r="H455" s="289"/>
      <c r="I455" s="289"/>
      <c r="J455" s="289"/>
      <c r="K455" s="289"/>
      <c r="L455" s="289"/>
      <c r="M455" s="289"/>
      <c r="N455" s="289"/>
      <c r="O455" s="289"/>
      <c r="P455" s="290"/>
    </row>
    <row r="456" spans="2:16" x14ac:dyDescent="0.3">
      <c r="B456" s="61" t="s">
        <v>399</v>
      </c>
      <c r="G456" s="289"/>
      <c r="H456" s="289"/>
      <c r="I456" s="289"/>
      <c r="J456" s="289"/>
      <c r="K456" s="289"/>
      <c r="L456" s="289"/>
      <c r="M456" s="289"/>
      <c r="N456" s="289"/>
      <c r="O456" s="289"/>
      <c r="P456" s="290"/>
    </row>
    <row r="457" spans="2:16" x14ac:dyDescent="0.3">
      <c r="B457" s="61" t="s">
        <v>397</v>
      </c>
      <c r="G457" s="289">
        <f t="shared" ref="G457:H457" si="282">G454+G449+G444</f>
        <v>0</v>
      </c>
      <c r="H457" s="289">
        <f t="shared" si="282"/>
        <v>1.0630097343250964</v>
      </c>
      <c r="I457" s="289">
        <f>I454+I449+I444</f>
        <v>3.584780983605119</v>
      </c>
      <c r="J457" s="289">
        <f t="shared" ref="J457:P457" si="283">J454+J449+J444</f>
        <v>7.5293767324485517</v>
      </c>
      <c r="K457" s="289">
        <f t="shared" si="283"/>
        <v>9.9260681277642746</v>
      </c>
      <c r="L457" s="289">
        <f t="shared" si="283"/>
        <v>13.001521538505493</v>
      </c>
      <c r="M457" s="289">
        <f t="shared" si="283"/>
        <v>23.033989475877053</v>
      </c>
      <c r="N457" s="289">
        <f t="shared" si="283"/>
        <v>28.519734726346922</v>
      </c>
      <c r="O457" s="289">
        <f t="shared" si="283"/>
        <v>34.656637443967625</v>
      </c>
      <c r="P457" s="290">
        <f t="shared" si="283"/>
        <v>39.359007529058289</v>
      </c>
    </row>
    <row r="458" spans="2:16" x14ac:dyDescent="0.3">
      <c r="B458" s="61" t="s">
        <v>393</v>
      </c>
      <c r="G458" s="284">
        <f>G444</f>
        <v>0</v>
      </c>
      <c r="H458" s="284">
        <f t="shared" ref="H458:P458" si="284">H444</f>
        <v>0</v>
      </c>
      <c r="I458" s="284">
        <f t="shared" si="284"/>
        <v>3.4182811347280135</v>
      </c>
      <c r="J458" s="284">
        <f t="shared" si="284"/>
        <v>7.5293767324485517</v>
      </c>
      <c r="K458" s="284">
        <f t="shared" si="284"/>
        <v>9.9260681277642746</v>
      </c>
      <c r="L458" s="284">
        <f t="shared" si="284"/>
        <v>13.001521538505493</v>
      </c>
      <c r="M458" s="284">
        <f t="shared" si="284"/>
        <v>23.033989475877053</v>
      </c>
      <c r="N458" s="284">
        <f t="shared" si="284"/>
        <v>28.519734726346922</v>
      </c>
      <c r="O458" s="284">
        <f t="shared" si="284"/>
        <v>34.656637443967625</v>
      </c>
      <c r="P458" s="285">
        <f t="shared" si="284"/>
        <v>39.359007529058289</v>
      </c>
    </row>
    <row r="459" spans="2:16" ht="15" thickBot="1" x14ac:dyDescent="0.35">
      <c r="B459" s="66" t="s">
        <v>400</v>
      </c>
      <c r="C459" s="18"/>
      <c r="D459" s="18"/>
      <c r="E459" s="18"/>
      <c r="F459" s="18"/>
      <c r="G459" s="291">
        <f>G457-G458</f>
        <v>0</v>
      </c>
      <c r="H459" s="291">
        <f t="shared" ref="H459:P459" si="285">H457-H458</f>
        <v>1.0630097343250964</v>
      </c>
      <c r="I459" s="291">
        <f t="shared" si="285"/>
        <v>0.16649984887710545</v>
      </c>
      <c r="J459" s="291">
        <f t="shared" si="285"/>
        <v>0</v>
      </c>
      <c r="K459" s="291">
        <f t="shared" si="285"/>
        <v>0</v>
      </c>
      <c r="L459" s="291">
        <f t="shared" si="285"/>
        <v>0</v>
      </c>
      <c r="M459" s="291">
        <f t="shared" si="285"/>
        <v>0</v>
      </c>
      <c r="N459" s="291">
        <f t="shared" si="285"/>
        <v>0</v>
      </c>
      <c r="O459" s="291">
        <f t="shared" si="285"/>
        <v>0</v>
      </c>
      <c r="P459" s="292">
        <f t="shared" si="285"/>
        <v>0</v>
      </c>
    </row>
    <row r="462" spans="2:16" x14ac:dyDescent="0.3">
      <c r="B462" s="410" t="s">
        <v>401</v>
      </c>
      <c r="C462" s="410"/>
      <c r="D462" s="410"/>
      <c r="E462" s="410"/>
      <c r="F462" s="410"/>
      <c r="G462" s="410"/>
      <c r="H462" s="410"/>
      <c r="I462" s="410"/>
      <c r="J462" s="410"/>
      <c r="K462" s="410"/>
      <c r="L462" s="410"/>
      <c r="M462" s="410"/>
      <c r="N462" s="410"/>
      <c r="O462" s="410"/>
      <c r="P462" s="410"/>
    </row>
    <row r="463" spans="2:16" ht="15" thickBot="1" x14ac:dyDescent="0.35"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</row>
    <row r="464" spans="2:16" x14ac:dyDescent="0.3">
      <c r="B464" s="3"/>
      <c r="C464" s="9"/>
      <c r="D464" s="9"/>
      <c r="E464" s="9"/>
      <c r="F464" s="9"/>
      <c r="G464" s="88">
        <f>LBO!AA63</f>
        <v>2024</v>
      </c>
      <c r="H464" s="88">
        <f>LBO!AB63</f>
        <v>2025</v>
      </c>
      <c r="I464" s="88">
        <f>LBO!AC63</f>
        <v>2026</v>
      </c>
      <c r="J464" s="88">
        <f>LBO!AD63</f>
        <v>2027</v>
      </c>
      <c r="K464" s="88">
        <f>LBO!AE63</f>
        <v>2028</v>
      </c>
      <c r="L464" s="88">
        <f>LBO!AF63</f>
        <v>2029</v>
      </c>
      <c r="M464" s="88">
        <f>LBO!AG63</f>
        <v>2030</v>
      </c>
      <c r="N464" s="88">
        <f>LBO!AH63</f>
        <v>2031</v>
      </c>
      <c r="O464" s="88">
        <f>LBO!AI63</f>
        <v>2032</v>
      </c>
      <c r="P464" s="89">
        <f>LBO!AJ63</f>
        <v>2033</v>
      </c>
    </row>
    <row r="465" spans="2:17" x14ac:dyDescent="0.3">
      <c r="B465" s="5" t="str">
        <f>UPPER(LBO!V65)</f>
        <v>SHORT-TERM DEBT</v>
      </c>
      <c r="F465" t="s">
        <v>402</v>
      </c>
      <c r="G465" s="55">
        <f>1</f>
        <v>1</v>
      </c>
      <c r="H465" s="55">
        <f t="shared" ref="H465:P465" si="286">G465+1</f>
        <v>2</v>
      </c>
      <c r="I465" s="55">
        <f t="shared" si="286"/>
        <v>3</v>
      </c>
      <c r="J465" s="55">
        <f t="shared" si="286"/>
        <v>4</v>
      </c>
      <c r="K465" s="55">
        <f t="shared" si="286"/>
        <v>5</v>
      </c>
      <c r="L465" s="55">
        <f t="shared" si="286"/>
        <v>6</v>
      </c>
      <c r="M465" s="55">
        <f t="shared" si="286"/>
        <v>7</v>
      </c>
      <c r="N465" s="55">
        <f t="shared" si="286"/>
        <v>8</v>
      </c>
      <c r="O465" s="55">
        <f t="shared" si="286"/>
        <v>9</v>
      </c>
      <c r="P465" s="141">
        <f t="shared" si="286"/>
        <v>10</v>
      </c>
    </row>
    <row r="466" spans="2:17" x14ac:dyDescent="0.3">
      <c r="B466" s="5" t="s">
        <v>403</v>
      </c>
      <c r="G466" s="83">
        <f>P136</f>
        <v>0</v>
      </c>
      <c r="H466" s="83">
        <f t="shared" ref="H466:P466" si="287">G469</f>
        <v>0</v>
      </c>
      <c r="I466" s="83">
        <f t="shared" si="287"/>
        <v>0</v>
      </c>
      <c r="J466" s="83">
        <f t="shared" si="287"/>
        <v>0</v>
      </c>
      <c r="K466" s="83">
        <f t="shared" si="287"/>
        <v>0</v>
      </c>
      <c r="L466" s="83">
        <f t="shared" si="287"/>
        <v>0</v>
      </c>
      <c r="M466" s="83">
        <f t="shared" si="287"/>
        <v>0</v>
      </c>
      <c r="N466" s="83">
        <f t="shared" si="287"/>
        <v>0</v>
      </c>
      <c r="O466" s="83">
        <f t="shared" si="287"/>
        <v>0</v>
      </c>
      <c r="P466" s="84">
        <f t="shared" si="287"/>
        <v>0</v>
      </c>
    </row>
    <row r="467" spans="2:17" x14ac:dyDescent="0.3">
      <c r="B467" s="5" t="s">
        <v>404</v>
      </c>
      <c r="D467" t="s">
        <v>405</v>
      </c>
      <c r="F467" s="123">
        <f>$AD$10</f>
        <v>0</v>
      </c>
      <c r="G467" s="83">
        <f t="shared" ref="G467:P467" si="288">G180</f>
        <v>0</v>
      </c>
      <c r="H467" s="83">
        <f t="shared" si="288"/>
        <v>0</v>
      </c>
      <c r="I467" s="83">
        <f t="shared" si="288"/>
        <v>0</v>
      </c>
      <c r="J467" s="83">
        <f t="shared" si="288"/>
        <v>0</v>
      </c>
      <c r="K467" s="83">
        <f t="shared" si="288"/>
        <v>0</v>
      </c>
      <c r="L467" s="83">
        <f t="shared" si="288"/>
        <v>0</v>
      </c>
      <c r="M467" s="83">
        <f t="shared" si="288"/>
        <v>0</v>
      </c>
      <c r="N467" s="83">
        <f t="shared" si="288"/>
        <v>0</v>
      </c>
      <c r="O467" s="83">
        <f t="shared" si="288"/>
        <v>0</v>
      </c>
      <c r="P467" s="84">
        <f t="shared" si="288"/>
        <v>0</v>
      </c>
    </row>
    <row r="468" spans="2:17" x14ac:dyDescent="0.3">
      <c r="B468" s="5" t="s">
        <v>406</v>
      </c>
      <c r="F468" s="113"/>
      <c r="G468" s="63">
        <v>0</v>
      </c>
      <c r="H468" s="63">
        <v>0</v>
      </c>
      <c r="I468" s="63">
        <v>0</v>
      </c>
      <c r="J468" s="63">
        <v>0</v>
      </c>
      <c r="K468" s="63">
        <v>0</v>
      </c>
      <c r="L468" s="63">
        <v>0</v>
      </c>
      <c r="M468" s="63">
        <v>0</v>
      </c>
      <c r="N468" s="63">
        <v>0</v>
      </c>
      <c r="O468" s="63">
        <v>0</v>
      </c>
      <c r="P468" s="64">
        <v>0</v>
      </c>
    </row>
    <row r="469" spans="2:17" x14ac:dyDescent="0.3">
      <c r="B469" s="5" t="s">
        <v>407</v>
      </c>
      <c r="F469" s="113"/>
      <c r="G469" s="2">
        <f t="shared" ref="G469:P469" si="289">G466-G467-G468</f>
        <v>0</v>
      </c>
      <c r="H469" s="2">
        <f t="shared" si="289"/>
        <v>0</v>
      </c>
      <c r="I469" s="2">
        <f t="shared" si="289"/>
        <v>0</v>
      </c>
      <c r="J469" s="2">
        <f t="shared" si="289"/>
        <v>0</v>
      </c>
      <c r="K469" s="2">
        <f t="shared" si="289"/>
        <v>0</v>
      </c>
      <c r="L469" s="2">
        <f t="shared" si="289"/>
        <v>0</v>
      </c>
      <c r="M469" s="2">
        <f t="shared" si="289"/>
        <v>0</v>
      </c>
      <c r="N469" s="2">
        <f t="shared" si="289"/>
        <v>0</v>
      </c>
      <c r="O469" s="2">
        <f t="shared" si="289"/>
        <v>0</v>
      </c>
      <c r="P469" s="19">
        <f t="shared" si="289"/>
        <v>0</v>
      </c>
    </row>
    <row r="470" spans="2:17" x14ac:dyDescent="0.3">
      <c r="B470" s="5"/>
      <c r="F470" s="113"/>
      <c r="P470" s="16"/>
    </row>
    <row r="471" spans="2:17" x14ac:dyDescent="0.3">
      <c r="B471" s="5" t="str">
        <f>UPPER(LBO!V66)</f>
        <v>EXISTING DEBT</v>
      </c>
      <c r="F471" s="113"/>
      <c r="P471" s="16"/>
    </row>
    <row r="472" spans="2:17" x14ac:dyDescent="0.3">
      <c r="B472" s="5" t="s">
        <v>403</v>
      </c>
      <c r="F472" s="113"/>
      <c r="G472" s="83">
        <f>P142</f>
        <v>0</v>
      </c>
      <c r="H472" s="83">
        <f t="shared" ref="H472:P472" si="290">G475</f>
        <v>0</v>
      </c>
      <c r="I472" s="83">
        <f t="shared" si="290"/>
        <v>0</v>
      </c>
      <c r="J472" s="83">
        <f t="shared" si="290"/>
        <v>0</v>
      </c>
      <c r="K472" s="83">
        <f t="shared" si="290"/>
        <v>0</v>
      </c>
      <c r="L472" s="83">
        <f t="shared" si="290"/>
        <v>0</v>
      </c>
      <c r="M472" s="83">
        <f t="shared" si="290"/>
        <v>0</v>
      </c>
      <c r="N472" s="83">
        <f t="shared" si="290"/>
        <v>0</v>
      </c>
      <c r="O472" s="83">
        <f t="shared" si="290"/>
        <v>0</v>
      </c>
      <c r="P472" s="84">
        <f t="shared" si="290"/>
        <v>0</v>
      </c>
    </row>
    <row r="473" spans="2:17" x14ac:dyDescent="0.3">
      <c r="B473" s="5" t="s">
        <v>404</v>
      </c>
      <c r="D473" t="s">
        <v>405</v>
      </c>
      <c r="F473" s="123">
        <f>$AD$10</f>
        <v>0</v>
      </c>
      <c r="G473" s="2">
        <f t="shared" ref="G473:P473" si="291">G181</f>
        <v>0</v>
      </c>
      <c r="H473" s="2">
        <f t="shared" si="291"/>
        <v>0</v>
      </c>
      <c r="I473" s="2">
        <f t="shared" si="291"/>
        <v>0</v>
      </c>
      <c r="J473" s="2">
        <f t="shared" si="291"/>
        <v>0</v>
      </c>
      <c r="K473" s="2">
        <f t="shared" si="291"/>
        <v>0</v>
      </c>
      <c r="L473" s="2">
        <f t="shared" si="291"/>
        <v>0</v>
      </c>
      <c r="M473" s="2">
        <f t="shared" si="291"/>
        <v>0</v>
      </c>
      <c r="N473" s="2">
        <f t="shared" si="291"/>
        <v>0</v>
      </c>
      <c r="O473" s="2">
        <f t="shared" si="291"/>
        <v>0</v>
      </c>
      <c r="P473" s="19">
        <f t="shared" si="291"/>
        <v>0</v>
      </c>
    </row>
    <row r="474" spans="2:17" x14ac:dyDescent="0.3">
      <c r="B474" s="5" t="s">
        <v>406</v>
      </c>
      <c r="F474" s="113"/>
      <c r="G474" s="63">
        <v>0</v>
      </c>
      <c r="H474" s="63">
        <v>0</v>
      </c>
      <c r="I474" s="63">
        <v>0</v>
      </c>
      <c r="J474" s="63">
        <v>0</v>
      </c>
      <c r="K474" s="63">
        <v>0</v>
      </c>
      <c r="L474" s="63">
        <v>0</v>
      </c>
      <c r="M474" s="63">
        <v>0</v>
      </c>
      <c r="N474" s="63">
        <v>0</v>
      </c>
      <c r="O474" s="63">
        <v>0</v>
      </c>
      <c r="P474" s="64">
        <v>0</v>
      </c>
    </row>
    <row r="475" spans="2:17" x14ac:dyDescent="0.3">
      <c r="B475" s="5" t="s">
        <v>407</v>
      </c>
      <c r="F475" s="113"/>
      <c r="G475" s="83">
        <f t="shared" ref="G475:P475" si="292">G472-G473-G474</f>
        <v>0</v>
      </c>
      <c r="H475" s="83">
        <f t="shared" si="292"/>
        <v>0</v>
      </c>
      <c r="I475" s="83">
        <f t="shared" si="292"/>
        <v>0</v>
      </c>
      <c r="J475" s="83">
        <f t="shared" si="292"/>
        <v>0</v>
      </c>
      <c r="K475" s="83">
        <f t="shared" si="292"/>
        <v>0</v>
      </c>
      <c r="L475" s="83">
        <f t="shared" si="292"/>
        <v>0</v>
      </c>
      <c r="M475" s="83">
        <f t="shared" si="292"/>
        <v>0</v>
      </c>
      <c r="N475" s="83">
        <f t="shared" si="292"/>
        <v>0</v>
      </c>
      <c r="O475" s="83">
        <f t="shared" si="292"/>
        <v>0</v>
      </c>
      <c r="P475" s="84">
        <f t="shared" si="292"/>
        <v>0</v>
      </c>
    </row>
    <row r="476" spans="2:17" x14ac:dyDescent="0.3">
      <c r="B476" s="5"/>
      <c r="F476" s="113"/>
      <c r="P476" s="16"/>
    </row>
    <row r="477" spans="2:17" x14ac:dyDescent="0.3">
      <c r="B477" s="5" t="str">
        <f>UPPER(LBO!V67)</f>
        <v>REVOLVER</v>
      </c>
      <c r="F477" s="113"/>
      <c r="P477" s="16"/>
    </row>
    <row r="478" spans="2:17" x14ac:dyDescent="0.3">
      <c r="B478" s="5" t="s">
        <v>403</v>
      </c>
      <c r="F478" s="113"/>
      <c r="G478" s="83">
        <f>I13</f>
        <v>100</v>
      </c>
      <c r="H478" s="83">
        <f t="shared" ref="H478:P478" si="293">G482</f>
        <v>100</v>
      </c>
      <c r="I478" s="83">
        <f t="shared" si="293"/>
        <v>100</v>
      </c>
      <c r="J478" s="83">
        <f t="shared" si="293"/>
        <v>100</v>
      </c>
      <c r="K478" s="83">
        <f t="shared" si="293"/>
        <v>100</v>
      </c>
      <c r="L478" s="83">
        <f t="shared" si="293"/>
        <v>100</v>
      </c>
      <c r="M478" s="83">
        <f t="shared" si="293"/>
        <v>100</v>
      </c>
      <c r="N478" s="83">
        <f t="shared" si="293"/>
        <v>100</v>
      </c>
      <c r="O478" s="83">
        <f t="shared" si="293"/>
        <v>100</v>
      </c>
      <c r="P478" s="84">
        <f t="shared" si="293"/>
        <v>27.353246256967367</v>
      </c>
    </row>
    <row r="479" spans="2:17" x14ac:dyDescent="0.3">
      <c r="B479" s="5" t="s">
        <v>404</v>
      </c>
      <c r="D479" t="s">
        <v>405</v>
      </c>
      <c r="F479" s="123">
        <f>$AD$10</f>
        <v>0</v>
      </c>
      <c r="G479" s="83">
        <f t="shared" ref="G479:P479" si="294">G182</f>
        <v>3.5000000000000004</v>
      </c>
      <c r="H479" s="83">
        <f t="shared" si="294"/>
        <v>3.5000000000000004</v>
      </c>
      <c r="I479" s="83">
        <f t="shared" si="294"/>
        <v>3.5000000000000004</v>
      </c>
      <c r="J479" s="83">
        <f t="shared" si="294"/>
        <v>3.5000000000000004</v>
      </c>
      <c r="K479" s="83">
        <f t="shared" si="294"/>
        <v>3.5000000000000004</v>
      </c>
      <c r="L479" s="83">
        <f t="shared" si="294"/>
        <v>3.5000000000000004</v>
      </c>
      <c r="M479" s="83">
        <f t="shared" si="294"/>
        <v>3.5000000000000004</v>
      </c>
      <c r="N479" s="83">
        <f t="shared" si="294"/>
        <v>3.5000000000000004</v>
      </c>
      <c r="O479" s="83">
        <f t="shared" si="294"/>
        <v>3.5000000000000004</v>
      </c>
      <c r="P479" s="84">
        <f t="shared" si="294"/>
        <v>0.95736361899385791</v>
      </c>
      <c r="Q479" s="52"/>
    </row>
    <row r="480" spans="2:17" x14ac:dyDescent="0.3">
      <c r="B480" s="5" t="s">
        <v>281</v>
      </c>
      <c r="F480" s="113"/>
      <c r="G480" s="83">
        <f t="shared" ref="G480:P480" si="295">G309</f>
        <v>0</v>
      </c>
      <c r="H480" s="83">
        <f t="shared" si="295"/>
        <v>0</v>
      </c>
      <c r="I480" s="83">
        <f t="shared" si="295"/>
        <v>0</v>
      </c>
      <c r="J480" s="83">
        <f t="shared" si="295"/>
        <v>0</v>
      </c>
      <c r="K480" s="83">
        <f t="shared" si="295"/>
        <v>0</v>
      </c>
      <c r="L480" s="83">
        <f t="shared" si="295"/>
        <v>0</v>
      </c>
      <c r="M480" s="83">
        <f t="shared" si="295"/>
        <v>0</v>
      </c>
      <c r="N480" s="83">
        <f t="shared" si="295"/>
        <v>0</v>
      </c>
      <c r="O480" s="83">
        <f t="shared" si="295"/>
        <v>0</v>
      </c>
      <c r="P480" s="84">
        <f t="shared" si="295"/>
        <v>0</v>
      </c>
    </row>
    <row r="481" spans="2:16" x14ac:dyDescent="0.3">
      <c r="B481" s="5" t="s">
        <v>233</v>
      </c>
      <c r="F481" s="113"/>
      <c r="G481" s="137">
        <f t="shared" ref="G481:P481" si="296">G310</f>
        <v>0</v>
      </c>
      <c r="H481" s="137">
        <f t="shared" si="296"/>
        <v>0</v>
      </c>
      <c r="I481" s="137">
        <f t="shared" si="296"/>
        <v>0</v>
      </c>
      <c r="J481" s="137">
        <f t="shared" si="296"/>
        <v>0</v>
      </c>
      <c r="K481" s="137">
        <f t="shared" si="296"/>
        <v>0</v>
      </c>
      <c r="L481" s="137">
        <f t="shared" si="296"/>
        <v>0</v>
      </c>
      <c r="M481" s="137">
        <f t="shared" si="296"/>
        <v>0</v>
      </c>
      <c r="N481" s="137">
        <f t="shared" si="296"/>
        <v>0</v>
      </c>
      <c r="O481" s="137">
        <f t="shared" si="296"/>
        <v>72.646753743032633</v>
      </c>
      <c r="P481" s="138">
        <f t="shared" si="296"/>
        <v>27.353246256967367</v>
      </c>
    </row>
    <row r="482" spans="2:16" x14ac:dyDescent="0.3">
      <c r="B482" s="5" t="s">
        <v>407</v>
      </c>
      <c r="F482" s="113"/>
      <c r="G482" s="83">
        <f t="shared" ref="G482:P482" si="297">G478+G480-G481</f>
        <v>100</v>
      </c>
      <c r="H482" s="83">
        <f t="shared" si="297"/>
        <v>100</v>
      </c>
      <c r="I482" s="83">
        <f t="shared" si="297"/>
        <v>100</v>
      </c>
      <c r="J482" s="83">
        <f t="shared" si="297"/>
        <v>100</v>
      </c>
      <c r="K482" s="83">
        <f t="shared" si="297"/>
        <v>100</v>
      </c>
      <c r="L482" s="83">
        <f t="shared" si="297"/>
        <v>100</v>
      </c>
      <c r="M482" s="83">
        <f t="shared" si="297"/>
        <v>100</v>
      </c>
      <c r="N482" s="83">
        <f t="shared" si="297"/>
        <v>100</v>
      </c>
      <c r="O482" s="83">
        <f t="shared" si="297"/>
        <v>27.353246256967367</v>
      </c>
      <c r="P482" s="84">
        <f t="shared" si="297"/>
        <v>0</v>
      </c>
    </row>
    <row r="483" spans="2:16" x14ac:dyDescent="0.3">
      <c r="B483" s="5"/>
      <c r="F483" s="113"/>
      <c r="P483" s="16"/>
    </row>
    <row r="484" spans="2:16" x14ac:dyDescent="0.3">
      <c r="B484" s="5" t="str">
        <f>UPPER(LBO!V68)</f>
        <v>TERM LOAN</v>
      </c>
      <c r="F484" s="113"/>
      <c r="P484" s="16"/>
    </row>
    <row r="485" spans="2:16" x14ac:dyDescent="0.3">
      <c r="B485" s="5" t="s">
        <v>403</v>
      </c>
      <c r="F485" s="113"/>
      <c r="G485" s="83">
        <f>I14</f>
        <v>200</v>
      </c>
      <c r="H485" s="83">
        <f t="shared" ref="H485:P485" si="298">G489</f>
        <v>160</v>
      </c>
      <c r="I485" s="83">
        <f t="shared" si="298"/>
        <v>128</v>
      </c>
      <c r="J485" s="83">
        <f t="shared" si="298"/>
        <v>102.4</v>
      </c>
      <c r="K485" s="83">
        <f t="shared" si="298"/>
        <v>81.92</v>
      </c>
      <c r="L485" s="83">
        <f t="shared" si="298"/>
        <v>65.536000000000001</v>
      </c>
      <c r="M485" s="83">
        <f t="shared" si="298"/>
        <v>52.428800000000003</v>
      </c>
      <c r="N485" s="83">
        <f t="shared" si="298"/>
        <v>41.943040000000003</v>
      </c>
      <c r="O485" s="83">
        <f t="shared" si="298"/>
        <v>33.554432000000006</v>
      </c>
      <c r="P485" s="84">
        <f t="shared" si="298"/>
        <v>26.843545600000006</v>
      </c>
    </row>
    <row r="486" spans="2:16" x14ac:dyDescent="0.3">
      <c r="B486" s="5" t="s">
        <v>404</v>
      </c>
      <c r="D486" t="s">
        <v>405</v>
      </c>
      <c r="F486" s="123">
        <f>$AD$10</f>
        <v>0</v>
      </c>
      <c r="G486" s="83">
        <f t="shared" ref="G486:P486" si="299">G183</f>
        <v>8</v>
      </c>
      <c r="H486" s="83">
        <f t="shared" si="299"/>
        <v>6.4</v>
      </c>
      <c r="I486" s="83">
        <f t="shared" si="299"/>
        <v>5.12</v>
      </c>
      <c r="J486" s="83">
        <f t="shared" si="299"/>
        <v>4.0960000000000001</v>
      </c>
      <c r="K486" s="83">
        <f t="shared" si="299"/>
        <v>3.2768000000000002</v>
      </c>
      <c r="L486" s="83">
        <f t="shared" si="299"/>
        <v>2.6214400000000002</v>
      </c>
      <c r="M486" s="83">
        <f t="shared" si="299"/>
        <v>2.0971520000000003</v>
      </c>
      <c r="N486" s="83">
        <f t="shared" si="299"/>
        <v>1.6777216000000001</v>
      </c>
      <c r="O486" s="83">
        <f t="shared" si="299"/>
        <v>1.3421772800000003</v>
      </c>
      <c r="P486" s="84">
        <f t="shared" si="299"/>
        <v>1.0737418240000003</v>
      </c>
    </row>
    <row r="487" spans="2:16" x14ac:dyDescent="0.3">
      <c r="B487" s="5" t="s">
        <v>406</v>
      </c>
      <c r="G487" s="83">
        <f t="shared" ref="G487:P487" si="300">G485*AA83</f>
        <v>40</v>
      </c>
      <c r="H487" s="83">
        <f t="shared" si="300"/>
        <v>32</v>
      </c>
      <c r="I487" s="83">
        <f t="shared" si="300"/>
        <v>25.6</v>
      </c>
      <c r="J487" s="83">
        <f t="shared" si="300"/>
        <v>20.480000000000004</v>
      </c>
      <c r="K487" s="83">
        <f t="shared" si="300"/>
        <v>16.384</v>
      </c>
      <c r="L487" s="83">
        <f t="shared" si="300"/>
        <v>13.107200000000001</v>
      </c>
      <c r="M487" s="83">
        <f t="shared" si="300"/>
        <v>10.485760000000001</v>
      </c>
      <c r="N487" s="83">
        <f t="shared" si="300"/>
        <v>8.3886080000000014</v>
      </c>
      <c r="O487" s="83">
        <f t="shared" si="300"/>
        <v>6.7108864000000015</v>
      </c>
      <c r="P487" s="84">
        <f t="shared" si="300"/>
        <v>5.3687091200000019</v>
      </c>
    </row>
    <row r="488" spans="2:16" x14ac:dyDescent="0.3">
      <c r="B488" s="5" t="s">
        <v>408</v>
      </c>
      <c r="G488" s="137">
        <f t="shared" ref="G488:P488" si="301">$W$106*IF(G523+G$289-G300&gt;0,MIN(G$523+G$289-G300,G485-G487),0)</f>
        <v>0</v>
      </c>
      <c r="H488" s="137">
        <f t="shared" si="301"/>
        <v>0</v>
      </c>
      <c r="I488" s="137">
        <f t="shared" si="301"/>
        <v>0</v>
      </c>
      <c r="J488" s="137">
        <f t="shared" si="301"/>
        <v>0</v>
      </c>
      <c r="K488" s="137">
        <f t="shared" si="301"/>
        <v>0</v>
      </c>
      <c r="L488" s="137">
        <f t="shared" si="301"/>
        <v>0</v>
      </c>
      <c r="M488" s="137">
        <f t="shared" si="301"/>
        <v>0</v>
      </c>
      <c r="N488" s="137">
        <f t="shared" si="301"/>
        <v>0</v>
      </c>
      <c r="O488" s="137">
        <f t="shared" si="301"/>
        <v>0</v>
      </c>
      <c r="P488" s="138">
        <f t="shared" si="301"/>
        <v>0</v>
      </c>
    </row>
    <row r="489" spans="2:16" x14ac:dyDescent="0.3">
      <c r="B489" s="5" t="s">
        <v>407</v>
      </c>
      <c r="G489" s="2">
        <f t="shared" ref="G489:P489" si="302">G485-G487-G488</f>
        <v>160</v>
      </c>
      <c r="H489" s="2">
        <f t="shared" si="302"/>
        <v>128</v>
      </c>
      <c r="I489" s="2">
        <f t="shared" si="302"/>
        <v>102.4</v>
      </c>
      <c r="J489" s="2">
        <f t="shared" si="302"/>
        <v>81.92</v>
      </c>
      <c r="K489" s="2">
        <f t="shared" si="302"/>
        <v>65.536000000000001</v>
      </c>
      <c r="L489" s="2">
        <f t="shared" si="302"/>
        <v>52.428800000000003</v>
      </c>
      <c r="M489" s="2">
        <f t="shared" si="302"/>
        <v>41.943040000000003</v>
      </c>
      <c r="N489" s="2">
        <f t="shared" si="302"/>
        <v>33.554432000000006</v>
      </c>
      <c r="O489" s="2">
        <f t="shared" si="302"/>
        <v>26.843545600000006</v>
      </c>
      <c r="P489" s="19">
        <f t="shared" si="302"/>
        <v>21.474836480000004</v>
      </c>
    </row>
    <row r="490" spans="2:16" x14ac:dyDescent="0.3">
      <c r="B490" s="5"/>
      <c r="P490" s="16"/>
    </row>
    <row r="491" spans="2:16" x14ac:dyDescent="0.3">
      <c r="B491" s="5" t="str">
        <f>UPPER(B114)</f>
        <v>SENIOR UNSECURED DEBT</v>
      </c>
      <c r="P491" s="16"/>
    </row>
    <row r="492" spans="2:16" x14ac:dyDescent="0.3">
      <c r="B492" s="5" t="s">
        <v>403</v>
      </c>
      <c r="G492" s="2">
        <f>I15</f>
        <v>200</v>
      </c>
      <c r="H492" s="2">
        <f t="shared" ref="H492:P492" si="303">G497</f>
        <v>102.54889355625838</v>
      </c>
      <c r="I492" s="2">
        <f t="shared" si="303"/>
        <v>62.365544556546325</v>
      </c>
      <c r="J492" s="2">
        <f t="shared" si="303"/>
        <v>3.1858474902709517</v>
      </c>
      <c r="K492" s="2">
        <f t="shared" si="303"/>
        <v>0</v>
      </c>
      <c r="L492" s="2">
        <f t="shared" si="303"/>
        <v>0</v>
      </c>
      <c r="M492" s="2">
        <f t="shared" si="303"/>
        <v>0</v>
      </c>
      <c r="N492" s="2">
        <f t="shared" si="303"/>
        <v>0</v>
      </c>
      <c r="O492" s="2">
        <f t="shared" si="303"/>
        <v>0</v>
      </c>
      <c r="P492" s="19">
        <f t="shared" si="303"/>
        <v>0</v>
      </c>
    </row>
    <row r="493" spans="2:16" x14ac:dyDescent="0.3">
      <c r="B493" s="5" t="s">
        <v>409</v>
      </c>
      <c r="C493" t="str">
        <f>C114</f>
        <v>Cash Pay</v>
      </c>
      <c r="D493" t="s">
        <v>405</v>
      </c>
      <c r="F493" s="123">
        <f>E114</f>
        <v>0</v>
      </c>
      <c r="G493" s="83">
        <f t="shared" ref="G493:P493" si="304">G184</f>
        <v>12</v>
      </c>
      <c r="H493" s="83">
        <f t="shared" si="304"/>
        <v>6.1529336133755024</v>
      </c>
      <c r="I493" s="83">
        <f t="shared" si="304"/>
        <v>3.7419326733927796</v>
      </c>
      <c r="J493" s="83">
        <f t="shared" si="304"/>
        <v>0.1911508494162571</v>
      </c>
      <c r="K493" s="83">
        <f t="shared" si="304"/>
        <v>0</v>
      </c>
      <c r="L493" s="83">
        <f t="shared" si="304"/>
        <v>0</v>
      </c>
      <c r="M493" s="83">
        <f t="shared" si="304"/>
        <v>0</v>
      </c>
      <c r="N493" s="83">
        <f t="shared" si="304"/>
        <v>0</v>
      </c>
      <c r="O493" s="83">
        <f t="shared" si="304"/>
        <v>0</v>
      </c>
      <c r="P493" s="84">
        <f t="shared" si="304"/>
        <v>0</v>
      </c>
    </row>
    <row r="494" spans="2:16" x14ac:dyDescent="0.3">
      <c r="B494" s="5" t="s">
        <v>410</v>
      </c>
      <c r="G494" s="139">
        <f t="shared" ref="G494:P494" si="305">IF($X$107=0,0,IF($X$107&gt;=G$465,G184,0))</f>
        <v>0</v>
      </c>
      <c r="H494" s="139">
        <f t="shared" si="305"/>
        <v>0</v>
      </c>
      <c r="I494" s="139">
        <f t="shared" si="305"/>
        <v>0</v>
      </c>
      <c r="J494" s="139">
        <f t="shared" si="305"/>
        <v>0</v>
      </c>
      <c r="K494" s="139">
        <f t="shared" si="305"/>
        <v>0</v>
      </c>
      <c r="L494" s="139">
        <f t="shared" si="305"/>
        <v>0</v>
      </c>
      <c r="M494" s="139">
        <f t="shared" si="305"/>
        <v>0</v>
      </c>
      <c r="N494" s="139">
        <f t="shared" si="305"/>
        <v>0</v>
      </c>
      <c r="O494" s="139">
        <f t="shared" si="305"/>
        <v>0</v>
      </c>
      <c r="P494" s="97">
        <f t="shared" si="305"/>
        <v>0</v>
      </c>
    </row>
    <row r="495" spans="2:16" x14ac:dyDescent="0.3">
      <c r="B495" s="5" t="s">
        <v>406</v>
      </c>
      <c r="G495" s="139">
        <f t="shared" ref="G495:P495" si="306">AA84*G492</f>
        <v>0</v>
      </c>
      <c r="H495" s="139">
        <f t="shared" si="306"/>
        <v>0</v>
      </c>
      <c r="I495" s="139">
        <f t="shared" si="306"/>
        <v>0</v>
      </c>
      <c r="J495" s="139">
        <f t="shared" si="306"/>
        <v>0</v>
      </c>
      <c r="K495" s="139">
        <f t="shared" si="306"/>
        <v>0</v>
      </c>
      <c r="L495" s="139">
        <f t="shared" si="306"/>
        <v>0</v>
      </c>
      <c r="M495" s="139">
        <f t="shared" si="306"/>
        <v>0</v>
      </c>
      <c r="N495" s="139">
        <f t="shared" si="306"/>
        <v>0</v>
      </c>
      <c r="O495" s="139">
        <f t="shared" si="306"/>
        <v>0</v>
      </c>
      <c r="P495" s="97">
        <f t="shared" si="306"/>
        <v>0</v>
      </c>
    </row>
    <row r="496" spans="2:16" x14ac:dyDescent="0.3">
      <c r="B496" s="5" t="s">
        <v>408</v>
      </c>
      <c r="G496" s="140">
        <f t="shared" ref="G496:P496" si="307">IF($W$107=0,0,1)*IF(G$523+G$289-G$495-G$487-G$488&gt;0,MIN(G$523+G$289-G$495-G$487-G$488,G$492+G$494-G$495),0)</f>
        <v>97.451106443741622</v>
      </c>
      <c r="H496" s="140">
        <f t="shared" si="307"/>
        <v>40.183348999712052</v>
      </c>
      <c r="I496" s="140">
        <f t="shared" si="307"/>
        <v>59.179697066275374</v>
      </c>
      <c r="J496" s="140">
        <f t="shared" si="307"/>
        <v>3.1858474902709517</v>
      </c>
      <c r="K496" s="140">
        <f t="shared" si="307"/>
        <v>0</v>
      </c>
      <c r="L496" s="140">
        <f t="shared" si="307"/>
        <v>0</v>
      </c>
      <c r="M496" s="140">
        <f t="shared" si="307"/>
        <v>0</v>
      </c>
      <c r="N496" s="140">
        <f t="shared" si="307"/>
        <v>0</v>
      </c>
      <c r="O496" s="140">
        <f t="shared" si="307"/>
        <v>0</v>
      </c>
      <c r="P496" s="98">
        <f t="shared" si="307"/>
        <v>0</v>
      </c>
    </row>
    <row r="497" spans="2:16" x14ac:dyDescent="0.3">
      <c r="B497" s="5" t="s">
        <v>407</v>
      </c>
      <c r="G497" s="2">
        <f t="shared" ref="G497:P497" si="308">G492+G494-G495-G496</f>
        <v>102.54889355625838</v>
      </c>
      <c r="H497" s="2">
        <f t="shared" si="308"/>
        <v>62.365544556546325</v>
      </c>
      <c r="I497" s="2">
        <f t="shared" si="308"/>
        <v>3.1858474902709517</v>
      </c>
      <c r="J497" s="2">
        <f t="shared" si="308"/>
        <v>0</v>
      </c>
      <c r="K497" s="2">
        <f t="shared" si="308"/>
        <v>0</v>
      </c>
      <c r="L497" s="2">
        <f t="shared" si="308"/>
        <v>0</v>
      </c>
      <c r="M497" s="2">
        <f t="shared" si="308"/>
        <v>0</v>
      </c>
      <c r="N497" s="2">
        <f t="shared" si="308"/>
        <v>0</v>
      </c>
      <c r="O497" s="2">
        <f t="shared" si="308"/>
        <v>0</v>
      </c>
      <c r="P497" s="19">
        <f t="shared" si="308"/>
        <v>0</v>
      </c>
    </row>
    <row r="498" spans="2:16" x14ac:dyDescent="0.3">
      <c r="B498" s="5"/>
      <c r="P498" s="16"/>
    </row>
    <row r="499" spans="2:16" x14ac:dyDescent="0.3">
      <c r="B499" s="5" t="str">
        <f>UPPER(B116)</f>
        <v>SUBORDINATED DEBT</v>
      </c>
      <c r="P499" s="16"/>
    </row>
    <row r="500" spans="2:16" x14ac:dyDescent="0.3">
      <c r="B500" s="5" t="s">
        <v>403</v>
      </c>
      <c r="G500" s="2">
        <f>I16</f>
        <v>318.84000000000003</v>
      </c>
      <c r="H500" s="2">
        <f t="shared" ref="H500:P500" si="309">G505</f>
        <v>341.15880000000004</v>
      </c>
      <c r="I500" s="2">
        <f t="shared" si="309"/>
        <v>365.03991600000006</v>
      </c>
      <c r="J500" s="2">
        <f t="shared" si="309"/>
        <v>390.59271012000005</v>
      </c>
      <c r="K500" s="2">
        <f t="shared" si="309"/>
        <v>332.38894655780939</v>
      </c>
      <c r="L500" s="2">
        <f t="shared" si="309"/>
        <v>252.25320233447582</v>
      </c>
      <c r="M500" s="2">
        <f t="shared" si="309"/>
        <v>160.76141580303857</v>
      </c>
      <c r="N500" s="2">
        <f t="shared" si="309"/>
        <v>55.280565433131528</v>
      </c>
      <c r="O500" s="2">
        <f t="shared" si="309"/>
        <v>0</v>
      </c>
      <c r="P500" s="19">
        <f t="shared" si="309"/>
        <v>0</v>
      </c>
    </row>
    <row r="501" spans="2:16" x14ac:dyDescent="0.3">
      <c r="B501" s="5" t="s">
        <v>404</v>
      </c>
      <c r="C501" t="str">
        <f>C116</f>
        <v>PIK until 2028</v>
      </c>
      <c r="D501" t="s">
        <v>405</v>
      </c>
      <c r="F501" s="123">
        <f>LBO!$AD$10</f>
        <v>0</v>
      </c>
      <c r="G501" s="83">
        <f t="shared" ref="G501:P501" si="310">G185</f>
        <v>22.318800000000003</v>
      </c>
      <c r="H501" s="83">
        <f t="shared" si="310"/>
        <v>23.881116000000006</v>
      </c>
      <c r="I501" s="83">
        <f t="shared" si="310"/>
        <v>25.552794120000005</v>
      </c>
      <c r="J501" s="83">
        <f t="shared" si="310"/>
        <v>27.341489708400005</v>
      </c>
      <c r="K501" s="83">
        <f t="shared" si="310"/>
        <v>23.267226259046659</v>
      </c>
      <c r="L501" s="83">
        <f t="shared" si="310"/>
        <v>17.65772416341331</v>
      </c>
      <c r="M501" s="83">
        <f t="shared" si="310"/>
        <v>11.253299106212701</v>
      </c>
      <c r="N501" s="83">
        <f t="shared" si="310"/>
        <v>3.8696395803192072</v>
      </c>
      <c r="O501" s="83">
        <f t="shared" si="310"/>
        <v>0</v>
      </c>
      <c r="P501" s="84">
        <f t="shared" si="310"/>
        <v>0</v>
      </c>
    </row>
    <row r="502" spans="2:16" x14ac:dyDescent="0.3">
      <c r="B502" s="5" t="s">
        <v>410</v>
      </c>
      <c r="G502" s="83">
        <f t="shared" ref="G502:P502" si="311">IF($X$108=0,0,IF($X$108&gt;=G$465,G185,0))</f>
        <v>22.318800000000003</v>
      </c>
      <c r="H502" s="83">
        <f t="shared" si="311"/>
        <v>23.881116000000006</v>
      </c>
      <c r="I502" s="83">
        <f t="shared" si="311"/>
        <v>25.552794120000005</v>
      </c>
      <c r="J502" s="83">
        <f t="shared" si="311"/>
        <v>27.341489708400005</v>
      </c>
      <c r="K502" s="83">
        <f t="shared" si="311"/>
        <v>23.267226259046659</v>
      </c>
      <c r="L502" s="83">
        <f t="shared" si="311"/>
        <v>0</v>
      </c>
      <c r="M502" s="83">
        <f t="shared" si="311"/>
        <v>0</v>
      </c>
      <c r="N502" s="83">
        <f t="shared" si="311"/>
        <v>0</v>
      </c>
      <c r="O502" s="83">
        <f t="shared" si="311"/>
        <v>0</v>
      </c>
      <c r="P502" s="84">
        <f t="shared" si="311"/>
        <v>0</v>
      </c>
    </row>
    <row r="503" spans="2:16" x14ac:dyDescent="0.3">
      <c r="B503" s="5" t="s">
        <v>406</v>
      </c>
      <c r="G503" s="139">
        <f t="shared" ref="G503:P503" si="312">G500*AA85</f>
        <v>0</v>
      </c>
      <c r="H503" s="139">
        <f t="shared" si="312"/>
        <v>0</v>
      </c>
      <c r="I503" s="139">
        <f t="shared" si="312"/>
        <v>0</v>
      </c>
      <c r="J503" s="139">
        <f t="shared" si="312"/>
        <v>0</v>
      </c>
      <c r="K503" s="139">
        <f t="shared" si="312"/>
        <v>0</v>
      </c>
      <c r="L503" s="139">
        <f t="shared" si="312"/>
        <v>0</v>
      </c>
      <c r="M503" s="139">
        <f t="shared" si="312"/>
        <v>0</v>
      </c>
      <c r="N503" s="139">
        <f t="shared" si="312"/>
        <v>0</v>
      </c>
      <c r="O503" s="139">
        <f t="shared" si="312"/>
        <v>0</v>
      </c>
      <c r="P503" s="97">
        <f t="shared" si="312"/>
        <v>0</v>
      </c>
    </row>
    <row r="504" spans="2:16" x14ac:dyDescent="0.3">
      <c r="B504" s="5" t="s">
        <v>408</v>
      </c>
      <c r="G504" s="140">
        <f t="shared" ref="G504:P504" si="313">$W$108*IF(G$523+G$289-G$487-G$495-G$503-G$488-G$496&gt;0,MIN(G$523+G$289-G$487-G$495-G$503-G$488-G$496,G500+G502-G503),0)</f>
        <v>0</v>
      </c>
      <c r="H504" s="140">
        <f t="shared" si="313"/>
        <v>0</v>
      </c>
      <c r="I504" s="140">
        <f t="shared" si="313"/>
        <v>0</v>
      </c>
      <c r="J504" s="140">
        <f t="shared" si="313"/>
        <v>85.545253270590649</v>
      </c>
      <c r="K504" s="140">
        <f t="shared" si="313"/>
        <v>103.40297048238024</v>
      </c>
      <c r="L504" s="140">
        <f t="shared" si="313"/>
        <v>91.491786531437256</v>
      </c>
      <c r="M504" s="140">
        <f t="shared" si="313"/>
        <v>105.48085036990705</v>
      </c>
      <c r="N504" s="140">
        <f t="shared" si="313"/>
        <v>55.280565433131528</v>
      </c>
      <c r="O504" s="140">
        <f t="shared" si="313"/>
        <v>0</v>
      </c>
      <c r="P504" s="98">
        <f t="shared" si="313"/>
        <v>0</v>
      </c>
    </row>
    <row r="505" spans="2:16" x14ac:dyDescent="0.3">
      <c r="B505" s="5" t="s">
        <v>407</v>
      </c>
      <c r="G505" s="2">
        <f t="shared" ref="G505:P505" si="314">G500+G502-G503-G504</f>
        <v>341.15880000000004</v>
      </c>
      <c r="H505" s="2">
        <f t="shared" si="314"/>
        <v>365.03991600000006</v>
      </c>
      <c r="I505" s="2">
        <f t="shared" si="314"/>
        <v>390.59271012000005</v>
      </c>
      <c r="J505" s="2">
        <f t="shared" si="314"/>
        <v>332.38894655780939</v>
      </c>
      <c r="K505" s="2">
        <f t="shared" si="314"/>
        <v>252.25320233447582</v>
      </c>
      <c r="L505" s="2">
        <f t="shared" si="314"/>
        <v>160.76141580303857</v>
      </c>
      <c r="M505" s="2">
        <f t="shared" si="314"/>
        <v>55.280565433131528</v>
      </c>
      <c r="N505" s="2">
        <f t="shared" si="314"/>
        <v>0</v>
      </c>
      <c r="O505" s="2">
        <f t="shared" si="314"/>
        <v>0</v>
      </c>
      <c r="P505" s="19">
        <f t="shared" si="314"/>
        <v>0</v>
      </c>
    </row>
    <row r="506" spans="2:16" x14ac:dyDescent="0.3">
      <c r="B506" s="5"/>
      <c r="P506" s="16"/>
    </row>
    <row r="507" spans="2:16" x14ac:dyDescent="0.3">
      <c r="B507" s="5" t="str">
        <f>UPPER(B118)</f>
        <v>MEZZANINE</v>
      </c>
      <c r="P507" s="16"/>
    </row>
    <row r="508" spans="2:16" x14ac:dyDescent="0.3">
      <c r="B508" s="5" t="s">
        <v>403</v>
      </c>
      <c r="G508" s="2">
        <f>I17</f>
        <v>100</v>
      </c>
      <c r="H508" s="2">
        <f t="shared" ref="H508:P508" si="315">G513</f>
        <v>106</v>
      </c>
      <c r="I508" s="2">
        <f t="shared" si="315"/>
        <v>112.36</v>
      </c>
      <c r="J508" s="2">
        <f t="shared" si="315"/>
        <v>119.1016</v>
      </c>
      <c r="K508" s="2">
        <f t="shared" si="315"/>
        <v>126.247696</v>
      </c>
      <c r="L508" s="2">
        <f t="shared" si="315"/>
        <v>133.82255776</v>
      </c>
      <c r="M508" s="2">
        <f t="shared" si="315"/>
        <v>133.82255776</v>
      </c>
      <c r="N508" s="2">
        <f t="shared" si="315"/>
        <v>133.82255776</v>
      </c>
      <c r="O508" s="2">
        <f t="shared" si="315"/>
        <v>67.600063851501062</v>
      </c>
      <c r="P508" s="19">
        <f t="shared" si="315"/>
        <v>0</v>
      </c>
    </row>
    <row r="509" spans="2:16" x14ac:dyDescent="0.3">
      <c r="B509" s="5" t="s">
        <v>404</v>
      </c>
      <c r="C509" t="str">
        <f>C118</f>
        <v>PIK until 2028</v>
      </c>
      <c r="D509" t="s">
        <v>405</v>
      </c>
      <c r="F509" s="123">
        <f>LBO!$AD$10</f>
        <v>0</v>
      </c>
      <c r="G509" s="83">
        <f t="shared" ref="G509:P509" si="316">G186</f>
        <v>6</v>
      </c>
      <c r="H509" s="83">
        <f t="shared" si="316"/>
        <v>6.3599999999999994</v>
      </c>
      <c r="I509" s="83">
        <f t="shared" si="316"/>
        <v>6.7416</v>
      </c>
      <c r="J509" s="83">
        <f t="shared" si="316"/>
        <v>7.146096</v>
      </c>
      <c r="K509" s="83">
        <f t="shared" si="316"/>
        <v>7.5748617600000001</v>
      </c>
      <c r="L509" s="83">
        <f t="shared" si="316"/>
        <v>8.0293534655999999</v>
      </c>
      <c r="M509" s="83">
        <f t="shared" si="316"/>
        <v>8.0293534655999999</v>
      </c>
      <c r="N509" s="83">
        <f t="shared" si="316"/>
        <v>8.0293534655999999</v>
      </c>
      <c r="O509" s="83">
        <f t="shared" si="316"/>
        <v>4.0560038310900639</v>
      </c>
      <c r="P509" s="84">
        <f t="shared" si="316"/>
        <v>0</v>
      </c>
    </row>
    <row r="510" spans="2:16" x14ac:dyDescent="0.3">
      <c r="B510" s="5" t="s">
        <v>410</v>
      </c>
      <c r="G510" s="83">
        <f t="shared" ref="G510:P510" si="317">IF($X$109=0,0,IF($X$109&gt;=G$465,G186,0))</f>
        <v>6</v>
      </c>
      <c r="H510" s="83">
        <f t="shared" si="317"/>
        <v>6.3599999999999994</v>
      </c>
      <c r="I510" s="83">
        <f t="shared" si="317"/>
        <v>6.7416</v>
      </c>
      <c r="J510" s="83">
        <f t="shared" si="317"/>
        <v>7.146096</v>
      </c>
      <c r="K510" s="83">
        <f t="shared" si="317"/>
        <v>7.5748617600000001</v>
      </c>
      <c r="L510" s="83">
        <f t="shared" si="317"/>
        <v>0</v>
      </c>
      <c r="M510" s="83">
        <f t="shared" si="317"/>
        <v>0</v>
      </c>
      <c r="N510" s="83">
        <f t="shared" si="317"/>
        <v>0</v>
      </c>
      <c r="O510" s="83">
        <f t="shared" si="317"/>
        <v>0</v>
      </c>
      <c r="P510" s="84">
        <f t="shared" si="317"/>
        <v>0</v>
      </c>
    </row>
    <row r="511" spans="2:16" x14ac:dyDescent="0.3">
      <c r="B511" s="5" t="s">
        <v>406</v>
      </c>
      <c r="G511" s="83">
        <f t="shared" ref="G511:P511" si="318">G508*AA86</f>
        <v>0</v>
      </c>
      <c r="H511" s="83">
        <f t="shared" si="318"/>
        <v>0</v>
      </c>
      <c r="I511" s="83">
        <f t="shared" si="318"/>
        <v>0</v>
      </c>
      <c r="J511" s="83">
        <f t="shared" si="318"/>
        <v>0</v>
      </c>
      <c r="K511" s="83">
        <f t="shared" si="318"/>
        <v>0</v>
      </c>
      <c r="L511" s="83">
        <f t="shared" si="318"/>
        <v>0</v>
      </c>
      <c r="M511" s="83">
        <f t="shared" si="318"/>
        <v>0</v>
      </c>
      <c r="N511" s="83">
        <f t="shared" si="318"/>
        <v>0</v>
      </c>
      <c r="O511" s="83">
        <f t="shared" si="318"/>
        <v>0</v>
      </c>
      <c r="P511" s="84">
        <f t="shared" si="318"/>
        <v>0</v>
      </c>
    </row>
    <row r="512" spans="2:16" x14ac:dyDescent="0.3">
      <c r="B512" s="5" t="s">
        <v>408</v>
      </c>
      <c r="G512" s="137">
        <f t="shared" ref="G512:P512" si="319">$W$108*IF(G$523+G$289-G$487-G$495-G$503-G$488-G$496-G$504-G$511&gt;0,MIN(G$523+G$289-G$487-G$495-G$503-G$488-G$496-G$504-G$511,G508+G510-G511),0)</f>
        <v>0</v>
      </c>
      <c r="H512" s="137">
        <f t="shared" si="319"/>
        <v>0</v>
      </c>
      <c r="I512" s="137">
        <f t="shared" si="319"/>
        <v>0</v>
      </c>
      <c r="J512" s="137">
        <f t="shared" si="319"/>
        <v>0</v>
      </c>
      <c r="K512" s="137">
        <f t="shared" si="319"/>
        <v>0</v>
      </c>
      <c r="L512" s="137">
        <f t="shared" si="319"/>
        <v>0</v>
      </c>
      <c r="M512" s="137">
        <f t="shared" si="319"/>
        <v>0</v>
      </c>
      <c r="N512" s="137">
        <f t="shared" si="319"/>
        <v>66.222493908498933</v>
      </c>
      <c r="O512" s="137">
        <f t="shared" si="319"/>
        <v>67.600063851501062</v>
      </c>
      <c r="P512" s="138">
        <f t="shared" si="319"/>
        <v>0</v>
      </c>
    </row>
    <row r="513" spans="2:16" x14ac:dyDescent="0.3">
      <c r="B513" s="5" t="s">
        <v>407</v>
      </c>
      <c r="G513" s="2">
        <f t="shared" ref="G513:P513" si="320">G508+G510-G511-G512</f>
        <v>106</v>
      </c>
      <c r="H513" s="2">
        <f t="shared" si="320"/>
        <v>112.36</v>
      </c>
      <c r="I513" s="2">
        <f t="shared" si="320"/>
        <v>119.1016</v>
      </c>
      <c r="J513" s="2">
        <f t="shared" si="320"/>
        <v>126.247696</v>
      </c>
      <c r="K513" s="2">
        <f t="shared" si="320"/>
        <v>133.82255776</v>
      </c>
      <c r="L513" s="2">
        <f t="shared" si="320"/>
        <v>133.82255776</v>
      </c>
      <c r="M513" s="2">
        <f t="shared" si="320"/>
        <v>133.82255776</v>
      </c>
      <c r="N513" s="2">
        <f t="shared" si="320"/>
        <v>67.600063851501062</v>
      </c>
      <c r="O513" s="2">
        <f t="shared" si="320"/>
        <v>0</v>
      </c>
      <c r="P513" s="19">
        <f t="shared" si="320"/>
        <v>0</v>
      </c>
    </row>
    <row r="514" spans="2:16" x14ac:dyDescent="0.3">
      <c r="B514" s="5"/>
      <c r="P514" s="16"/>
    </row>
    <row r="515" spans="2:16" x14ac:dyDescent="0.3">
      <c r="B515" s="5" t="s">
        <v>411</v>
      </c>
      <c r="P515" s="16"/>
    </row>
    <row r="516" spans="2:16" x14ac:dyDescent="0.3">
      <c r="B516" s="5" t="s">
        <v>403</v>
      </c>
      <c r="G516" s="83">
        <f>I20</f>
        <v>150</v>
      </c>
      <c r="H516" s="83">
        <f t="shared" ref="H516:P516" si="321">G520</f>
        <v>150</v>
      </c>
      <c r="I516" s="83">
        <f t="shared" si="321"/>
        <v>150</v>
      </c>
      <c r="J516" s="83">
        <f t="shared" si="321"/>
        <v>150</v>
      </c>
      <c r="K516" s="83">
        <f t="shared" si="321"/>
        <v>150</v>
      </c>
      <c r="L516" s="83">
        <f t="shared" si="321"/>
        <v>150</v>
      </c>
      <c r="M516" s="83">
        <f t="shared" si="321"/>
        <v>150</v>
      </c>
      <c r="N516" s="83">
        <f t="shared" si="321"/>
        <v>150</v>
      </c>
      <c r="O516" s="83">
        <f t="shared" si="321"/>
        <v>150</v>
      </c>
      <c r="P516" s="84">
        <f t="shared" si="321"/>
        <v>150</v>
      </c>
    </row>
    <row r="517" spans="2:16" x14ac:dyDescent="0.3">
      <c r="B517" s="5" t="s">
        <v>313</v>
      </c>
      <c r="C517" t="str">
        <f>C120</f>
        <v>Cash Pay</v>
      </c>
      <c r="G517" s="83">
        <f t="shared" ref="G517:P517" si="322">G199</f>
        <v>15</v>
      </c>
      <c r="H517" s="83">
        <f t="shared" si="322"/>
        <v>15</v>
      </c>
      <c r="I517" s="83">
        <f t="shared" si="322"/>
        <v>15</v>
      </c>
      <c r="J517" s="83">
        <f t="shared" si="322"/>
        <v>15</v>
      </c>
      <c r="K517" s="83">
        <f t="shared" si="322"/>
        <v>15</v>
      </c>
      <c r="L517" s="83">
        <f t="shared" si="322"/>
        <v>15</v>
      </c>
      <c r="M517" s="83">
        <f t="shared" si="322"/>
        <v>15</v>
      </c>
      <c r="N517" s="83">
        <f t="shared" si="322"/>
        <v>15</v>
      </c>
      <c r="O517" s="83">
        <f t="shared" si="322"/>
        <v>15</v>
      </c>
      <c r="P517" s="84">
        <f t="shared" si="322"/>
        <v>15</v>
      </c>
    </row>
    <row r="518" spans="2:16" x14ac:dyDescent="0.3">
      <c r="B518" s="5" t="s">
        <v>410</v>
      </c>
      <c r="G518" s="83">
        <f t="shared" ref="G518:P518" si="323">IF($X$110=0,0,IF($X$110&gt;=G$465,G199,0))</f>
        <v>0</v>
      </c>
      <c r="H518" s="83">
        <f t="shared" si="323"/>
        <v>0</v>
      </c>
      <c r="I518" s="83">
        <f t="shared" si="323"/>
        <v>0</v>
      </c>
      <c r="J518" s="83">
        <f t="shared" si="323"/>
        <v>0</v>
      </c>
      <c r="K518" s="83">
        <f t="shared" si="323"/>
        <v>0</v>
      </c>
      <c r="L518" s="83">
        <f t="shared" si="323"/>
        <v>0</v>
      </c>
      <c r="M518" s="83">
        <f t="shared" si="323"/>
        <v>0</v>
      </c>
      <c r="N518" s="83">
        <f t="shared" si="323"/>
        <v>0</v>
      </c>
      <c r="O518" s="83">
        <f t="shared" si="323"/>
        <v>0</v>
      </c>
      <c r="P518" s="84">
        <f t="shared" si="323"/>
        <v>0</v>
      </c>
    </row>
    <row r="519" spans="2:16" x14ac:dyDescent="0.3">
      <c r="B519" s="5" t="s">
        <v>412</v>
      </c>
      <c r="G519" s="137">
        <f t="shared" ref="G519:P519" si="324">G299</f>
        <v>0</v>
      </c>
      <c r="H519" s="137">
        <f t="shared" si="324"/>
        <v>0</v>
      </c>
      <c r="I519" s="137">
        <f t="shared" si="324"/>
        <v>0</v>
      </c>
      <c r="J519" s="137">
        <f t="shared" si="324"/>
        <v>0</v>
      </c>
      <c r="K519" s="137">
        <f t="shared" si="324"/>
        <v>0</v>
      </c>
      <c r="L519" s="137">
        <f t="shared" si="324"/>
        <v>0</v>
      </c>
      <c r="M519" s="137">
        <f t="shared" si="324"/>
        <v>0</v>
      </c>
      <c r="N519" s="137">
        <f t="shared" si="324"/>
        <v>0</v>
      </c>
      <c r="O519" s="137">
        <f t="shared" si="324"/>
        <v>0</v>
      </c>
      <c r="P519" s="138">
        <f t="shared" si="324"/>
        <v>0</v>
      </c>
    </row>
    <row r="520" spans="2:16" x14ac:dyDescent="0.3">
      <c r="B520" s="5" t="s">
        <v>407</v>
      </c>
      <c r="G520" s="83">
        <f t="shared" ref="G520:P520" si="325">G516+G518-G519</f>
        <v>150</v>
      </c>
      <c r="H520" s="83">
        <f t="shared" si="325"/>
        <v>150</v>
      </c>
      <c r="I520" s="83">
        <f t="shared" si="325"/>
        <v>150</v>
      </c>
      <c r="J520" s="83">
        <f t="shared" si="325"/>
        <v>150</v>
      </c>
      <c r="K520" s="83">
        <f t="shared" si="325"/>
        <v>150</v>
      </c>
      <c r="L520" s="83">
        <f t="shared" si="325"/>
        <v>150</v>
      </c>
      <c r="M520" s="83">
        <f t="shared" si="325"/>
        <v>150</v>
      </c>
      <c r="N520" s="83">
        <f t="shared" si="325"/>
        <v>150</v>
      </c>
      <c r="O520" s="83">
        <f t="shared" si="325"/>
        <v>150</v>
      </c>
      <c r="P520" s="84">
        <f t="shared" si="325"/>
        <v>150</v>
      </c>
    </row>
    <row r="521" spans="2:16" x14ac:dyDescent="0.3">
      <c r="B521" s="5"/>
      <c r="P521" s="16"/>
    </row>
    <row r="522" spans="2:16" x14ac:dyDescent="0.3">
      <c r="B522" s="5" t="s">
        <v>413</v>
      </c>
      <c r="P522" s="16"/>
    </row>
    <row r="523" spans="2:16" x14ac:dyDescent="0.3">
      <c r="B523" s="5" t="s">
        <v>414</v>
      </c>
      <c r="G523" s="2">
        <f>G136</f>
        <v>108.0914406949</v>
      </c>
      <c r="H523" s="2">
        <f t="shared" ref="H523:P523" si="326">G526</f>
        <v>0</v>
      </c>
      <c r="I523" s="2">
        <f t="shared" si="326"/>
        <v>0</v>
      </c>
      <c r="J523" s="2">
        <f t="shared" si="326"/>
        <v>0</v>
      </c>
      <c r="K523" s="2">
        <f t="shared" si="326"/>
        <v>0</v>
      </c>
      <c r="L523" s="2">
        <f t="shared" si="326"/>
        <v>0</v>
      </c>
      <c r="M523" s="2">
        <f t="shared" si="326"/>
        <v>0</v>
      </c>
      <c r="N523" s="2">
        <f t="shared" si="326"/>
        <v>0</v>
      </c>
      <c r="O523" s="2">
        <f t="shared" si="326"/>
        <v>0</v>
      </c>
      <c r="P523" s="19">
        <f t="shared" si="326"/>
        <v>0</v>
      </c>
    </row>
    <row r="524" spans="2:16" x14ac:dyDescent="0.3">
      <c r="B524" s="5" t="s">
        <v>415</v>
      </c>
      <c r="D524" t="s">
        <v>405</v>
      </c>
      <c r="F524" s="123">
        <f>LBO!$AD$10</f>
        <v>0</v>
      </c>
      <c r="G524" s="83">
        <f t="shared" ref="G524:P524" si="327">G189</f>
        <v>2.161828813898</v>
      </c>
      <c r="H524" s="83">
        <f t="shared" si="327"/>
        <v>0</v>
      </c>
      <c r="I524" s="83">
        <f t="shared" si="327"/>
        <v>0</v>
      </c>
      <c r="J524" s="83">
        <f t="shared" si="327"/>
        <v>0</v>
      </c>
      <c r="K524" s="83">
        <f t="shared" si="327"/>
        <v>0</v>
      </c>
      <c r="L524" s="83">
        <f t="shared" si="327"/>
        <v>0</v>
      </c>
      <c r="M524" s="83">
        <f t="shared" si="327"/>
        <v>0</v>
      </c>
      <c r="N524" s="83">
        <f t="shared" si="327"/>
        <v>0</v>
      </c>
      <c r="O524" s="83">
        <f t="shared" si="327"/>
        <v>0</v>
      </c>
      <c r="P524" s="84">
        <f t="shared" si="327"/>
        <v>0</v>
      </c>
    </row>
    <row r="525" spans="2:16" x14ac:dyDescent="0.3">
      <c r="B525" s="5" t="s">
        <v>416</v>
      </c>
      <c r="G525" s="137">
        <f t="shared" ref="G525:P525" si="328">G312</f>
        <v>-108.0914406949</v>
      </c>
      <c r="H525" s="137">
        <f t="shared" si="328"/>
        <v>0</v>
      </c>
      <c r="I525" s="137">
        <f t="shared" si="328"/>
        <v>0</v>
      </c>
      <c r="J525" s="137">
        <f t="shared" si="328"/>
        <v>0</v>
      </c>
      <c r="K525" s="137">
        <f t="shared" si="328"/>
        <v>0</v>
      </c>
      <c r="L525" s="137">
        <f t="shared" si="328"/>
        <v>0</v>
      </c>
      <c r="M525" s="137">
        <f t="shared" si="328"/>
        <v>0</v>
      </c>
      <c r="N525" s="137">
        <f t="shared" si="328"/>
        <v>0</v>
      </c>
      <c r="O525" s="137">
        <f t="shared" si="328"/>
        <v>0</v>
      </c>
      <c r="P525" s="138">
        <f t="shared" si="328"/>
        <v>126.92608032805134</v>
      </c>
    </row>
    <row r="526" spans="2:16" ht="15" thickBot="1" x14ac:dyDescent="0.35">
      <c r="B526" s="7" t="s">
        <v>417</v>
      </c>
      <c r="C526" s="18"/>
      <c r="D526" s="18"/>
      <c r="E526" s="18"/>
      <c r="F526" s="18"/>
      <c r="G526" s="20">
        <f t="shared" ref="G526:P526" si="329">G523+G525</f>
        <v>0</v>
      </c>
      <c r="H526" s="20">
        <f t="shared" si="329"/>
        <v>0</v>
      </c>
      <c r="I526" s="20">
        <f t="shared" si="329"/>
        <v>0</v>
      </c>
      <c r="J526" s="20">
        <f t="shared" si="329"/>
        <v>0</v>
      </c>
      <c r="K526" s="20">
        <f t="shared" si="329"/>
        <v>0</v>
      </c>
      <c r="L526" s="20">
        <f t="shared" si="329"/>
        <v>0</v>
      </c>
      <c r="M526" s="20">
        <f t="shared" si="329"/>
        <v>0</v>
      </c>
      <c r="N526" s="20">
        <f t="shared" si="329"/>
        <v>0</v>
      </c>
      <c r="O526" s="20">
        <f t="shared" si="329"/>
        <v>0</v>
      </c>
      <c r="P526" s="21">
        <f t="shared" si="329"/>
        <v>126.92608032805134</v>
      </c>
    </row>
    <row r="530" spans="2:16" x14ac:dyDescent="0.3">
      <c r="B530" s="410" t="s">
        <v>418</v>
      </c>
      <c r="C530" s="410"/>
      <c r="D530" s="410"/>
      <c r="E530" s="410"/>
      <c r="F530" s="410"/>
      <c r="G530" s="410"/>
      <c r="H530" s="410"/>
      <c r="I530" s="410"/>
      <c r="J530" s="410"/>
      <c r="K530" s="410"/>
      <c r="L530" s="410"/>
      <c r="M530" s="410"/>
      <c r="N530" s="410"/>
      <c r="O530" s="410"/>
      <c r="P530" s="410"/>
    </row>
    <row r="531" spans="2:16" x14ac:dyDescent="0.3">
      <c r="F531" s="184" t="s">
        <v>235</v>
      </c>
      <c r="G531" s="149"/>
      <c r="H531" s="55"/>
      <c r="I531" s="55"/>
      <c r="J531" s="55"/>
      <c r="K531" s="55"/>
      <c r="L531" s="184" t="s">
        <v>235</v>
      </c>
      <c r="M531" s="149"/>
      <c r="N531" s="55"/>
      <c r="O531" s="55"/>
      <c r="P531" s="184" t="s">
        <v>419</v>
      </c>
    </row>
    <row r="532" spans="2:16" x14ac:dyDescent="0.3">
      <c r="F532" s="185" t="s">
        <v>420</v>
      </c>
      <c r="G532" s="149"/>
      <c r="H532" s="149" t="s">
        <v>229</v>
      </c>
      <c r="I532" s="149"/>
      <c r="J532" s="149" t="s">
        <v>421</v>
      </c>
      <c r="K532" s="149"/>
      <c r="L532" s="185" t="s">
        <v>422</v>
      </c>
      <c r="M532" s="149"/>
      <c r="N532" s="149" t="s">
        <v>250</v>
      </c>
      <c r="O532" s="55"/>
      <c r="P532" s="185" t="s">
        <v>423</v>
      </c>
    </row>
    <row r="533" spans="2:16" x14ac:dyDescent="0.3">
      <c r="F533" s="186" t="s">
        <v>176</v>
      </c>
      <c r="G533" s="52"/>
      <c r="H533" s="52" t="s">
        <v>424</v>
      </c>
      <c r="I533" s="52"/>
      <c r="J533" s="52" t="s">
        <v>236</v>
      </c>
      <c r="K533" s="52"/>
      <c r="L533" s="186" t="s">
        <v>425</v>
      </c>
      <c r="M533" s="52"/>
      <c r="N533" s="52" t="s">
        <v>235</v>
      </c>
      <c r="O533" s="77"/>
      <c r="P533" s="186" t="s">
        <v>426</v>
      </c>
    </row>
    <row r="534" spans="2:16" x14ac:dyDescent="0.3">
      <c r="F534" s="179"/>
      <c r="G534" s="113"/>
      <c r="H534" s="113"/>
      <c r="I534" s="113"/>
      <c r="J534" s="113"/>
      <c r="K534" s="113"/>
      <c r="L534" s="179"/>
      <c r="M534" s="113"/>
      <c r="N534" s="113"/>
      <c r="P534" s="183"/>
    </row>
    <row r="535" spans="2:16" x14ac:dyDescent="0.3">
      <c r="B535" t="str">
        <f>"Percent Attributable to "&amp;Y11</f>
        <v>Percent Attributable to Triton Partners</v>
      </c>
      <c r="F535" s="180">
        <f>LBO!W117</f>
        <v>0.96</v>
      </c>
      <c r="G535" s="133"/>
      <c r="H535" s="133">
        <f>LBO!X117</f>
        <v>0</v>
      </c>
      <c r="I535" s="133"/>
      <c r="J535" s="133">
        <f>LBO!Y117</f>
        <v>0</v>
      </c>
      <c r="K535" s="133"/>
      <c r="L535" s="180">
        <f>(F535+H535+J535)/($F$543+$H$543+$J$543)</f>
        <v>0.86877828054298645</v>
      </c>
      <c r="M535" s="133"/>
      <c r="N535" s="133">
        <f>LBO!Z117</f>
        <v>0</v>
      </c>
      <c r="P535" s="180">
        <f>L535*(1-$N$538)+N535</f>
        <v>0.82533936651583706</v>
      </c>
    </row>
    <row r="536" spans="2:16" x14ac:dyDescent="0.3">
      <c r="B536" t="str">
        <f>"Percent Attributable to "&amp;U118</f>
        <v>Percent Attributable to XYZ CP</v>
      </c>
      <c r="F536" s="180">
        <f>LBO!W118</f>
        <v>0</v>
      </c>
      <c r="G536" s="133"/>
      <c r="H536" s="133">
        <f>LBO!X118</f>
        <v>0</v>
      </c>
      <c r="I536" s="133"/>
      <c r="J536" s="133">
        <f>LBO!Y118</f>
        <v>0</v>
      </c>
      <c r="K536" s="133"/>
      <c r="L536" s="180">
        <f>(F536+H536+J536)/($F$543+$H$543+$J$543)</f>
        <v>0</v>
      </c>
      <c r="M536" s="133"/>
      <c r="N536" s="133">
        <f>LBO!Z118</f>
        <v>0</v>
      </c>
      <c r="P536" s="180">
        <f>L536*(1-$N$538)+N536</f>
        <v>0</v>
      </c>
    </row>
    <row r="537" spans="2:16" x14ac:dyDescent="0.3">
      <c r="B537" t="s">
        <v>427</v>
      </c>
      <c r="F537" s="181">
        <f>LBO!W119</f>
        <v>0</v>
      </c>
      <c r="G537" s="166"/>
      <c r="H537" s="166">
        <f>LBO!X119</f>
        <v>0</v>
      </c>
      <c r="I537" s="166"/>
      <c r="J537" s="166">
        <f>LBO!Y119</f>
        <v>0</v>
      </c>
      <c r="K537" s="166"/>
      <c r="L537" s="181">
        <f>(F537+H537+J537)/($F$543+$H$543+$J$543)</f>
        <v>0</v>
      </c>
      <c r="M537" s="133"/>
      <c r="N537" s="166">
        <f>LBO!Z119</f>
        <v>0.05</v>
      </c>
      <c r="P537" s="181">
        <f>L537*(1-$N$538)+N537</f>
        <v>0.05</v>
      </c>
    </row>
    <row r="538" spans="2:16" x14ac:dyDescent="0.3">
      <c r="B538" s="22" t="s">
        <v>428</v>
      </c>
      <c r="F538" s="180">
        <f>SUM(F535:F537)</f>
        <v>0.96</v>
      </c>
      <c r="G538" s="133"/>
      <c r="H538" s="133">
        <f>SUM(H535:H537)</f>
        <v>0</v>
      </c>
      <c r="I538" s="133"/>
      <c r="J538" s="133">
        <f>SUM(J535:J537)</f>
        <v>0</v>
      </c>
      <c r="K538" s="133"/>
      <c r="L538" s="180">
        <f>SUM(L535:L537)</f>
        <v>0.86877828054298645</v>
      </c>
      <c r="M538" s="133"/>
      <c r="N538" s="133">
        <f>SUM(N535:N537)</f>
        <v>0.05</v>
      </c>
      <c r="P538" s="180">
        <f>SUM(P535:P537)</f>
        <v>0.8753393665158371</v>
      </c>
    </row>
    <row r="539" spans="2:16" x14ac:dyDescent="0.3">
      <c r="B539" t="str">
        <f>"Percent Attributable to "&amp;V34</f>
        <v>Percent Attributable to Senior Unsecured Debt</v>
      </c>
      <c r="F539" s="180">
        <f>LBO!Y107</f>
        <v>0.04</v>
      </c>
      <c r="G539" s="133"/>
      <c r="H539" s="133">
        <f>LBO!Z107</f>
        <v>0</v>
      </c>
      <c r="I539" s="133"/>
      <c r="J539" s="133">
        <f>LBO!AA107</f>
        <v>0</v>
      </c>
      <c r="K539" s="133"/>
      <c r="L539" s="180">
        <f>(F539+H539+J539)/($F$543+$H$543+$J$543)</f>
        <v>3.6199095022624438E-2</v>
      </c>
      <c r="M539" s="133"/>
      <c r="P539" s="180">
        <f>L539*(1-$N$538)+N539</f>
        <v>3.4389140271493215E-2</v>
      </c>
    </row>
    <row r="540" spans="2:16" x14ac:dyDescent="0.3">
      <c r="B540" t="str">
        <f t="shared" ref="B540:B542" si="330">"Percent Attributable to "&amp;V35</f>
        <v>Percent Attributable to Subordinated Debt</v>
      </c>
      <c r="F540" s="180">
        <f>LBO!Y108</f>
        <v>0</v>
      </c>
      <c r="G540" s="133"/>
      <c r="H540" s="133">
        <f>LBO!Z108</f>
        <v>0.04</v>
      </c>
      <c r="I540" s="133"/>
      <c r="J540" s="133">
        <f>LBO!AA108</f>
        <v>0</v>
      </c>
      <c r="K540" s="133"/>
      <c r="L540" s="180">
        <f>(F540+H540+J540)/($F$543+$H$543+$J$543)</f>
        <v>3.6199095022624438E-2</v>
      </c>
      <c r="M540" s="133"/>
      <c r="P540" s="180">
        <f>L540*(1-$N$538)+N540</f>
        <v>3.4389140271493215E-2</v>
      </c>
    </row>
    <row r="541" spans="2:16" x14ac:dyDescent="0.3">
      <c r="B541" t="str">
        <f t="shared" si="330"/>
        <v>Percent Attributable to Mezzanine</v>
      </c>
      <c r="F541" s="180">
        <f>LBO!Y109</f>
        <v>0</v>
      </c>
      <c r="G541" s="133"/>
      <c r="H541" s="133">
        <f>LBO!Z109</f>
        <v>0</v>
      </c>
      <c r="I541" s="133"/>
      <c r="J541" s="133">
        <f>LBO!AA109</f>
        <v>0.03</v>
      </c>
      <c r="K541" s="133"/>
      <c r="L541" s="180">
        <f>(F541+H541+J541)/($F$543+$H$543+$J$543)</f>
        <v>2.7149321266968326E-2</v>
      </c>
      <c r="M541" s="133"/>
      <c r="P541" s="180">
        <f>L541*(1-$N$538)+N541</f>
        <v>2.5791855203619908E-2</v>
      </c>
    </row>
    <row r="542" spans="2:16" x14ac:dyDescent="0.3">
      <c r="B542" t="str">
        <f t="shared" si="330"/>
        <v>Percent Attributable to Preferred Stock</v>
      </c>
      <c r="F542" s="181">
        <f>LBO!Y110</f>
        <v>0</v>
      </c>
      <c r="G542" s="166"/>
      <c r="H542" s="166">
        <f>LBO!Z110</f>
        <v>3.5000000000000003E-2</v>
      </c>
      <c r="I542" s="166"/>
      <c r="J542" s="166">
        <f>LBO!AA110</f>
        <v>0</v>
      </c>
      <c r="K542" s="166"/>
      <c r="L542" s="181">
        <f>(F542+H542+J542)/($F$543+$H$543+$J$543)</f>
        <v>3.1674208144796386E-2</v>
      </c>
      <c r="M542" s="133"/>
      <c r="P542" s="181">
        <f>L542*(1-$N$538)+N542</f>
        <v>3.0090497737556565E-2</v>
      </c>
    </row>
    <row r="543" spans="2:16" x14ac:dyDescent="0.3">
      <c r="B543" s="22" t="s">
        <v>129</v>
      </c>
      <c r="F543" s="182">
        <f>SUM(F538:F542)</f>
        <v>1</v>
      </c>
      <c r="G543" s="133"/>
      <c r="H543" s="133">
        <f>SUM(H538:H542)</f>
        <v>7.5000000000000011E-2</v>
      </c>
      <c r="I543" s="133"/>
      <c r="J543" s="133">
        <f>SUM(J538:J542)</f>
        <v>0.03</v>
      </c>
      <c r="K543" s="133"/>
      <c r="L543" s="182">
        <f>SUM(L538:L542)</f>
        <v>1</v>
      </c>
      <c r="M543" s="133"/>
      <c r="P543" s="182">
        <f>SUM(P538:P542)</f>
        <v>1</v>
      </c>
    </row>
    <row r="546" spans="2:16" x14ac:dyDescent="0.3">
      <c r="B546" s="410" t="s">
        <v>429</v>
      </c>
      <c r="C546" s="410"/>
      <c r="D546" s="410"/>
      <c r="E546" s="410"/>
      <c r="F546" s="410"/>
      <c r="G546" s="410"/>
      <c r="H546" s="410"/>
      <c r="I546" s="410"/>
      <c r="J546" s="410"/>
      <c r="K546" s="410"/>
      <c r="L546" s="410"/>
      <c r="M546" s="410"/>
      <c r="N546" s="410"/>
      <c r="O546" s="410"/>
      <c r="P546" s="410"/>
    </row>
    <row r="548" spans="2:16" x14ac:dyDescent="0.3">
      <c r="G548" s="409" t="str">
        <f>_xlfn.CONCAT("Equity Values based on Projected Results for the Fiscal Year Ending ",LBO!$Y$13)</f>
        <v>Equity Values based on Projected Results for the Fiscal Year Ending December 31,</v>
      </c>
      <c r="H548" s="409"/>
      <c r="I548" s="409"/>
      <c r="J548" s="409"/>
      <c r="K548" s="409"/>
      <c r="L548" s="409"/>
      <c r="M548" s="409"/>
      <c r="N548" s="409"/>
      <c r="O548" s="409"/>
      <c r="P548" s="409"/>
    </row>
    <row r="549" spans="2:16" x14ac:dyDescent="0.3">
      <c r="G549" s="77">
        <f>LBO!$Y$12</f>
        <v>2024</v>
      </c>
      <c r="H549" s="77">
        <f t="shared" ref="H549:P549" si="331">G549+1</f>
        <v>2025</v>
      </c>
      <c r="I549" s="77">
        <f t="shared" si="331"/>
        <v>2026</v>
      </c>
      <c r="J549" s="77">
        <f t="shared" si="331"/>
        <v>2027</v>
      </c>
      <c r="K549" s="77">
        <f t="shared" si="331"/>
        <v>2028</v>
      </c>
      <c r="L549" s="77">
        <f t="shared" si="331"/>
        <v>2029</v>
      </c>
      <c r="M549" s="77">
        <f t="shared" si="331"/>
        <v>2030</v>
      </c>
      <c r="N549" s="77">
        <f t="shared" si="331"/>
        <v>2031</v>
      </c>
      <c r="O549" s="77">
        <f t="shared" si="331"/>
        <v>2032</v>
      </c>
      <c r="P549" s="77">
        <f t="shared" si="331"/>
        <v>2033</v>
      </c>
    </row>
    <row r="551" spans="2:16" x14ac:dyDescent="0.3">
      <c r="B551" t="s">
        <v>153</v>
      </c>
      <c r="G551" s="216">
        <f>LBO!G174</f>
        <v>144.66462570936682</v>
      </c>
      <c r="H551" s="216">
        <f>LBO!H174</f>
        <v>159.13108828030352</v>
      </c>
      <c r="I551" s="216">
        <f>LBO!I174</f>
        <v>175.04419710833383</v>
      </c>
      <c r="J551" s="216">
        <f>LBO!J174</f>
        <v>189.04773287700061</v>
      </c>
      <c r="K551" s="216">
        <f>LBO!K174</f>
        <v>204.17155150716059</v>
      </c>
      <c r="L551" s="216">
        <f>LBO!L174</f>
        <v>220.50527562773351</v>
      </c>
      <c r="M551" s="216">
        <f>LBO!M174</f>
        <v>233.73559216539746</v>
      </c>
      <c r="N551" s="216">
        <f>LBO!N174</f>
        <v>245.42237177366735</v>
      </c>
      <c r="O551" s="216">
        <f>LBO!O174</f>
        <v>257.6934903623507</v>
      </c>
      <c r="P551" s="216">
        <f>LBO!P174</f>
        <v>270.57816488046825</v>
      </c>
    </row>
    <row r="552" spans="2:16" x14ac:dyDescent="0.3">
      <c r="B552" t="s">
        <v>430</v>
      </c>
      <c r="G552" s="178">
        <f>LBO!$Y$18</f>
        <v>10</v>
      </c>
      <c r="H552" s="178">
        <f>LBO!$Y$18</f>
        <v>10</v>
      </c>
      <c r="I552" s="178">
        <f>LBO!$Y$18</f>
        <v>10</v>
      </c>
      <c r="J552" s="178">
        <f>LBO!$Y$18</f>
        <v>10</v>
      </c>
      <c r="K552" s="178">
        <f>LBO!$Y$18</f>
        <v>10</v>
      </c>
      <c r="L552" s="178">
        <f>LBO!$Y$18</f>
        <v>10</v>
      </c>
      <c r="M552" s="178">
        <f>LBO!$Y$18</f>
        <v>10</v>
      </c>
      <c r="N552" s="178">
        <f>LBO!$Y$18</f>
        <v>10</v>
      </c>
      <c r="O552" s="178">
        <f>LBO!$Y$18</f>
        <v>10</v>
      </c>
      <c r="P552" s="178">
        <f>LBO!$Y$18</f>
        <v>10</v>
      </c>
    </row>
    <row r="553" spans="2:16" x14ac:dyDescent="0.3">
      <c r="B553" s="22" t="s">
        <v>431</v>
      </c>
      <c r="G553" s="216">
        <f t="shared" ref="G553:P553" si="332">G551*G552</f>
        <v>1446.6462570936683</v>
      </c>
      <c r="H553" s="216">
        <f t="shared" si="332"/>
        <v>1591.3108828030352</v>
      </c>
      <c r="I553" s="216">
        <f t="shared" si="332"/>
        <v>1750.4419710833383</v>
      </c>
      <c r="J553" s="216">
        <f t="shared" si="332"/>
        <v>1890.4773287700061</v>
      </c>
      <c r="K553" s="216">
        <f t="shared" si="332"/>
        <v>2041.7155150716058</v>
      </c>
      <c r="L553" s="216">
        <f t="shared" si="332"/>
        <v>2205.052756277335</v>
      </c>
      <c r="M553" s="216">
        <f t="shared" si="332"/>
        <v>2337.3559216539747</v>
      </c>
      <c r="N553" s="216">
        <f t="shared" si="332"/>
        <v>2454.2237177366733</v>
      </c>
      <c r="O553" s="216">
        <f t="shared" si="332"/>
        <v>2576.9349036235071</v>
      </c>
      <c r="P553" s="216">
        <f t="shared" si="332"/>
        <v>2705.7816488046824</v>
      </c>
    </row>
    <row r="554" spans="2:16" x14ac:dyDescent="0.3">
      <c r="G554" s="82"/>
      <c r="H554" s="82"/>
      <c r="I554" s="82"/>
      <c r="J554" s="82"/>
      <c r="K554" s="82"/>
      <c r="L554" s="82"/>
      <c r="M554" s="82"/>
      <c r="N554" s="82"/>
      <c r="O554" s="82"/>
      <c r="P554" s="82"/>
    </row>
    <row r="555" spans="2:16" x14ac:dyDescent="0.3">
      <c r="B555" t="s">
        <v>432</v>
      </c>
      <c r="G555" s="216">
        <f>LBO!G230+LBO!G242</f>
        <v>809.70769355625839</v>
      </c>
      <c r="H555" s="216">
        <f>LBO!H230+LBO!H242</f>
        <v>767.76546055654637</v>
      </c>
      <c r="I555" s="216">
        <f>LBO!I230+LBO!I242</f>
        <v>715.28015761027098</v>
      </c>
      <c r="J555" s="216">
        <f>LBO!J230+LBO!J242</f>
        <v>640.55664255780937</v>
      </c>
      <c r="K555" s="216">
        <f>LBO!K230+LBO!K242</f>
        <v>551.61176009447581</v>
      </c>
      <c r="L555" s="216">
        <f>LBO!L230+LBO!L242</f>
        <v>447.01277356303854</v>
      </c>
      <c r="M555" s="216">
        <f>LBO!M230+LBO!M242</f>
        <v>331.04616319313152</v>
      </c>
      <c r="N555" s="216">
        <f>LBO!N230+LBO!N242</f>
        <v>201.15449585150108</v>
      </c>
      <c r="O555" s="216">
        <f>LBO!O230+LBO!O242</f>
        <v>54.196791856967373</v>
      </c>
      <c r="P555" s="216">
        <f>LBO!P230+LBO!P242</f>
        <v>21.474836480000004</v>
      </c>
    </row>
    <row r="556" spans="2:16" x14ac:dyDescent="0.3">
      <c r="B556" t="s">
        <v>433</v>
      </c>
      <c r="G556" s="258">
        <f>LBO!G249</f>
        <v>150</v>
      </c>
      <c r="H556" s="258">
        <f>LBO!H249</f>
        <v>150</v>
      </c>
      <c r="I556" s="258">
        <f>LBO!I249</f>
        <v>150</v>
      </c>
      <c r="J556" s="258">
        <f>LBO!J249</f>
        <v>150</v>
      </c>
      <c r="K556" s="258">
        <f>LBO!K249</f>
        <v>150</v>
      </c>
      <c r="L556" s="258">
        <f>LBO!L249</f>
        <v>150</v>
      </c>
      <c r="M556" s="258">
        <f>LBO!M249</f>
        <v>150</v>
      </c>
      <c r="N556" s="258">
        <f>LBO!N249</f>
        <v>150</v>
      </c>
      <c r="O556" s="258">
        <f>LBO!O249</f>
        <v>150</v>
      </c>
      <c r="P556" s="258">
        <f>LBO!P249</f>
        <v>150</v>
      </c>
    </row>
    <row r="557" spans="2:16" x14ac:dyDescent="0.3">
      <c r="B557" s="22" t="s">
        <v>434</v>
      </c>
      <c r="G557" s="216">
        <f t="shared" ref="G557:P557" si="333">SUM(G555:G556)</f>
        <v>959.70769355625839</v>
      </c>
      <c r="H557" s="216">
        <f t="shared" si="333"/>
        <v>917.76546055654637</v>
      </c>
      <c r="I557" s="216">
        <f t="shared" si="333"/>
        <v>865.28015761027098</v>
      </c>
      <c r="J557" s="216">
        <f t="shared" si="333"/>
        <v>790.55664255780937</v>
      </c>
      <c r="K557" s="216">
        <f t="shared" si="333"/>
        <v>701.61176009447581</v>
      </c>
      <c r="L557" s="216">
        <f t="shared" si="333"/>
        <v>597.01277356303854</v>
      </c>
      <c r="M557" s="216">
        <f t="shared" si="333"/>
        <v>481.04616319313152</v>
      </c>
      <c r="N557" s="216">
        <f t="shared" si="333"/>
        <v>351.15449585150111</v>
      </c>
      <c r="O557" s="216">
        <f t="shared" si="333"/>
        <v>204.19679185696737</v>
      </c>
      <c r="P557" s="216">
        <f t="shared" si="333"/>
        <v>171.47483647999999</v>
      </c>
    </row>
    <row r="558" spans="2:16" x14ac:dyDescent="0.3">
      <c r="H558" s="82"/>
      <c r="I558" s="82"/>
      <c r="J558" s="82"/>
      <c r="K558" s="82"/>
      <c r="L558" s="82"/>
      <c r="M558" s="82"/>
      <c r="N558" s="82"/>
      <c r="O558" s="82"/>
      <c r="P558" s="82"/>
    </row>
    <row r="559" spans="2:16" x14ac:dyDescent="0.3">
      <c r="B559" t="s">
        <v>435</v>
      </c>
      <c r="G559" s="216">
        <f>LBO!G210+LBO!G211</f>
        <v>50</v>
      </c>
      <c r="H559" s="216">
        <f>LBO!H210+LBO!H211</f>
        <v>50</v>
      </c>
      <c r="I559" s="216">
        <f>LBO!I210+LBO!I211</f>
        <v>50</v>
      </c>
      <c r="J559" s="216">
        <f>LBO!J210+LBO!J211</f>
        <v>50</v>
      </c>
      <c r="K559" s="216">
        <f>LBO!K210+LBO!K211</f>
        <v>50</v>
      </c>
      <c r="L559" s="216">
        <f>LBO!L210+LBO!L211</f>
        <v>50</v>
      </c>
      <c r="M559" s="216">
        <f>LBO!M210+LBO!M211</f>
        <v>50</v>
      </c>
      <c r="N559" s="216">
        <f>LBO!N210+LBO!N211</f>
        <v>50</v>
      </c>
      <c r="O559" s="216">
        <f>LBO!O210+LBO!O211</f>
        <v>50</v>
      </c>
      <c r="P559" s="216">
        <f>LBO!P210+LBO!P211</f>
        <v>176.92608032805134</v>
      </c>
    </row>
    <row r="560" spans="2:16" x14ac:dyDescent="0.3">
      <c r="B560" t="s">
        <v>436</v>
      </c>
      <c r="G560" s="216">
        <f>LBO!$H$543*LBO!$I$21</f>
        <v>36.927000000000007</v>
      </c>
      <c r="H560" s="216">
        <f>LBO!$H$543*LBO!$I$21</f>
        <v>36.927000000000007</v>
      </c>
      <c r="I560" s="216">
        <f>LBO!$H$543*LBO!$I$21</f>
        <v>36.927000000000007</v>
      </c>
      <c r="J560" s="216">
        <f>LBO!$H$543*LBO!$I$21</f>
        <v>36.927000000000007</v>
      </c>
      <c r="K560" s="216">
        <f>LBO!$H$543*LBO!$I$21</f>
        <v>36.927000000000007</v>
      </c>
      <c r="L560" s="216">
        <f>LBO!$H$543*LBO!$I$21</f>
        <v>36.927000000000007</v>
      </c>
      <c r="M560" s="216">
        <f>LBO!$H$543*LBO!$I$21</f>
        <v>36.927000000000007</v>
      </c>
      <c r="N560" s="216">
        <f>LBO!$H$543*LBO!$I$21</f>
        <v>36.927000000000007</v>
      </c>
      <c r="O560" s="216">
        <f>LBO!$H$543*LBO!$I$21</f>
        <v>36.927000000000007</v>
      </c>
      <c r="P560" s="216">
        <f>LBO!$H$543*LBO!$I$21</f>
        <v>36.927000000000007</v>
      </c>
    </row>
    <row r="562" spans="2:16" x14ac:dyDescent="0.3">
      <c r="B562" t="s">
        <v>437</v>
      </c>
      <c r="G562" s="216">
        <f t="shared" ref="G562:P562" si="334">G553-G557+G559+G560</f>
        <v>573.86556353740991</v>
      </c>
      <c r="H562" s="216">
        <f t="shared" si="334"/>
        <v>760.4724222464888</v>
      </c>
      <c r="I562" s="216">
        <f t="shared" si="334"/>
        <v>972.08881347306738</v>
      </c>
      <c r="J562" s="216">
        <f t="shared" si="334"/>
        <v>1186.8476862121968</v>
      </c>
      <c r="K562" s="216">
        <f t="shared" si="334"/>
        <v>1427.0307549771298</v>
      </c>
      <c r="L562" s="216">
        <f t="shared" si="334"/>
        <v>1694.9669827142964</v>
      </c>
      <c r="M562" s="216">
        <f t="shared" si="334"/>
        <v>1943.236758460843</v>
      </c>
      <c r="N562" s="216">
        <f t="shared" si="334"/>
        <v>2189.9962218851724</v>
      </c>
      <c r="O562" s="216">
        <f t="shared" si="334"/>
        <v>2459.6651117665401</v>
      </c>
      <c r="P562" s="216">
        <f t="shared" si="334"/>
        <v>2748.159892652734</v>
      </c>
    </row>
    <row r="563" spans="2:16" x14ac:dyDescent="0.3">
      <c r="B563" s="22" t="s">
        <v>438</v>
      </c>
      <c r="G563" s="133">
        <f>G562/LBO!$I$21-1</f>
        <v>0.16554058724796872</v>
      </c>
      <c r="H563" s="133">
        <f t="shared" ref="H563:P563" si="335">H562/G562-1</f>
        <v>0.3251752162279975</v>
      </c>
      <c r="I563" s="133">
        <f t="shared" si="335"/>
        <v>0.27826964533631471</v>
      </c>
      <c r="J563" s="133">
        <f t="shared" si="335"/>
        <v>0.22092515597606921</v>
      </c>
      <c r="K563" s="133">
        <f t="shared" si="335"/>
        <v>0.20237059190928952</v>
      </c>
      <c r="L563" s="133">
        <f t="shared" si="335"/>
        <v>0.18775785091013031</v>
      </c>
      <c r="M563" s="133">
        <f t="shared" si="335"/>
        <v>0.14647469731178542</v>
      </c>
      <c r="N563" s="133">
        <f t="shared" si="335"/>
        <v>0.12698373594979606</v>
      </c>
      <c r="O563" s="133">
        <f t="shared" si="335"/>
        <v>0.12313669182919118</v>
      </c>
      <c r="P563" s="133">
        <f t="shared" si="335"/>
        <v>0.11729026829957179</v>
      </c>
    </row>
    <row r="567" spans="2:16" x14ac:dyDescent="0.3">
      <c r="B567" s="410" t="s">
        <v>439</v>
      </c>
      <c r="C567" s="410"/>
      <c r="D567" s="410"/>
      <c r="E567" s="410"/>
      <c r="F567" s="410"/>
      <c r="G567" s="410"/>
      <c r="H567" s="410"/>
      <c r="I567" s="410"/>
      <c r="J567" s="410"/>
      <c r="K567" s="410"/>
      <c r="L567" s="410"/>
      <c r="M567" s="410"/>
      <c r="N567" s="410"/>
      <c r="O567" s="410"/>
      <c r="P567" s="410"/>
    </row>
    <row r="569" spans="2:16" x14ac:dyDescent="0.3">
      <c r="B569" s="55"/>
      <c r="G569" s="409" t="str">
        <f>_xlfn.CONCAT("For the Fiscal Year Ending ",LBO!$Y$13)</f>
        <v>For the Fiscal Year Ending December 31,</v>
      </c>
      <c r="H569" s="409"/>
      <c r="I569" s="409"/>
      <c r="J569" s="409"/>
      <c r="K569" s="409"/>
      <c r="L569" s="409"/>
      <c r="M569" s="409"/>
      <c r="N569" s="409"/>
      <c r="O569" s="409"/>
      <c r="P569" s="409"/>
    </row>
    <row r="570" spans="2:16" x14ac:dyDescent="0.3">
      <c r="E570" s="187" t="s">
        <v>440</v>
      </c>
      <c r="F570" s="187" t="s">
        <v>176</v>
      </c>
      <c r="G570" s="109">
        <f>$Y$12</f>
        <v>2024</v>
      </c>
      <c r="H570" s="109">
        <f>G570+1</f>
        <v>2025</v>
      </c>
      <c r="I570" s="109">
        <f t="shared" ref="I570:P570" si="336">H570+1</f>
        <v>2026</v>
      </c>
      <c r="J570" s="109">
        <f t="shared" si="336"/>
        <v>2027</v>
      </c>
      <c r="K570" s="193">
        <f t="shared" si="336"/>
        <v>2028</v>
      </c>
      <c r="L570" s="109">
        <f t="shared" si="336"/>
        <v>2029</v>
      </c>
      <c r="M570" s="109">
        <f t="shared" si="336"/>
        <v>2030</v>
      </c>
      <c r="N570" s="109">
        <f t="shared" si="336"/>
        <v>2031</v>
      </c>
      <c r="O570" s="109">
        <f t="shared" si="336"/>
        <v>2032</v>
      </c>
      <c r="P570" s="109">
        <f t="shared" si="336"/>
        <v>2033</v>
      </c>
    </row>
    <row r="571" spans="2:16" x14ac:dyDescent="0.3">
      <c r="K571" s="183"/>
    </row>
    <row r="572" spans="2:16" x14ac:dyDescent="0.3">
      <c r="B572" t="str">
        <f>_xlfn.CONCAT("IRR for Exit in ",$Y$12)</f>
        <v>IRR for Exit in 2024</v>
      </c>
      <c r="E572" s="133">
        <f>IFERROR(IRR(F572:P572),"NA")</f>
        <v>5.4787861762867429E-2</v>
      </c>
      <c r="F572" s="216">
        <f>$I$21*-1</f>
        <v>-492.36</v>
      </c>
      <c r="G572" s="216">
        <f>G562*($L$535+$L$539)</f>
        <v>519.33535161756549</v>
      </c>
      <c r="H572" s="216"/>
      <c r="I572" s="216"/>
      <c r="J572" s="216"/>
      <c r="K572" s="295"/>
      <c r="L572" s="216"/>
      <c r="M572" s="216"/>
      <c r="N572" s="216"/>
      <c r="O572" s="216"/>
      <c r="P572" s="216"/>
    </row>
    <row r="573" spans="2:16" x14ac:dyDescent="0.3">
      <c r="B573" t="str">
        <f>"IRR for Exit in "&amp;$Y$12+1</f>
        <v>IRR for Exit in 2025</v>
      </c>
      <c r="E573" s="133">
        <f t="shared" ref="E573:E575" si="337">IFERROR(IRR(F573:P573),"NA")</f>
        <v>0.18227692728322986</v>
      </c>
      <c r="F573" s="216">
        <f t="shared" ref="F573:F581" si="338">$I$21*-1</f>
        <v>-492.36</v>
      </c>
      <c r="G573" s="254">
        <v>0</v>
      </c>
      <c r="H573" s="216">
        <f>H562*($L$535+$L$539)</f>
        <v>688.21033687465047</v>
      </c>
      <c r="I573" s="216"/>
      <c r="J573" s="216"/>
      <c r="K573" s="295"/>
      <c r="L573" s="216"/>
      <c r="M573" s="216"/>
      <c r="N573" s="216"/>
      <c r="O573" s="216"/>
      <c r="P573" s="216"/>
    </row>
    <row r="574" spans="2:16" x14ac:dyDescent="0.3">
      <c r="B574" t="str">
        <f>"IRR for Exit in "&amp;$Y$12+2</f>
        <v>IRR for Exit in 2026</v>
      </c>
      <c r="E574" s="133">
        <f t="shared" si="337"/>
        <v>0.21344557267407405</v>
      </c>
      <c r="F574" s="216">
        <f t="shared" si="338"/>
        <v>-492.36</v>
      </c>
      <c r="G574" s="254">
        <v>0</v>
      </c>
      <c r="H574" s="254">
        <v>0</v>
      </c>
      <c r="I574" s="216">
        <f>I562*($L$535+$L$539)</f>
        <v>879.71838323354518</v>
      </c>
      <c r="J574" s="216"/>
      <c r="K574" s="295"/>
      <c r="L574" s="216"/>
      <c r="M574" s="216"/>
      <c r="N574" s="216"/>
      <c r="O574" s="216"/>
      <c r="P574" s="216"/>
    </row>
    <row r="575" spans="2:16" x14ac:dyDescent="0.3">
      <c r="B575" t="str">
        <f>"IRR for Exit in "&amp;$Y$12+3</f>
        <v>IRR for Exit in 2027</v>
      </c>
      <c r="E575" s="133">
        <f t="shared" si="337"/>
        <v>0.21531116176592158</v>
      </c>
      <c r="F575" s="216">
        <f t="shared" si="338"/>
        <v>-492.36</v>
      </c>
      <c r="G575" s="254">
        <v>0</v>
      </c>
      <c r="H575" s="254">
        <v>0</v>
      </c>
      <c r="I575" s="254">
        <v>0</v>
      </c>
      <c r="J575" s="216">
        <f>J562*($L$535+$L$539)</f>
        <v>1074.0703042644316</v>
      </c>
      <c r="K575" s="295"/>
      <c r="L575" s="216"/>
      <c r="M575" s="216"/>
      <c r="N575" s="216"/>
      <c r="O575" s="216"/>
      <c r="P575" s="216"/>
    </row>
    <row r="576" spans="2:16" x14ac:dyDescent="0.3">
      <c r="B576" s="294" t="str">
        <f>"IRR for Exit in "&amp;$Y$12+4</f>
        <v>IRR for Exit in 2028</v>
      </c>
      <c r="C576" s="70"/>
      <c r="D576" s="70"/>
      <c r="E576" s="189">
        <f>IFERROR(IRR(F576:P576),"NA")</f>
        <v>0.21271195359943107</v>
      </c>
      <c r="F576" s="293">
        <f t="shared" si="338"/>
        <v>-492.36</v>
      </c>
      <c r="G576" s="296">
        <v>0</v>
      </c>
      <c r="H576" s="296">
        <v>0</v>
      </c>
      <c r="I576" s="296">
        <v>0</v>
      </c>
      <c r="J576" s="296">
        <v>0</v>
      </c>
      <c r="K576" s="297">
        <f>K562*($L$535+$L$539)</f>
        <v>1291.4305474906153</v>
      </c>
      <c r="L576" s="216"/>
      <c r="M576" s="216"/>
      <c r="N576" s="216"/>
      <c r="O576" s="216"/>
      <c r="P576" s="216"/>
    </row>
    <row r="577" spans="2:16" x14ac:dyDescent="0.3">
      <c r="B577" t="str">
        <f>"IRR for Exit in "&amp;$Y$12+5</f>
        <v>IRR for Exit in 2029</v>
      </c>
      <c r="E577" s="133">
        <f t="shared" ref="E577:E580" si="339">IFERROR(IRR(F577:P577),"NA")</f>
        <v>0.2085168228842289</v>
      </c>
      <c r="F577" s="216">
        <f t="shared" si="338"/>
        <v>-492.36</v>
      </c>
      <c r="G577" s="254">
        <v>0</v>
      </c>
      <c r="H577" s="254">
        <v>0</v>
      </c>
      <c r="I577" s="254">
        <v>0</v>
      </c>
      <c r="J577" s="254">
        <v>0</v>
      </c>
      <c r="K577" s="254">
        <v>0</v>
      </c>
      <c r="L577" s="216">
        <f>L562*($L$535+$L$539)</f>
        <v>1533.9067716871461</v>
      </c>
      <c r="M577" s="216"/>
      <c r="N577" s="216"/>
      <c r="O577" s="216"/>
      <c r="P577" s="216"/>
    </row>
    <row r="578" spans="2:16" x14ac:dyDescent="0.3">
      <c r="B578" t="str">
        <f>"IRR for Exit in "&amp;$Y$12+6</f>
        <v>IRR for Exit in 2030</v>
      </c>
      <c r="E578" s="133">
        <f t="shared" si="339"/>
        <v>0.19945222309666044</v>
      </c>
      <c r="F578" s="216">
        <f t="shared" si="338"/>
        <v>-492.36</v>
      </c>
      <c r="G578" s="254">
        <v>0</v>
      </c>
      <c r="H578" s="254">
        <v>0</v>
      </c>
      <c r="I578" s="254">
        <v>0</v>
      </c>
      <c r="J578" s="254">
        <v>0</v>
      </c>
      <c r="K578" s="254">
        <v>0</v>
      </c>
      <c r="L578" s="254">
        <v>0</v>
      </c>
      <c r="M578" s="216">
        <f>M562*($L$535+$L$539)</f>
        <v>1758.5853017745185</v>
      </c>
      <c r="N578" s="216"/>
      <c r="O578" s="216"/>
      <c r="P578" s="216"/>
    </row>
    <row r="579" spans="2:16" x14ac:dyDescent="0.3">
      <c r="B579" t="str">
        <f>"IRR for Exit in "&amp;$Y$12+7</f>
        <v>IRR for Exit in 2031</v>
      </c>
      <c r="E579" s="133">
        <f t="shared" si="339"/>
        <v>0.19014476478423914</v>
      </c>
      <c r="F579" s="216">
        <f t="shared" si="338"/>
        <v>-492.36</v>
      </c>
      <c r="G579" s="254">
        <v>0</v>
      </c>
      <c r="H579" s="254">
        <v>0</v>
      </c>
      <c r="I579" s="254">
        <v>0</v>
      </c>
      <c r="J579" s="254">
        <v>0</v>
      </c>
      <c r="K579" s="254">
        <v>0</v>
      </c>
      <c r="L579" s="254">
        <v>0</v>
      </c>
      <c r="M579" s="254">
        <v>0</v>
      </c>
      <c r="N579" s="216">
        <f>N562*($L$535+$L$539)</f>
        <v>1981.8970333802465</v>
      </c>
      <c r="O579" s="216"/>
      <c r="P579" s="216"/>
    </row>
    <row r="580" spans="2:16" x14ac:dyDescent="0.3">
      <c r="B580" t="str">
        <f>"IRR for Exit in "&amp;$Y$12+8</f>
        <v>IRR for Exit in 2032</v>
      </c>
      <c r="E580" s="133">
        <f t="shared" si="339"/>
        <v>0.18250623081414297</v>
      </c>
      <c r="F580" s="216">
        <f t="shared" si="338"/>
        <v>-492.36</v>
      </c>
      <c r="G580" s="254">
        <v>0</v>
      </c>
      <c r="H580" s="254">
        <v>0</v>
      </c>
      <c r="I580" s="254">
        <v>0</v>
      </c>
      <c r="J580" s="254">
        <v>0</v>
      </c>
      <c r="K580" s="254">
        <v>0</v>
      </c>
      <c r="L580" s="254">
        <v>0</v>
      </c>
      <c r="M580" s="254">
        <v>0</v>
      </c>
      <c r="N580" s="254">
        <v>0</v>
      </c>
      <c r="O580" s="216">
        <f>O562*($L$535+$L$539)</f>
        <v>2225.9412776167783</v>
      </c>
      <c r="P580" s="216"/>
    </row>
    <row r="581" spans="2:16" x14ac:dyDescent="0.3">
      <c r="B581" t="str">
        <f>"IRR for Exit in "&amp;$Y$12+9</f>
        <v>IRR for Exit in 2033</v>
      </c>
      <c r="E581" s="133">
        <f>IFERROR(IRR(F581:P581),"NA")</f>
        <v>0.17581689350702523</v>
      </c>
      <c r="F581" s="216">
        <f t="shared" si="338"/>
        <v>-492.36</v>
      </c>
      <c r="G581" s="254">
        <v>0</v>
      </c>
      <c r="H581" s="254">
        <v>0</v>
      </c>
      <c r="I581" s="254">
        <v>0</v>
      </c>
      <c r="J581" s="254">
        <v>0</v>
      </c>
      <c r="K581" s="254">
        <v>0</v>
      </c>
      <c r="L581" s="254">
        <v>0</v>
      </c>
      <c r="M581" s="254">
        <v>0</v>
      </c>
      <c r="N581" s="254">
        <v>0</v>
      </c>
      <c r="O581" s="254">
        <v>0</v>
      </c>
      <c r="P581" s="216">
        <f>P562*($L$535+$L$539)</f>
        <v>2487.0225272875423</v>
      </c>
    </row>
    <row r="589" spans="2:16" x14ac:dyDescent="0.3">
      <c r="B589" s="406" t="str">
        <f>_xlfn.CONCAT("RETURNS TO ",UPPER(Y11))</f>
        <v>RETURNS TO TRITON PARTNERS</v>
      </c>
      <c r="C589" s="406"/>
      <c r="D589" s="406"/>
      <c r="E589" s="406"/>
      <c r="F589" s="406"/>
      <c r="G589" s="406"/>
      <c r="H589" s="406"/>
      <c r="I589" s="406"/>
      <c r="J589" s="406"/>
      <c r="K589" s="406"/>
      <c r="L589" s="406"/>
      <c r="M589" s="406"/>
      <c r="N589" s="406"/>
      <c r="O589" s="406"/>
      <c r="P589" s="406"/>
    </row>
    <row r="591" spans="2:16" x14ac:dyDescent="0.3">
      <c r="B591" s="55" t="str">
        <f>"Cash Flows to "&amp;Y11&amp;" at Exit"</f>
        <v>Cash Flows to Triton Partners at Exit</v>
      </c>
      <c r="G591" s="409" t="str">
        <f>_xlfn.CONCAT("For the Fiscal Year Ending ",LBO!$Y$13)</f>
        <v>For the Fiscal Year Ending December 31,</v>
      </c>
      <c r="H591" s="409"/>
      <c r="I591" s="409"/>
      <c r="J591" s="409"/>
      <c r="K591" s="409"/>
      <c r="L591" s="409"/>
      <c r="M591" s="409"/>
      <c r="N591" s="409"/>
      <c r="O591" s="409"/>
      <c r="P591" s="409"/>
    </row>
    <row r="592" spans="2:16" x14ac:dyDescent="0.3">
      <c r="G592" s="109">
        <f>LBO!$Y$12</f>
        <v>2024</v>
      </c>
      <c r="H592" s="109">
        <f>G592+1</f>
        <v>2025</v>
      </c>
      <c r="I592" s="109">
        <f t="shared" ref="I592:P592" si="340">H592+1</f>
        <v>2026</v>
      </c>
      <c r="J592" s="109">
        <f t="shared" si="340"/>
        <v>2027</v>
      </c>
      <c r="K592" s="109">
        <f t="shared" si="340"/>
        <v>2028</v>
      </c>
      <c r="L592" s="109">
        <f t="shared" si="340"/>
        <v>2029</v>
      </c>
      <c r="M592" s="109">
        <f t="shared" si="340"/>
        <v>2030</v>
      </c>
      <c r="N592" s="109">
        <f t="shared" si="340"/>
        <v>2031</v>
      </c>
      <c r="O592" s="109">
        <f t="shared" si="340"/>
        <v>2032</v>
      </c>
      <c r="P592" s="109">
        <f t="shared" si="340"/>
        <v>2033</v>
      </c>
    </row>
    <row r="593" spans="2:26" x14ac:dyDescent="0.3">
      <c r="B593" t="s">
        <v>441</v>
      </c>
      <c r="G593" s="216">
        <f t="shared" ref="G593:P593" si="341">$H$535*$I$21*-1</f>
        <v>0</v>
      </c>
      <c r="H593" s="216">
        <f t="shared" si="341"/>
        <v>0</v>
      </c>
      <c r="I593" s="216">
        <f t="shared" si="341"/>
        <v>0</v>
      </c>
      <c r="J593" s="216">
        <f t="shared" si="341"/>
        <v>0</v>
      </c>
      <c r="K593" s="216">
        <f t="shared" si="341"/>
        <v>0</v>
      </c>
      <c r="L593" s="216">
        <f t="shared" si="341"/>
        <v>0</v>
      </c>
      <c r="M593" s="216">
        <f t="shared" si="341"/>
        <v>0</v>
      </c>
      <c r="N593" s="216">
        <f t="shared" si="341"/>
        <v>0</v>
      </c>
      <c r="O593" s="216">
        <f t="shared" si="341"/>
        <v>0</v>
      </c>
      <c r="P593" s="216">
        <f t="shared" si="341"/>
        <v>0</v>
      </c>
    </row>
    <row r="594" spans="2:26" x14ac:dyDescent="0.3">
      <c r="B594" t="s">
        <v>442</v>
      </c>
      <c r="C594" s="133"/>
      <c r="G594" s="258">
        <f t="shared" ref="G594:P594" si="342">G562*$P$535</f>
        <v>473.63384067521974</v>
      </c>
      <c r="H594" s="258">
        <f t="shared" si="342"/>
        <v>627.64782722968118</v>
      </c>
      <c r="I594" s="258">
        <f t="shared" si="342"/>
        <v>802.30316550899317</v>
      </c>
      <c r="J594" s="258">
        <f t="shared" si="342"/>
        <v>979.55211748916145</v>
      </c>
      <c r="K594" s="258">
        <f t="shared" si="342"/>
        <v>1177.7846593114411</v>
      </c>
      <c r="L594" s="258">
        <f t="shared" si="342"/>
        <v>1398.922975778677</v>
      </c>
      <c r="M594" s="258">
        <f t="shared" si="342"/>
        <v>1603.8297952183609</v>
      </c>
      <c r="N594" s="258">
        <f t="shared" si="342"/>
        <v>1807.4900944427848</v>
      </c>
      <c r="O594" s="258">
        <f t="shared" si="342"/>
        <v>2030.0584451865018</v>
      </c>
      <c r="P594" s="258">
        <f t="shared" si="342"/>
        <v>2268.1645448862382</v>
      </c>
    </row>
    <row r="595" spans="2:26" x14ac:dyDescent="0.3">
      <c r="B595" s="22" t="s">
        <v>443</v>
      </c>
      <c r="G595" s="216">
        <f>SUM(G593:G594)</f>
        <v>473.63384067521974</v>
      </c>
      <c r="H595" s="216">
        <f t="shared" ref="H595:P595" si="343">SUM(H593:H594)</f>
        <v>627.64782722968118</v>
      </c>
      <c r="I595" s="216">
        <f t="shared" si="343"/>
        <v>802.30316550899317</v>
      </c>
      <c r="J595" s="216">
        <f t="shared" si="343"/>
        <v>979.55211748916145</v>
      </c>
      <c r="K595" s="216">
        <f t="shared" si="343"/>
        <v>1177.7846593114411</v>
      </c>
      <c r="L595" s="216">
        <f t="shared" si="343"/>
        <v>1398.922975778677</v>
      </c>
      <c r="M595" s="216">
        <f t="shared" si="343"/>
        <v>1603.8297952183609</v>
      </c>
      <c r="N595" s="216">
        <f t="shared" si="343"/>
        <v>1807.4900944427848</v>
      </c>
      <c r="O595" s="216">
        <f t="shared" si="343"/>
        <v>2030.0584451865018</v>
      </c>
      <c r="P595" s="216">
        <f t="shared" si="343"/>
        <v>2268.1645448862382</v>
      </c>
    </row>
    <row r="598" spans="2:26" x14ac:dyDescent="0.3">
      <c r="B598" s="55" t="str">
        <f>_xlfn.CONCAT("Returns to ",$Y$11," (Assuming ", ROUND($AA$117*100,1),"% Ownership)")</f>
        <v>Returns to Triton Partners (Assuming 82.5% Ownership)</v>
      </c>
      <c r="G598" s="409" t="str">
        <f>_xlfn.CONCAT("For the Fiscal Year Ending ",LBO!$Y$13)</f>
        <v>For the Fiscal Year Ending December 31,</v>
      </c>
      <c r="H598" s="409"/>
      <c r="I598" s="409"/>
      <c r="J598" s="409"/>
      <c r="K598" s="406"/>
      <c r="L598" s="409"/>
      <c r="M598" s="409"/>
      <c r="N598" s="409"/>
      <c r="O598" s="409"/>
      <c r="P598" s="409"/>
    </row>
    <row r="599" spans="2:26" x14ac:dyDescent="0.3">
      <c r="E599" s="187" t="s">
        <v>440</v>
      </c>
      <c r="F599" s="187" t="s">
        <v>176</v>
      </c>
      <c r="G599" s="77">
        <f>G592</f>
        <v>2024</v>
      </c>
      <c r="H599" s="77">
        <f t="shared" ref="H599:P599" si="344">H592</f>
        <v>2025</v>
      </c>
      <c r="I599" s="77">
        <f t="shared" si="344"/>
        <v>2026</v>
      </c>
      <c r="J599" s="77">
        <f t="shared" si="344"/>
        <v>2027</v>
      </c>
      <c r="K599" s="25">
        <f t="shared" si="344"/>
        <v>2028</v>
      </c>
      <c r="L599" s="77">
        <f t="shared" si="344"/>
        <v>2029</v>
      </c>
      <c r="M599" s="77">
        <f t="shared" si="344"/>
        <v>2030</v>
      </c>
      <c r="N599" s="77">
        <f t="shared" si="344"/>
        <v>2031</v>
      </c>
      <c r="O599" s="77">
        <f t="shared" si="344"/>
        <v>2032</v>
      </c>
      <c r="P599" s="77">
        <f t="shared" si="344"/>
        <v>2033</v>
      </c>
    </row>
    <row r="600" spans="2:26" x14ac:dyDescent="0.3">
      <c r="K600" s="183"/>
    </row>
    <row r="601" spans="2:26" x14ac:dyDescent="0.3">
      <c r="B601" t="str">
        <f>_xlfn.CONCAT("IRR for Exit in ",Y12)</f>
        <v>IRR for Exit in 2024</v>
      </c>
      <c r="E601" s="133">
        <f>IFERROR(IRR(F601:P601),"NA")</f>
        <v>2.0484686747241909E-3</v>
      </c>
      <c r="F601" s="216">
        <f t="shared" ref="F601:F610" si="345">$I$21*$F$535*-1</f>
        <v>-472.66559999999998</v>
      </c>
      <c r="G601" s="83">
        <f>G595</f>
        <v>473.63384067521974</v>
      </c>
      <c r="H601" s="83"/>
      <c r="I601" s="83"/>
      <c r="J601" s="83"/>
      <c r="K601" s="298"/>
      <c r="L601" s="83"/>
      <c r="M601" s="83"/>
      <c r="N601" s="83"/>
      <c r="O601" s="83"/>
      <c r="P601" s="83"/>
    </row>
    <row r="602" spans="2:26" x14ac:dyDescent="0.3">
      <c r="B602" t="str">
        <f>"IRR for Exit in "&amp;$Y$12+1</f>
        <v>IRR for Exit in 2025</v>
      </c>
      <c r="E602" s="133">
        <f t="shared" ref="E602:E610" si="346">IFERROR(IRR(F602:P602),"NA")</f>
        <v>0.15234100688400987</v>
      </c>
      <c r="F602" s="216">
        <f t="shared" si="345"/>
        <v>-472.66559999999998</v>
      </c>
      <c r="G602" s="299">
        <v>0</v>
      </c>
      <c r="H602" s="83">
        <f>H595</f>
        <v>627.64782722968118</v>
      </c>
      <c r="I602" s="83"/>
      <c r="J602" s="83"/>
      <c r="K602" s="298"/>
      <c r="L602" s="83"/>
      <c r="M602" s="83"/>
      <c r="N602" s="83"/>
      <c r="O602" s="83"/>
      <c r="P602" s="83"/>
    </row>
    <row r="603" spans="2:26" x14ac:dyDescent="0.3">
      <c r="B603" t="str">
        <f>"IRR for Exit in "&amp;$Y$12+2</f>
        <v>IRR for Exit in 2026</v>
      </c>
      <c r="E603" s="133">
        <f t="shared" si="346"/>
        <v>0.19287472456795074</v>
      </c>
      <c r="F603" s="216">
        <f t="shared" si="345"/>
        <v>-472.66559999999998</v>
      </c>
      <c r="G603" s="299">
        <v>0</v>
      </c>
      <c r="H603" s="299">
        <v>0</v>
      </c>
      <c r="I603" s="83">
        <f>I595</f>
        <v>802.30316550899317</v>
      </c>
      <c r="J603" s="83"/>
      <c r="K603" s="298"/>
      <c r="L603" s="83"/>
      <c r="M603" s="83"/>
      <c r="N603" s="83"/>
      <c r="O603" s="83"/>
      <c r="P603" s="83"/>
    </row>
    <row r="604" spans="2:26" x14ac:dyDescent="0.3">
      <c r="B604" t="str">
        <f>"IRR for Exit in "&amp;$Y$12+3</f>
        <v>IRR for Exit in 2027</v>
      </c>
      <c r="E604" s="133">
        <f t="shared" si="346"/>
        <v>0.19982632916567855</v>
      </c>
      <c r="F604" s="216">
        <f t="shared" si="345"/>
        <v>-472.66559999999998</v>
      </c>
      <c r="G604" s="299">
        <v>0</v>
      </c>
      <c r="H604" s="299">
        <v>0</v>
      </c>
      <c r="I604" s="299">
        <v>0</v>
      </c>
      <c r="J604" s="83">
        <f>J595</f>
        <v>979.55211748916145</v>
      </c>
      <c r="K604" s="298"/>
      <c r="L604" s="83"/>
      <c r="M604" s="83"/>
      <c r="N604" s="83"/>
      <c r="O604" s="83"/>
      <c r="P604" s="83"/>
    </row>
    <row r="605" spans="2:26" x14ac:dyDescent="0.3">
      <c r="B605" s="70" t="str">
        <f>"IRR for Exit in "&amp;$Y$12+4</f>
        <v>IRR for Exit in 2028</v>
      </c>
      <c r="C605" s="70"/>
      <c r="D605" s="70"/>
      <c r="E605" s="189">
        <f>IFERROR(IRR(F605:P605),"NA")</f>
        <v>0.2003347506501969</v>
      </c>
      <c r="F605" s="293">
        <f t="shared" si="345"/>
        <v>-472.66559999999998</v>
      </c>
      <c r="G605" s="300">
        <v>0</v>
      </c>
      <c r="H605" s="300">
        <v>0</v>
      </c>
      <c r="I605" s="300">
        <v>0</v>
      </c>
      <c r="J605" s="300">
        <v>0</v>
      </c>
      <c r="K605" s="301">
        <f>K595</f>
        <v>1177.7846593114411</v>
      </c>
      <c r="L605" s="83"/>
      <c r="M605" s="83"/>
      <c r="N605" s="83"/>
      <c r="O605" s="83"/>
      <c r="P605" s="83"/>
    </row>
    <row r="606" spans="2:26" x14ac:dyDescent="0.3">
      <c r="B606" t="str">
        <f>"IRR for Exit in "&amp;$Y$12+5</f>
        <v>IRR for Exit in 2029</v>
      </c>
      <c r="E606" s="133">
        <f t="shared" si="346"/>
        <v>0.19822939036815668</v>
      </c>
      <c r="F606" s="216">
        <f t="shared" si="345"/>
        <v>-472.66559999999998</v>
      </c>
      <c r="G606" s="299">
        <v>0</v>
      </c>
      <c r="H606" s="299">
        <v>0</v>
      </c>
      <c r="I606" s="299">
        <v>0</v>
      </c>
      <c r="J606" s="299">
        <v>0</v>
      </c>
      <c r="K606" s="299">
        <v>0</v>
      </c>
      <c r="L606" s="83">
        <f>L595</f>
        <v>1398.922975778677</v>
      </c>
      <c r="M606" s="83"/>
      <c r="N606" s="83"/>
      <c r="O606" s="83"/>
      <c r="P606" s="83"/>
    </row>
    <row r="607" spans="2:26" x14ac:dyDescent="0.3">
      <c r="B607" t="str">
        <f>"IRR for Exit in "&amp;$Y$12+6</f>
        <v>IRR for Exit in 2030</v>
      </c>
      <c r="E607" s="133">
        <f t="shared" si="346"/>
        <v>0.19069522394901117</v>
      </c>
      <c r="F607" s="216">
        <f t="shared" si="345"/>
        <v>-472.66559999999998</v>
      </c>
      <c r="G607" s="299">
        <v>0</v>
      </c>
      <c r="H607" s="299">
        <v>0</v>
      </c>
      <c r="I607" s="299">
        <v>0</v>
      </c>
      <c r="J607" s="299">
        <v>0</v>
      </c>
      <c r="K607" s="299">
        <v>0</v>
      </c>
      <c r="L607" s="299">
        <v>0</v>
      </c>
      <c r="M607" s="83">
        <f>M595</f>
        <v>1603.8297952183609</v>
      </c>
      <c r="N607" s="83"/>
      <c r="O607" s="83"/>
      <c r="P607" s="83"/>
      <c r="U607" s="2"/>
      <c r="V607" s="2"/>
      <c r="W607" s="2"/>
      <c r="X607" s="2"/>
      <c r="Y607" s="2"/>
      <c r="Z607" s="2"/>
    </row>
    <row r="608" spans="2:26" x14ac:dyDescent="0.3">
      <c r="B608" t="str">
        <f>"IRR for Exit in "&amp;$Y$12+7</f>
        <v>IRR for Exit in 2031</v>
      </c>
      <c r="E608" s="133">
        <f t="shared" si="346"/>
        <v>0.18253836993483086</v>
      </c>
      <c r="F608" s="216">
        <f t="shared" si="345"/>
        <v>-472.66559999999998</v>
      </c>
      <c r="G608" s="299">
        <v>0</v>
      </c>
      <c r="H608" s="299">
        <v>0</v>
      </c>
      <c r="I608" s="299">
        <v>0</v>
      </c>
      <c r="J608" s="299">
        <v>0</v>
      </c>
      <c r="K608" s="299">
        <v>0</v>
      </c>
      <c r="L608" s="299">
        <v>0</v>
      </c>
      <c r="M608" s="299">
        <v>0</v>
      </c>
      <c r="N608" s="83">
        <f>N595</f>
        <v>1807.4900944427848</v>
      </c>
      <c r="O608" s="83"/>
      <c r="P608" s="83"/>
    </row>
    <row r="609" spans="2:16" x14ac:dyDescent="0.3">
      <c r="B609" t="str">
        <f>"IRR for Exit in "&amp;$Y$12+8</f>
        <v>IRR for Exit in 2032</v>
      </c>
      <c r="E609" s="133">
        <f t="shared" si="346"/>
        <v>0.17578599470596612</v>
      </c>
      <c r="F609" s="216">
        <f t="shared" si="345"/>
        <v>-472.66559999999998</v>
      </c>
      <c r="G609" s="299">
        <v>0</v>
      </c>
      <c r="H609" s="299">
        <v>0</v>
      </c>
      <c r="I609" s="299">
        <v>0</v>
      </c>
      <c r="J609" s="299">
        <v>0</v>
      </c>
      <c r="K609" s="299">
        <v>0</v>
      </c>
      <c r="L609" s="299">
        <v>0</v>
      </c>
      <c r="M609" s="299">
        <v>0</v>
      </c>
      <c r="N609" s="299">
        <v>0</v>
      </c>
      <c r="O609" s="83">
        <f>O595</f>
        <v>2030.0584451865018</v>
      </c>
      <c r="P609" s="83"/>
    </row>
    <row r="610" spans="2:16" x14ac:dyDescent="0.3">
      <c r="B610" t="str">
        <f>"IRR for Exit in "&amp;$Y$12+9</f>
        <v>IRR for Exit in 2033</v>
      </c>
      <c r="E610" s="133">
        <f t="shared" si="346"/>
        <v>0.16980118277142942</v>
      </c>
      <c r="F610" s="216">
        <f t="shared" si="345"/>
        <v>-472.66559999999998</v>
      </c>
      <c r="G610" s="299">
        <v>0</v>
      </c>
      <c r="H610" s="299">
        <v>0</v>
      </c>
      <c r="I610" s="299">
        <v>0</v>
      </c>
      <c r="J610" s="299">
        <v>0</v>
      </c>
      <c r="K610" s="299">
        <v>0</v>
      </c>
      <c r="L610" s="299">
        <v>0</v>
      </c>
      <c r="M610" s="299">
        <v>0</v>
      </c>
      <c r="N610" s="299">
        <v>0</v>
      </c>
      <c r="O610" s="299">
        <v>0</v>
      </c>
      <c r="P610" s="83">
        <f>P595</f>
        <v>2268.1645448862382</v>
      </c>
    </row>
    <row r="613" spans="2:16" x14ac:dyDescent="0.3">
      <c r="B613" s="55" t="str">
        <f>"Sensitivity Analysis of "&amp;$Y$11&amp;"' "&amp;$Q$16 &amp;" IRR"</f>
        <v>Sensitivity Analysis of Triton Partners' 2028 IRR</v>
      </c>
    </row>
    <row r="615" spans="2:16" x14ac:dyDescent="0.3">
      <c r="C615" s="55" t="str">
        <f>"IRR ("&amp;$Q$16&amp;")"</f>
        <v>IRR (2028)</v>
      </c>
    </row>
    <row r="616" spans="2:16" x14ac:dyDescent="0.3">
      <c r="G616" s="406" t="s">
        <v>130</v>
      </c>
      <c r="H616" s="406"/>
      <c r="I616" s="406"/>
      <c r="J616" s="406"/>
      <c r="K616" s="406"/>
      <c r="L616" s="406"/>
    </row>
    <row r="617" spans="2:16" x14ac:dyDescent="0.3">
      <c r="G617" s="190">
        <v>0</v>
      </c>
      <c r="H617" s="133">
        <f>I617-$Y$20</f>
        <v>0</v>
      </c>
      <c r="I617" s="133">
        <f>J617-$Y$20</f>
        <v>2.5000000000000001E-2</v>
      </c>
      <c r="J617" s="133">
        <f>$Z$121</f>
        <v>0.05</v>
      </c>
      <c r="K617" s="133">
        <f>J617+$Y$20</f>
        <v>7.5000000000000011E-2</v>
      </c>
      <c r="L617" s="133">
        <f>K617+$Y$20</f>
        <v>0.1</v>
      </c>
    </row>
    <row r="618" spans="2:16" x14ac:dyDescent="0.3">
      <c r="G618" s="406" t="str">
        <f>"Fully Diluted Equity to "&amp;$Y$11</f>
        <v>Fully Diluted Equity to Triton Partners</v>
      </c>
      <c r="H618" s="406"/>
      <c r="I618" s="406"/>
      <c r="J618" s="406"/>
      <c r="K618" s="406"/>
      <c r="L618" s="406"/>
    </row>
    <row r="619" spans="2:16" x14ac:dyDescent="0.3">
      <c r="G619" s="191">
        <f>L538</f>
        <v>0.86877828054298645</v>
      </c>
      <c r="H619" s="191">
        <f>$G$619*(1-H617)+$G$617</f>
        <v>0.86877828054298645</v>
      </c>
      <c r="I619" s="191">
        <f>$G$619*(1-I617)+$G$617</f>
        <v>0.84705882352941175</v>
      </c>
      <c r="J619" s="191">
        <f>$G$619*(1-J617)+$G$617</f>
        <v>0.82533936651583706</v>
      </c>
      <c r="K619" s="191">
        <f>$G$619*(1-K617)+$G$617</f>
        <v>0.80361990950226247</v>
      </c>
      <c r="L619" s="191">
        <f>$G$619*(1-L617)+$G$617</f>
        <v>0.78190045248868778</v>
      </c>
    </row>
    <row r="620" spans="2:16" x14ac:dyDescent="0.3">
      <c r="F620" s="192">
        <f>F621-$Y$19</f>
        <v>9</v>
      </c>
      <c r="G620" s="120">
        <f>IFERROR(IF($I$21=0,"NA",IRR(($F$605:$J$605,G632))),"NA")</f>
        <v>0.17583472870892258</v>
      </c>
      <c r="H620" s="120">
        <f>IFERROR(IF($I$21=0,"NA",IRR(($F$605:$J$605,H632))),"NA")</f>
        <v>0.17583472870892258</v>
      </c>
      <c r="I620" s="120">
        <f>IFERROR(IF($I$21=0,"NA",IRR(($F$605:$J$605,I632))),"NA")</f>
        <v>0.16989586572194337</v>
      </c>
      <c r="J620" s="197">
        <f>IFERROR(IF($I$21=0,"NA",IRR(($F$605:$J$605,J632))),"NA")</f>
        <v>0.16383390276921816</v>
      </c>
      <c r="K620" s="120">
        <f>IFERROR(IF($I$21=0,"NA",IRR(($F$605:$J$605,K632))),"NA")</f>
        <v>0.15764294562711223</v>
      </c>
      <c r="L620" s="120">
        <f>IFERROR(IF($I$21=0,"NA",IRR(($F$605:$J$605,L632))),"NA")</f>
        <v>0.15131664902420949</v>
      </c>
    </row>
    <row r="621" spans="2:16" x14ac:dyDescent="0.3">
      <c r="E621" s="149" t="s">
        <v>444</v>
      </c>
      <c r="F621" s="192">
        <f>F622-$Y$19</f>
        <v>9.5</v>
      </c>
      <c r="G621" s="120">
        <f>IFERROR(IF($I$21=0,"NA",IRR(($F$605:$J$605,G633))),"NA")</f>
        <v>0.19484222125807227</v>
      </c>
      <c r="H621" s="120">
        <f>IFERROR(IF($I$21=0,"NA",IRR(($F$605:$J$605,H633))),"NA")</f>
        <v>0.19484222125807227</v>
      </c>
      <c r="I621" s="120">
        <f>IFERROR(IF($I$21=0,"NA",IRR(($F$605:$J$605,I633))),"NA")</f>
        <v>0.18880735592269993</v>
      </c>
      <c r="J621" s="198">
        <f>IFERROR(IF($I$21=0,"NA",IRR(($F$605:$J$605,J633))),"NA")</f>
        <v>0.18264740069337959</v>
      </c>
      <c r="K621" s="120">
        <f>IFERROR(IF($I$21=0,"NA",IRR(($F$605:$J$605,K633))),"NA")</f>
        <v>0.17635636607822458</v>
      </c>
      <c r="L621" s="120">
        <f>IFERROR(IF($I$21=0,"NA",IRR(($F$605:$J$605,L633))),"NA")</f>
        <v>0.16992780422393272</v>
      </c>
    </row>
    <row r="622" spans="2:16" x14ac:dyDescent="0.3">
      <c r="E622" s="149" t="s">
        <v>99</v>
      </c>
      <c r="F622" s="192">
        <f>Y18</f>
        <v>10</v>
      </c>
      <c r="G622" s="194">
        <f>IFERROR(IF($I$21=0,"NA",IRR(($F$605:$J$605,G634))),"NA")</f>
        <v>0.21271195359943107</v>
      </c>
      <c r="H622" s="195">
        <f>IFERROR(IF($I$21=0,"NA",IRR(($F$605:$J$605,H634))),"NA")</f>
        <v>0.21271195359943107</v>
      </c>
      <c r="I622" s="195">
        <f>IFERROR(IF($I$21=0,"NA",IRR(($F$605:$J$605,I634))),"NA")</f>
        <v>0.20658683247434806</v>
      </c>
      <c r="J622" s="199">
        <f>IFERROR(IF($I$21=0,"NA",IRR(($F$605:$J$605,J634))),"NA")</f>
        <v>0.2003347506501969</v>
      </c>
      <c r="K622" s="195">
        <f>IFERROR(IF($I$21=0,"NA",IRR(($F$605:$J$605,K634))),"NA")</f>
        <v>0.19394962904482038</v>
      </c>
      <c r="L622" s="196">
        <f>IFERROR(IF($I$21=0,"NA",IRR(($F$605:$J$605,L634))),"NA")</f>
        <v>0.18742492337282313</v>
      </c>
    </row>
    <row r="623" spans="2:16" x14ac:dyDescent="0.3">
      <c r="E623" s="149" t="s">
        <v>445</v>
      </c>
      <c r="F623" s="192">
        <f>F622+$Y$19</f>
        <v>10.5</v>
      </c>
      <c r="G623" s="120">
        <f>IFERROR(IF($I$21=0,"NA",IRR(($F$605:$J$605,G635))),"NA")</f>
        <v>0.22958656283027046</v>
      </c>
      <c r="H623" s="120">
        <f>IFERROR(IF($I$21=0,"NA",IRR(($F$605:$J$605,H635))),"NA")</f>
        <v>0.22958656283027046</v>
      </c>
      <c r="I623" s="120">
        <f>IFERROR(IF($I$21=0,"NA",IRR(($F$605:$J$605,I635))),"NA")</f>
        <v>0.22337621204684388</v>
      </c>
      <c r="J623" s="198">
        <f>IFERROR(IF($I$21=0,"NA",IRR(($F$605:$J$605,J635))),"NA")</f>
        <v>0.21703713393528279</v>
      </c>
      <c r="K623" s="120">
        <f>IFERROR(IF($I$21=0,"NA",IRR(($F$605:$J$605,K635))),"NA")</f>
        <v>0.21056316482439397</v>
      </c>
      <c r="L623" s="120">
        <f>IFERROR(IF($I$21=0,"NA",IRR(($F$605:$J$605,L635))),"NA")</f>
        <v>0.20394766937632536</v>
      </c>
    </row>
    <row r="624" spans="2:16" x14ac:dyDescent="0.3">
      <c r="F624" s="192">
        <f>F623+$Y$19</f>
        <v>11</v>
      </c>
      <c r="G624" s="120">
        <f>IFERROR(IF($I$21=0,"NA",IRR(($F$605:$J$605,G636))),"NA")</f>
        <v>0.24558266992312006</v>
      </c>
      <c r="H624" s="120">
        <f>IFERROR(IF($I$21=0,"NA",IRR(($F$605:$J$605,H636))),"NA")</f>
        <v>0.24558266992312006</v>
      </c>
      <c r="I624" s="120">
        <f>IFERROR(IF($I$21=0,"NA",IRR(($F$605:$J$605,I636))),"NA")</f>
        <v>0.23929152658778952</v>
      </c>
      <c r="J624" s="200">
        <f>IFERROR(IF($I$21=0,"NA",IRR(($F$605:$J$605,J636))),"NA")</f>
        <v>0.23286998126700609</v>
      </c>
      <c r="K624" s="120">
        <f>IFERROR(IF($I$21=0,"NA",IRR(($F$605:$J$605,K636))),"NA")</f>
        <v>0.22631179010429903</v>
      </c>
      <c r="L624" s="120">
        <f>IFERROR(IF($I$21=0,"NA",IRR(($F$605:$J$605,L636))),"NA")</f>
        <v>0.21961023144046599</v>
      </c>
    </row>
    <row r="627" spans="3:12" x14ac:dyDescent="0.3">
      <c r="C627" s="55" t="str">
        <f>"Total Cash Flows at Exit Year ("&amp;$Q$16&amp;")"</f>
        <v>Total Cash Flows at Exit Year (2028)</v>
      </c>
    </row>
    <row r="628" spans="3:12" x14ac:dyDescent="0.3">
      <c r="G628" s="406" t="s">
        <v>130</v>
      </c>
      <c r="H628" s="406"/>
      <c r="I628" s="406"/>
      <c r="J628" s="406"/>
      <c r="K628" s="406"/>
      <c r="L628" s="406"/>
    </row>
    <row r="629" spans="3:12" x14ac:dyDescent="0.3">
      <c r="G629" s="190">
        <v>0</v>
      </c>
      <c r="H629" s="133">
        <f>G629</f>
        <v>0</v>
      </c>
      <c r="I629" s="133">
        <f>H629+$Y$20</f>
        <v>2.5000000000000001E-2</v>
      </c>
      <c r="J629" s="133">
        <f>I629+$Y$20</f>
        <v>0.05</v>
      </c>
      <c r="K629" s="133">
        <f>J629+$Y$20</f>
        <v>7.5000000000000011E-2</v>
      </c>
      <c r="L629" s="133">
        <f>K629+$Y$20</f>
        <v>0.1</v>
      </c>
    </row>
    <row r="630" spans="3:12" x14ac:dyDescent="0.3">
      <c r="G630" s="406" t="str">
        <f>"Fully Diluted Equity to "&amp;$Y$11</f>
        <v>Fully Diluted Equity to Triton Partners</v>
      </c>
      <c r="H630" s="406"/>
      <c r="I630" s="406"/>
      <c r="J630" s="406"/>
      <c r="K630" s="406"/>
      <c r="L630" s="406"/>
    </row>
    <row r="631" spans="3:12" x14ac:dyDescent="0.3">
      <c r="G631" s="191">
        <f>L538</f>
        <v>0.86877828054298645</v>
      </c>
      <c r="H631" s="191">
        <f>$G$631*(1-H629)+$G$629</f>
        <v>0.86877828054298645</v>
      </c>
      <c r="I631" s="191">
        <f>$G$631*(1-I629)+$G$629</f>
        <v>0.84705882352941175</v>
      </c>
      <c r="J631" s="191">
        <f>$G$631*(1-J629)+$G$629</f>
        <v>0.82533936651583706</v>
      </c>
      <c r="K631" s="191">
        <f>$G$631*(1-K629)+$G$629</f>
        <v>0.80361990950226247</v>
      </c>
      <c r="L631" s="191">
        <f>$G$631*(1-L629)+$G$629</f>
        <v>0.78190045248868778</v>
      </c>
    </row>
    <row r="632" spans="3:12" x14ac:dyDescent="0.3">
      <c r="F632" s="192">
        <f>F633-$Y$19</f>
        <v>9</v>
      </c>
      <c r="G632" s="216">
        <f t="shared" ref="G632:L636" si="347">($K$562+($K$551*($F632-$F$634)))*G$631+$K$593</f>
        <v>1062.3935161368061</v>
      </c>
      <c r="H632" s="216">
        <f t="shared" si="347"/>
        <v>1062.3935161368061</v>
      </c>
      <c r="I632" s="216">
        <f t="shared" si="347"/>
        <v>1035.8336782333859</v>
      </c>
      <c r="J632" s="302">
        <f t="shared" si="347"/>
        <v>1009.2738403299655</v>
      </c>
      <c r="K632" s="216">
        <f t="shared" si="347"/>
        <v>982.71400242654556</v>
      </c>
      <c r="L632" s="216">
        <f t="shared" si="347"/>
        <v>956.15416452312536</v>
      </c>
    </row>
    <row r="633" spans="3:12" x14ac:dyDescent="0.3">
      <c r="E633" s="149" t="s">
        <v>444</v>
      </c>
      <c r="F633" s="192">
        <f>F634-$Y$19</f>
        <v>9.5</v>
      </c>
      <c r="G633" s="216">
        <f t="shared" si="347"/>
        <v>1151.0834208638983</v>
      </c>
      <c r="H633" s="216">
        <f t="shared" si="347"/>
        <v>1151.0834208638983</v>
      </c>
      <c r="I633" s="216">
        <f t="shared" si="347"/>
        <v>1122.3063353423008</v>
      </c>
      <c r="J633" s="295">
        <f t="shared" si="347"/>
        <v>1093.5292498207034</v>
      </c>
      <c r="K633" s="216">
        <f t="shared" si="347"/>
        <v>1064.752164299106</v>
      </c>
      <c r="L633" s="216">
        <f t="shared" si="347"/>
        <v>1035.9750787775085</v>
      </c>
    </row>
    <row r="634" spans="3:12" x14ac:dyDescent="0.3">
      <c r="E634" s="149" t="s">
        <v>99</v>
      </c>
      <c r="F634" s="192">
        <f>$Y$18</f>
        <v>10</v>
      </c>
      <c r="G634" s="303">
        <f t="shared" si="347"/>
        <v>1239.7733255909907</v>
      </c>
      <c r="H634" s="293">
        <f t="shared" si="347"/>
        <v>1239.7733255909907</v>
      </c>
      <c r="I634" s="293">
        <f t="shared" si="347"/>
        <v>1208.7789924512158</v>
      </c>
      <c r="J634" s="304">
        <f t="shared" si="347"/>
        <v>1177.7846593114411</v>
      </c>
      <c r="K634" s="293">
        <f t="shared" si="347"/>
        <v>1146.7903261716665</v>
      </c>
      <c r="L634" s="305">
        <f t="shared" si="347"/>
        <v>1115.7959930318916</v>
      </c>
    </row>
    <row r="635" spans="3:12" x14ac:dyDescent="0.3">
      <c r="E635" s="149" t="s">
        <v>445</v>
      </c>
      <c r="F635" s="192">
        <f>F634+$Y$19</f>
        <v>10.5</v>
      </c>
      <c r="G635" s="216">
        <f t="shared" si="347"/>
        <v>1328.4632303180831</v>
      </c>
      <c r="H635" s="216">
        <f t="shared" si="347"/>
        <v>1328.4632303180831</v>
      </c>
      <c r="I635" s="216">
        <f t="shared" si="347"/>
        <v>1295.251649560131</v>
      </c>
      <c r="J635" s="295">
        <f t="shared" si="347"/>
        <v>1262.0400688021787</v>
      </c>
      <c r="K635" s="216">
        <f t="shared" si="347"/>
        <v>1228.8284880442268</v>
      </c>
      <c r="L635" s="216">
        <f t="shared" si="347"/>
        <v>1195.6169072862747</v>
      </c>
    </row>
    <row r="636" spans="3:12" x14ac:dyDescent="0.3">
      <c r="F636" s="192">
        <f>F635+$Y$19</f>
        <v>11</v>
      </c>
      <c r="G636" s="216">
        <f t="shared" si="347"/>
        <v>1417.1531350451753</v>
      </c>
      <c r="H636" s="216">
        <f t="shared" si="347"/>
        <v>1417.1531350451753</v>
      </c>
      <c r="I636" s="216">
        <f t="shared" si="347"/>
        <v>1381.724306669046</v>
      </c>
      <c r="J636" s="306">
        <f t="shared" si="347"/>
        <v>1346.2954782929164</v>
      </c>
      <c r="K636" s="216">
        <f t="shared" si="347"/>
        <v>1310.8666499167873</v>
      </c>
      <c r="L636" s="216">
        <f t="shared" si="347"/>
        <v>1275.4378215406578</v>
      </c>
    </row>
    <row r="647" spans="2:16" x14ac:dyDescent="0.3">
      <c r="B647" s="410" t="str">
        <f>"BLENDED RETURNS TO THE HOLDERS OF THE "&amp;UPPER($F$15)</f>
        <v>BLENDED RETURNS TO THE HOLDERS OF THE SENIOR UNSECURED DEBT</v>
      </c>
      <c r="C647" s="410"/>
      <c r="D647" s="410"/>
      <c r="E647" s="410"/>
      <c r="F647" s="410"/>
      <c r="G647" s="410"/>
      <c r="H647" s="410"/>
      <c r="I647" s="410"/>
      <c r="J647" s="410"/>
      <c r="K647" s="410"/>
      <c r="L647" s="410"/>
      <c r="M647" s="410"/>
      <c r="N647" s="410"/>
      <c r="O647" s="410"/>
      <c r="P647" s="410"/>
    </row>
    <row r="649" spans="2:16" x14ac:dyDescent="0.3">
      <c r="B649" t="str">
        <f>"Cash Flows to the "&amp;$F$15&amp;"holders"</f>
        <v>Cash Flows to the Senior Unsecured Debtholders</v>
      </c>
      <c r="G649" s="406" t="str">
        <f>G591</f>
        <v>For the Fiscal Year Ending December 31,</v>
      </c>
      <c r="H649" s="406"/>
      <c r="I649" s="406"/>
      <c r="J649" s="406"/>
      <c r="K649" s="406"/>
      <c r="L649" s="406"/>
      <c r="M649" s="406"/>
      <c r="N649" s="406"/>
      <c r="O649" s="406"/>
      <c r="P649" s="406"/>
    </row>
    <row r="650" spans="2:16" x14ac:dyDescent="0.3">
      <c r="F650" s="187" t="s">
        <v>176</v>
      </c>
      <c r="G650" s="109">
        <f>$Y$12</f>
        <v>2024</v>
      </c>
      <c r="H650" s="109">
        <f>G650+1</f>
        <v>2025</v>
      </c>
      <c r="I650" s="109">
        <f t="shared" ref="I650:P650" si="348">H650+1</f>
        <v>2026</v>
      </c>
      <c r="J650" s="109">
        <f t="shared" si="348"/>
        <v>2027</v>
      </c>
      <c r="K650" s="109">
        <f t="shared" si="348"/>
        <v>2028</v>
      </c>
      <c r="L650" s="109">
        <f t="shared" si="348"/>
        <v>2029</v>
      </c>
      <c r="M650" s="109">
        <f t="shared" si="348"/>
        <v>2030</v>
      </c>
      <c r="N650" s="109">
        <f t="shared" si="348"/>
        <v>2031</v>
      </c>
      <c r="O650" s="109">
        <f t="shared" si="348"/>
        <v>2032</v>
      </c>
      <c r="P650" s="109">
        <f t="shared" si="348"/>
        <v>2033</v>
      </c>
    </row>
    <row r="651" spans="2:16" x14ac:dyDescent="0.3">
      <c r="B651" t="s">
        <v>446</v>
      </c>
      <c r="F651" s="216">
        <f>I15*-1</f>
        <v>-200</v>
      </c>
      <c r="G651" s="216"/>
      <c r="H651" s="216"/>
      <c r="I651" s="216"/>
      <c r="J651" s="216"/>
      <c r="K651" s="216"/>
      <c r="L651" s="216"/>
      <c r="M651" s="216"/>
      <c r="N651" s="216"/>
      <c r="O651" s="216"/>
      <c r="P651" s="216"/>
    </row>
    <row r="652" spans="2:16" x14ac:dyDescent="0.3">
      <c r="B652" t="s">
        <v>447</v>
      </c>
      <c r="F652" s="216">
        <f>IF(P539=0,0,$F$539*$I$21*-1)</f>
        <v>-19.694400000000002</v>
      </c>
      <c r="G652" s="216"/>
      <c r="H652" s="216"/>
      <c r="I652" s="216"/>
      <c r="J652" s="216"/>
      <c r="K652" s="216"/>
      <c r="L652" s="216"/>
      <c r="M652" s="216"/>
      <c r="N652" s="216"/>
      <c r="O652" s="216"/>
      <c r="P652" s="216"/>
    </row>
    <row r="653" spans="2:16" x14ac:dyDescent="0.3">
      <c r="F653" s="216"/>
      <c r="G653" s="216"/>
      <c r="H653" s="216"/>
      <c r="I653" s="216"/>
      <c r="J653" s="216"/>
      <c r="K653" s="216"/>
      <c r="L653" s="216"/>
      <c r="M653" s="216"/>
      <c r="N653" s="216"/>
      <c r="O653" s="216"/>
      <c r="P653" s="216"/>
    </row>
    <row r="654" spans="2:16" x14ac:dyDescent="0.3">
      <c r="B654" t="s">
        <v>448</v>
      </c>
      <c r="F654" s="216"/>
      <c r="G654" s="216">
        <f t="shared" ref="G654:P654" si="349">G184-G271</f>
        <v>12</v>
      </c>
      <c r="H654" s="216">
        <f t="shared" si="349"/>
        <v>6.1529336133755024</v>
      </c>
      <c r="I654" s="216">
        <f t="shared" si="349"/>
        <v>3.7419326733927796</v>
      </c>
      <c r="J654" s="216">
        <f t="shared" si="349"/>
        <v>0.1911508494162571</v>
      </c>
      <c r="K654" s="216">
        <f t="shared" si="349"/>
        <v>0</v>
      </c>
      <c r="L654" s="216">
        <f t="shared" si="349"/>
        <v>0</v>
      </c>
      <c r="M654" s="216">
        <f t="shared" si="349"/>
        <v>0</v>
      </c>
      <c r="N654" s="216">
        <f t="shared" si="349"/>
        <v>0</v>
      </c>
      <c r="O654" s="216">
        <f t="shared" si="349"/>
        <v>0</v>
      </c>
      <c r="P654" s="216">
        <f t="shared" si="349"/>
        <v>0</v>
      </c>
    </row>
    <row r="655" spans="2:16" x14ac:dyDescent="0.3">
      <c r="B655" t="s">
        <v>449</v>
      </c>
      <c r="F655" s="216"/>
      <c r="G655" s="216">
        <f t="shared" ref="G655:P655" si="350">G495+G496</f>
        <v>97.451106443741622</v>
      </c>
      <c r="H655" s="216">
        <f t="shared" si="350"/>
        <v>40.183348999712052</v>
      </c>
      <c r="I655" s="216">
        <f t="shared" si="350"/>
        <v>59.179697066275374</v>
      </c>
      <c r="J655" s="216">
        <f t="shared" si="350"/>
        <v>3.1858474902709517</v>
      </c>
      <c r="K655" s="216">
        <f t="shared" si="350"/>
        <v>0</v>
      </c>
      <c r="L655" s="216">
        <f t="shared" si="350"/>
        <v>0</v>
      </c>
      <c r="M655" s="216">
        <f t="shared" si="350"/>
        <v>0</v>
      </c>
      <c r="N655" s="216">
        <f t="shared" si="350"/>
        <v>0</v>
      </c>
      <c r="O655" s="216">
        <f t="shared" si="350"/>
        <v>0</v>
      </c>
      <c r="P655" s="216">
        <f t="shared" si="350"/>
        <v>0</v>
      </c>
    </row>
    <row r="656" spans="2:16" x14ac:dyDescent="0.3">
      <c r="F656" s="216"/>
      <c r="G656" s="216"/>
      <c r="H656" s="216"/>
      <c r="I656" s="216"/>
      <c r="J656" s="216"/>
      <c r="K656" s="216"/>
      <c r="L656" s="216"/>
      <c r="M656" s="216"/>
      <c r="N656" s="216"/>
      <c r="O656" s="216"/>
      <c r="P656" s="216"/>
    </row>
    <row r="657" spans="2:16" x14ac:dyDescent="0.3">
      <c r="B657" t="s">
        <v>450</v>
      </c>
      <c r="F657" s="216"/>
      <c r="G657" s="216">
        <f t="shared" ref="G657:P657" si="351">G497</f>
        <v>102.54889355625838</v>
      </c>
      <c r="H657" s="216">
        <f t="shared" si="351"/>
        <v>62.365544556546325</v>
      </c>
      <c r="I657" s="216">
        <f t="shared" si="351"/>
        <v>3.1858474902709517</v>
      </c>
      <c r="J657" s="216">
        <f t="shared" si="351"/>
        <v>0</v>
      </c>
      <c r="K657" s="216">
        <f t="shared" si="351"/>
        <v>0</v>
      </c>
      <c r="L657" s="216">
        <f t="shared" si="351"/>
        <v>0</v>
      </c>
      <c r="M657" s="216">
        <f t="shared" si="351"/>
        <v>0</v>
      </c>
      <c r="N657" s="216">
        <f t="shared" si="351"/>
        <v>0</v>
      </c>
      <c r="O657" s="216">
        <f t="shared" si="351"/>
        <v>0</v>
      </c>
      <c r="P657" s="216">
        <f t="shared" si="351"/>
        <v>0</v>
      </c>
    </row>
    <row r="658" spans="2:16" x14ac:dyDescent="0.3">
      <c r="F658" s="216"/>
      <c r="G658" s="216"/>
      <c r="H658" s="216"/>
      <c r="I658" s="216"/>
      <c r="J658" s="216"/>
      <c r="K658" s="216"/>
      <c r="L658" s="216"/>
      <c r="M658" s="216"/>
      <c r="N658" s="216"/>
      <c r="O658" s="216"/>
      <c r="P658" s="216"/>
    </row>
    <row r="659" spans="2:16" x14ac:dyDescent="0.3">
      <c r="B659" t="s">
        <v>441</v>
      </c>
      <c r="F659" s="216"/>
      <c r="G659" s="216">
        <f t="shared" ref="G659:P659" si="352">$H$539*$I$21*-1</f>
        <v>0</v>
      </c>
      <c r="H659" s="216">
        <f t="shared" si="352"/>
        <v>0</v>
      </c>
      <c r="I659" s="216">
        <f t="shared" si="352"/>
        <v>0</v>
      </c>
      <c r="J659" s="216">
        <f t="shared" si="352"/>
        <v>0</v>
      </c>
      <c r="K659" s="216">
        <f t="shared" si="352"/>
        <v>0</v>
      </c>
      <c r="L659" s="216">
        <f t="shared" si="352"/>
        <v>0</v>
      </c>
      <c r="M659" s="216">
        <f t="shared" si="352"/>
        <v>0</v>
      </c>
      <c r="N659" s="216">
        <f t="shared" si="352"/>
        <v>0</v>
      </c>
      <c r="O659" s="216">
        <f t="shared" si="352"/>
        <v>0</v>
      </c>
      <c r="P659" s="216">
        <f t="shared" si="352"/>
        <v>0</v>
      </c>
    </row>
    <row r="660" spans="2:16" x14ac:dyDescent="0.3">
      <c r="B660" t="s">
        <v>442</v>
      </c>
      <c r="F660" s="216"/>
      <c r="G660" s="216">
        <f t="shared" ref="G660:P660" si="353">G562*$P$539</f>
        <v>19.734743361467491</v>
      </c>
      <c r="H660" s="216">
        <f t="shared" si="353"/>
        <v>26.15199280123672</v>
      </c>
      <c r="I660" s="216">
        <f t="shared" si="353"/>
        <v>33.42929856287472</v>
      </c>
      <c r="J660" s="216">
        <f t="shared" si="353"/>
        <v>40.814671562048396</v>
      </c>
      <c r="K660" s="216">
        <f t="shared" si="353"/>
        <v>49.074360804643383</v>
      </c>
      <c r="L660" s="216">
        <f t="shared" si="353"/>
        <v>58.288457324111555</v>
      </c>
      <c r="M660" s="216">
        <f t="shared" si="353"/>
        <v>66.826241467431714</v>
      </c>
      <c r="N660" s="216">
        <f t="shared" si="353"/>
        <v>75.312087268449375</v>
      </c>
      <c r="O660" s="216">
        <f t="shared" si="353"/>
        <v>84.585768549437589</v>
      </c>
      <c r="P660" s="216">
        <f t="shared" si="353"/>
        <v>94.506856036926607</v>
      </c>
    </row>
    <row r="663" spans="2:16" x14ac:dyDescent="0.3">
      <c r="B663" s="55" t="str">
        <f>_xlfn.CONCAT("Returns to ",$F$15," (Assuming ", ROUND($P$539*100,1),"% Ownership)")</f>
        <v>Returns to Senior Unsecured Debt (Assuming 3.4% Ownership)</v>
      </c>
      <c r="G663" s="409" t="str">
        <f>_xlfn.CONCAT("For the Fiscal Year Ending ",LBO!$Y$13)</f>
        <v>For the Fiscal Year Ending December 31,</v>
      </c>
      <c r="H663" s="409"/>
      <c r="I663" s="409"/>
      <c r="J663" s="409"/>
      <c r="K663" s="409"/>
      <c r="L663" s="409"/>
      <c r="M663" s="409"/>
      <c r="N663" s="409"/>
      <c r="O663" s="409"/>
      <c r="P663" s="409"/>
    </row>
    <row r="664" spans="2:16" x14ac:dyDescent="0.3">
      <c r="E664" s="187" t="s">
        <v>440</v>
      </c>
      <c r="F664" s="187" t="s">
        <v>176</v>
      </c>
      <c r="G664" s="109">
        <f>G650</f>
        <v>2024</v>
      </c>
      <c r="H664" s="109">
        <f t="shared" ref="H664:P664" si="354">H650</f>
        <v>2025</v>
      </c>
      <c r="I664" s="109">
        <f t="shared" si="354"/>
        <v>2026</v>
      </c>
      <c r="J664" s="109">
        <f t="shared" si="354"/>
        <v>2027</v>
      </c>
      <c r="K664" s="193">
        <f t="shared" si="354"/>
        <v>2028</v>
      </c>
      <c r="L664" s="109">
        <f t="shared" si="354"/>
        <v>2029</v>
      </c>
      <c r="M664" s="109">
        <f t="shared" si="354"/>
        <v>2030</v>
      </c>
      <c r="N664" s="109">
        <f t="shared" si="354"/>
        <v>2031</v>
      </c>
      <c r="O664" s="109">
        <f t="shared" si="354"/>
        <v>2032</v>
      </c>
      <c r="P664" s="109">
        <f t="shared" si="354"/>
        <v>2033</v>
      </c>
    </row>
    <row r="665" spans="2:16" x14ac:dyDescent="0.3">
      <c r="K665" s="183"/>
    </row>
    <row r="666" spans="2:16" x14ac:dyDescent="0.3">
      <c r="B666" t="str">
        <f>_xlfn.CONCAT("IRR for Exit in ",$Y$12)</f>
        <v>IRR for Exit in 2024</v>
      </c>
      <c r="E666" s="133">
        <f>IFERROR(IRR(F666:P666),"NA")</f>
        <v>5.4804962536448398E-2</v>
      </c>
      <c r="F666" s="216">
        <f t="shared" ref="F666:F675" si="355">SUM($F$651:$F$652)</f>
        <v>-219.6944</v>
      </c>
      <c r="G666" s="83">
        <f>SUM(G654:G660)</f>
        <v>231.73474336146748</v>
      </c>
      <c r="H666" s="83"/>
      <c r="I666" s="83"/>
      <c r="J666" s="83"/>
      <c r="K666" s="298"/>
      <c r="L666" s="83"/>
      <c r="M666" s="83"/>
      <c r="N666" s="83"/>
      <c r="O666" s="83"/>
      <c r="P666" s="83"/>
    </row>
    <row r="667" spans="2:16" x14ac:dyDescent="0.3">
      <c r="B667" t="str">
        <f>"IRR for Exit in "&amp;$Y$12+1</f>
        <v>IRR for Exit in 2025</v>
      </c>
      <c r="E667" s="133">
        <f t="shared" ref="E667:E669" si="356">IFERROR(IRR(F667:P667),"NA")</f>
        <v>7.1214492488207659E-2</v>
      </c>
      <c r="F667" s="216">
        <f t="shared" si="355"/>
        <v>-219.6944</v>
      </c>
      <c r="G667" s="83">
        <f t="shared" ref="G667:G675" si="357">G$655+G$654</f>
        <v>109.45110644374162</v>
      </c>
      <c r="H667" s="83">
        <f>SUM(H654:H660)</f>
        <v>134.8538199708706</v>
      </c>
      <c r="I667" s="83"/>
      <c r="J667" s="83"/>
      <c r="K667" s="298"/>
      <c r="L667" s="83"/>
      <c r="M667" s="83"/>
      <c r="N667" s="83"/>
      <c r="O667" s="83"/>
      <c r="P667" s="83"/>
    </row>
    <row r="668" spans="2:16" x14ac:dyDescent="0.3">
      <c r="B668" t="str">
        <f>"IRR for Exit in "&amp;$Y$12+2</f>
        <v>IRR for Exit in 2026</v>
      </c>
      <c r="E668" s="133">
        <f t="shared" si="356"/>
        <v>8.1011192174811564E-2</v>
      </c>
      <c r="F668" s="216">
        <f t="shared" si="355"/>
        <v>-219.6944</v>
      </c>
      <c r="G668" s="83">
        <f t="shared" si="357"/>
        <v>109.45110644374162</v>
      </c>
      <c r="H668" s="83">
        <f t="shared" ref="H668:H675" si="358">H$655+H$654</f>
        <v>46.336282613087555</v>
      </c>
      <c r="I668" s="83">
        <f>SUM(I654:I660)</f>
        <v>99.536775792813827</v>
      </c>
      <c r="J668" s="83"/>
      <c r="K668" s="298"/>
      <c r="L668" s="83"/>
      <c r="M668" s="83"/>
      <c r="N668" s="83"/>
      <c r="O668" s="83"/>
      <c r="P668" s="83"/>
    </row>
    <row r="669" spans="2:16" x14ac:dyDescent="0.3">
      <c r="B669" t="str">
        <f>"IRR for Exit in "&amp;$Y$12+3</f>
        <v>IRR for Exit in 2027</v>
      </c>
      <c r="E669" s="133">
        <f t="shared" si="356"/>
        <v>8.9063594853300732E-2</v>
      </c>
      <c r="F669" s="216">
        <f t="shared" si="355"/>
        <v>-219.6944</v>
      </c>
      <c r="G669" s="83">
        <f t="shared" si="357"/>
        <v>109.45110644374162</v>
      </c>
      <c r="H669" s="83">
        <f t="shared" si="358"/>
        <v>46.336282613087555</v>
      </c>
      <c r="I669" s="83">
        <f t="shared" ref="I669:I675" si="359">I$655+I$654</f>
        <v>62.921629739668155</v>
      </c>
      <c r="J669" s="83">
        <f>SUM(J654:J660)</f>
        <v>44.191669901735608</v>
      </c>
      <c r="K669" s="298"/>
      <c r="L669" s="83"/>
      <c r="M669" s="83"/>
      <c r="N669" s="83"/>
      <c r="O669" s="83"/>
      <c r="P669" s="83"/>
    </row>
    <row r="670" spans="2:16" x14ac:dyDescent="0.3">
      <c r="B670" s="70" t="str">
        <f>"IRR for Exit in "&amp;$Y$12+4</f>
        <v>IRR for Exit in 2028</v>
      </c>
      <c r="C670" s="70"/>
      <c r="D670" s="70"/>
      <c r="E670" s="189">
        <f>IFERROR(IRR(F670:P670),"NA")</f>
        <v>9.5795525121214586E-2</v>
      </c>
      <c r="F670" s="293">
        <f t="shared" si="355"/>
        <v>-219.6944</v>
      </c>
      <c r="G670" s="307">
        <f t="shared" si="357"/>
        <v>109.45110644374162</v>
      </c>
      <c r="H670" s="307">
        <f t="shared" si="358"/>
        <v>46.336282613087555</v>
      </c>
      <c r="I670" s="307">
        <f t="shared" si="359"/>
        <v>62.921629739668155</v>
      </c>
      <c r="J670" s="307">
        <f t="shared" ref="J670:J675" si="360">J$655+J$654</f>
        <v>3.376998339687209</v>
      </c>
      <c r="K670" s="301">
        <f>SUM(K654:K660)</f>
        <v>49.074360804643383</v>
      </c>
      <c r="L670" s="83"/>
      <c r="M670" s="83"/>
      <c r="N670" s="83"/>
      <c r="O670" s="83"/>
      <c r="P670" s="83"/>
    </row>
    <row r="671" spans="2:16" x14ac:dyDescent="0.3">
      <c r="B671" t="str">
        <f>"IRR for Exit in "&amp;$Y$12+5</f>
        <v>IRR for Exit in 2029</v>
      </c>
      <c r="E671" s="133">
        <f t="shared" ref="E671:E674" si="361">IFERROR(IRR(F671:P671),"NA")</f>
        <v>0.1012275199685122</v>
      </c>
      <c r="F671" s="216">
        <f t="shared" si="355"/>
        <v>-219.6944</v>
      </c>
      <c r="G671" s="83">
        <f t="shared" si="357"/>
        <v>109.45110644374162</v>
      </c>
      <c r="H671" s="83">
        <f t="shared" si="358"/>
        <v>46.336282613087555</v>
      </c>
      <c r="I671" s="83">
        <f t="shared" si="359"/>
        <v>62.921629739668155</v>
      </c>
      <c r="J671" s="83">
        <f t="shared" si="360"/>
        <v>3.376998339687209</v>
      </c>
      <c r="K671" s="83">
        <f>K$655+K$654</f>
        <v>0</v>
      </c>
      <c r="L671" s="83">
        <f>SUM(L654:L660)</f>
        <v>58.288457324111555</v>
      </c>
      <c r="M671" s="83"/>
      <c r="N671" s="83"/>
      <c r="O671" s="83"/>
      <c r="P671" s="83"/>
    </row>
    <row r="672" spans="2:16" x14ac:dyDescent="0.3">
      <c r="B672" t="str">
        <f>"IRR for Exit in "&amp;$Y$12+6</f>
        <v>IRR for Exit in 2030</v>
      </c>
      <c r="E672" s="133">
        <f t="shared" si="361"/>
        <v>0.1038634561251901</v>
      </c>
      <c r="F672" s="216">
        <f t="shared" si="355"/>
        <v>-219.6944</v>
      </c>
      <c r="G672" s="83">
        <f t="shared" si="357"/>
        <v>109.45110644374162</v>
      </c>
      <c r="H672" s="83">
        <f t="shared" si="358"/>
        <v>46.336282613087555</v>
      </c>
      <c r="I672" s="83">
        <f t="shared" si="359"/>
        <v>62.921629739668155</v>
      </c>
      <c r="J672" s="83">
        <f t="shared" si="360"/>
        <v>3.376998339687209</v>
      </c>
      <c r="K672" s="83">
        <f>K$655+K$654</f>
        <v>0</v>
      </c>
      <c r="L672" s="83">
        <f>L$655+L$654</f>
        <v>0</v>
      </c>
      <c r="M672" s="83">
        <f>SUM(M654:M660)</f>
        <v>66.826241467431714</v>
      </c>
      <c r="N672" s="83"/>
      <c r="O672" s="83"/>
      <c r="P672" s="83"/>
    </row>
    <row r="673" spans="2:16" x14ac:dyDescent="0.3">
      <c r="B673" t="str">
        <f>"IRR for Exit in "&amp;$Y$12+7</f>
        <v>IRR for Exit in 2031</v>
      </c>
      <c r="E673" s="133">
        <f t="shared" si="361"/>
        <v>0.10516173104296578</v>
      </c>
      <c r="F673" s="216">
        <f t="shared" si="355"/>
        <v>-219.6944</v>
      </c>
      <c r="G673" s="83">
        <f t="shared" si="357"/>
        <v>109.45110644374162</v>
      </c>
      <c r="H673" s="83">
        <f t="shared" si="358"/>
        <v>46.336282613087555</v>
      </c>
      <c r="I673" s="83">
        <f t="shared" si="359"/>
        <v>62.921629739668155</v>
      </c>
      <c r="J673" s="83">
        <f t="shared" si="360"/>
        <v>3.376998339687209</v>
      </c>
      <c r="K673" s="83">
        <f>K$655+K$654</f>
        <v>0</v>
      </c>
      <c r="L673" s="83">
        <f>L$655+L$654</f>
        <v>0</v>
      </c>
      <c r="M673" s="83">
        <f>M$655+M$654</f>
        <v>0</v>
      </c>
      <c r="N673" s="83">
        <f>SUM(N654:N660)</f>
        <v>75.312087268449375</v>
      </c>
      <c r="O673" s="83"/>
      <c r="P673" s="83"/>
    </row>
    <row r="674" spans="2:16" x14ac:dyDescent="0.3">
      <c r="B674" t="str">
        <f>"IRR for Exit in "&amp;$Y$12+8</f>
        <v>IRR for Exit in 2032</v>
      </c>
      <c r="E674" s="133">
        <f t="shared" si="361"/>
        <v>0.10612493395668698</v>
      </c>
      <c r="F674" s="216">
        <f t="shared" si="355"/>
        <v>-219.6944</v>
      </c>
      <c r="G674" s="83">
        <f t="shared" si="357"/>
        <v>109.45110644374162</v>
      </c>
      <c r="H674" s="83">
        <f t="shared" si="358"/>
        <v>46.336282613087555</v>
      </c>
      <c r="I674" s="83">
        <f t="shared" si="359"/>
        <v>62.921629739668155</v>
      </c>
      <c r="J674" s="83">
        <f t="shared" si="360"/>
        <v>3.376998339687209</v>
      </c>
      <c r="K674" s="83">
        <f>K$655+K$654</f>
        <v>0</v>
      </c>
      <c r="L674" s="83">
        <f>L$655+L$654</f>
        <v>0</v>
      </c>
      <c r="M674" s="83">
        <f>M$655+M$654</f>
        <v>0</v>
      </c>
      <c r="N674" s="83">
        <f>N$655+N$654</f>
        <v>0</v>
      </c>
      <c r="O674" s="83">
        <f>SUM(O654:O660)</f>
        <v>84.585768549437589</v>
      </c>
      <c r="P674" s="83"/>
    </row>
    <row r="675" spans="2:16" x14ac:dyDescent="0.3">
      <c r="B675" t="str">
        <f>"IRR for Exit in "&amp;$Y$12+9</f>
        <v>IRR for Exit in 2033</v>
      </c>
      <c r="E675" s="133">
        <f>IFERROR(IRR(F675:P675),"NA")</f>
        <v>0.1066964679375908</v>
      </c>
      <c r="F675" s="216">
        <f t="shared" si="355"/>
        <v>-219.6944</v>
      </c>
      <c r="G675" s="83">
        <f t="shared" si="357"/>
        <v>109.45110644374162</v>
      </c>
      <c r="H675" s="83">
        <f t="shared" si="358"/>
        <v>46.336282613087555</v>
      </c>
      <c r="I675" s="83">
        <f t="shared" si="359"/>
        <v>62.921629739668155</v>
      </c>
      <c r="J675" s="83">
        <f t="shared" si="360"/>
        <v>3.376998339687209</v>
      </c>
      <c r="K675" s="83">
        <f>K$655+K$654</f>
        <v>0</v>
      </c>
      <c r="L675" s="83">
        <f>L$655+L$654</f>
        <v>0</v>
      </c>
      <c r="M675" s="83">
        <f>M$655+M$654</f>
        <v>0</v>
      </c>
      <c r="N675" s="83">
        <f>N$655+N$654</f>
        <v>0</v>
      </c>
      <c r="O675" s="83">
        <f>O$655+O$654</f>
        <v>0</v>
      </c>
      <c r="P675" s="83">
        <f>SUM(P654:P660)</f>
        <v>94.506856036926607</v>
      </c>
    </row>
    <row r="678" spans="2:16" x14ac:dyDescent="0.3">
      <c r="B678" s="55" t="str">
        <f>"Sensitivity Analysis of "&amp;$F$15&amp;"holders' "&amp;$Q$16 &amp;" IRR"</f>
        <v>Sensitivity Analysis of Senior Unsecured Debtholders' 2028 IRR</v>
      </c>
    </row>
    <row r="680" spans="2:16" x14ac:dyDescent="0.3">
      <c r="C680" s="55" t="str">
        <f>"IRR ("&amp;$Q$16&amp;")"</f>
        <v>IRR (2028)</v>
      </c>
    </row>
    <row r="681" spans="2:16" x14ac:dyDescent="0.3">
      <c r="G681" s="406" t="str">
        <f>"Fully Diluted Equity to "&amp;$F$15&amp;"holders"</f>
        <v>Fully Diluted Equity to Senior Unsecured Debtholders</v>
      </c>
      <c r="H681" s="406"/>
      <c r="I681" s="406"/>
      <c r="J681" s="406"/>
      <c r="K681" s="406"/>
      <c r="L681" s="406"/>
    </row>
    <row r="682" spans="2:16" x14ac:dyDescent="0.3">
      <c r="G682" s="191">
        <f>MAX(H682-$Y$21,0)</f>
        <v>4.389140271493213E-3</v>
      </c>
      <c r="H682" s="191">
        <f>MAX(I682-$Y$21,0)</f>
        <v>1.4389140271493213E-2</v>
      </c>
      <c r="I682" s="191">
        <f>MAX(J682-$Y$21,0)</f>
        <v>2.4389140271493213E-2</v>
      </c>
      <c r="J682" s="191">
        <f>$P$539</f>
        <v>3.4389140271493215E-2</v>
      </c>
      <c r="K682" s="191">
        <f>J682+$Y$21</f>
        <v>4.4389140271493217E-2</v>
      </c>
      <c r="L682" s="191">
        <f>K682+$Y$21</f>
        <v>5.4389140271493219E-2</v>
      </c>
    </row>
    <row r="683" spans="2:16" x14ac:dyDescent="0.3">
      <c r="F683" s="192">
        <f>F684-$Y$19</f>
        <v>9</v>
      </c>
      <c r="G683" s="120">
        <f>IF($I$15=0,"NA",IRR(($F$670:$J$670,G693)))</f>
        <v>1.8567163000300591E-2</v>
      </c>
      <c r="H683" s="120">
        <f>IF($I$15=0,"NA",IRR(($F$670:$J$670,H693)))</f>
        <v>4.3960818280335268E-2</v>
      </c>
      <c r="I683" s="120">
        <f>IF($I$15=0,"NA",IRR(($F$670:$J$670,I693)))</f>
        <v>6.5956177428380114E-2</v>
      </c>
      <c r="J683" s="197">
        <f>IF($I$15=0,"NA",IRR(($F$670:$J$670,J693)))</f>
        <v>8.5474964055352931E-2</v>
      </c>
      <c r="K683" s="120">
        <f>IF($I$15=0,"NA",IRR(($F$670:$J$670,K693)))</f>
        <v>0.10309423907613802</v>
      </c>
      <c r="L683" s="120">
        <f>IF($I$15=0,"NA",IRR(($F$670:$J$670,L693)))</f>
        <v>0.11920229020915785</v>
      </c>
    </row>
    <row r="684" spans="2:16" x14ac:dyDescent="0.3">
      <c r="E684" s="149" t="s">
        <v>444</v>
      </c>
      <c r="F684" s="192">
        <f>F685-$Y$19</f>
        <v>9.5</v>
      </c>
      <c r="G684" s="120">
        <f>IF($I$15=0,"NA",IRR(($F$670:$J$670,G694)))</f>
        <v>1.9573202976632453E-2</v>
      </c>
      <c r="H684" s="120">
        <f>IF($I$15=0,"NA",IRR(($F$670:$J$670,H694)))</f>
        <v>4.6759836058357873E-2</v>
      </c>
      <c r="I684" s="120">
        <f>IF($I$15=0,"NA",IRR(($F$670:$J$670,I694)))</f>
        <v>7.0108618126644595E-2</v>
      </c>
      <c r="J684" s="198">
        <f>IF($I$15=0,"NA",IRR(($F$670:$J$670,J694)))</f>
        <v>9.0707821043992665E-2</v>
      </c>
      <c r="K684" s="120">
        <f>IF($I$15=0,"NA",IRR(($F$670:$J$670,K694)))</f>
        <v>0.10922298208926406</v>
      </c>
      <c r="L684" s="120">
        <f>IF($I$15=0,"NA",IRR(($F$670:$J$670,L694)))</f>
        <v>0.12609457685688663</v>
      </c>
    </row>
    <row r="685" spans="2:16" x14ac:dyDescent="0.3">
      <c r="E685" s="149" t="s">
        <v>99</v>
      </c>
      <c r="F685" s="192">
        <f>$Y$18</f>
        <v>10</v>
      </c>
      <c r="G685" s="194">
        <f>IF($I$15=0,"NA",IRR(($F$670:$J$670,G695)))</f>
        <v>2.0572756132618775E-2</v>
      </c>
      <c r="H685" s="195">
        <f>IF($I$15=0,"NA",IRR(($F$670:$J$670,H695)))</f>
        <v>4.9512504356524767E-2</v>
      </c>
      <c r="I685" s="195">
        <f>IF($I$15=0,"NA",IRR(($F$670:$J$670,I695)))</f>
        <v>7.4165075950686443E-2</v>
      </c>
      <c r="J685" s="199">
        <f>IF($I$15=0,"NA",IRR(($F$670:$J$670,J695)))</f>
        <v>9.5795525121214586E-2</v>
      </c>
      <c r="K685" s="195">
        <f>IF($I$15=0,"NA",IRR(($F$670:$J$670,K695)))</f>
        <v>0.11516056321140522</v>
      </c>
      <c r="L685" s="196">
        <f>IF($I$15=0,"NA",IRR(($F$670:$J$670,L695)))</f>
        <v>0.13275337727022962</v>
      </c>
    </row>
    <row r="686" spans="2:16" x14ac:dyDescent="0.3">
      <c r="E686" s="149" t="s">
        <v>445</v>
      </c>
      <c r="F686" s="192">
        <f>F685+$Y$19</f>
        <v>10.5</v>
      </c>
      <c r="G686" s="120">
        <f>IF($I$15=0,"NA",IRR(($F$670:$J$670,G696)))</f>
        <v>2.1565922838026275E-2</v>
      </c>
      <c r="H686" s="120">
        <f>IF($I$15=0,"NA",IRR(($F$670:$J$670,H696)))</f>
        <v>5.2220625767111617E-2</v>
      </c>
      <c r="I686" s="120">
        <f>IF($I$15=0,"NA",IRR(($F$670:$J$670,I696)))</f>
        <v>7.8130687676874144E-2</v>
      </c>
      <c r="J686" s="198">
        <f>IF($I$15=0,"NA",IRR(($F$670:$J$670,J696)))</f>
        <v>0.10074730272945898</v>
      </c>
      <c r="K686" s="120">
        <f>IF($I$15=0,"NA",IRR(($F$670:$J$670,K696)))</f>
        <v>0.12092053841542039</v>
      </c>
      <c r="L686" s="120">
        <f>IF($I$15=0,"NA",IRR(($F$670:$J$670,L696)))</f>
        <v>0.13919656219072829</v>
      </c>
    </row>
    <row r="687" spans="2:16" x14ac:dyDescent="0.3">
      <c r="F687" s="192">
        <f>F686+$Y$19</f>
        <v>11</v>
      </c>
      <c r="G687" s="120">
        <f>IF($I$15=0,"NA",IRR(($F$670:$J$670,G697)))</f>
        <v>2.2552800991560762E-2</v>
      </c>
      <c r="H687" s="120">
        <f>IF($I$15=0,"NA",IRR(($F$670:$J$670,H697)))</f>
        <v>5.4885893204729586E-2</v>
      </c>
      <c r="I687" s="120">
        <f>IF($I$15=0,"NA",IRR(($F$670:$J$670,I697)))</f>
        <v>8.2010164443273359E-2</v>
      </c>
      <c r="J687" s="200">
        <f>IF($I$15=0,"NA",IRR(($F$670:$J$670,J697)))</f>
        <v>0.10557147898624653</v>
      </c>
      <c r="K687" s="120">
        <f>IF($I$15=0,"NA",IRR(($F$670:$J$670,K697)))</f>
        <v>0.12651499434340319</v>
      </c>
      <c r="L687" s="120">
        <f>IF($I$15=0,"NA",IRR(($F$670:$J$670,L697)))</f>
        <v>0.14543992063134481</v>
      </c>
    </row>
    <row r="690" spans="3:12" x14ac:dyDescent="0.3">
      <c r="C690" s="55" t="str">
        <f>"Total Cash Flows at Exit Year ("&amp;$Q$16&amp;")"</f>
        <v>Total Cash Flows at Exit Year (2028)</v>
      </c>
    </row>
    <row r="691" spans="3:12" x14ac:dyDescent="0.3">
      <c r="G691" s="406" t="str">
        <f>"Fully Diluted Equity to "&amp;$F$15&amp;"holders"</f>
        <v>Fully Diluted Equity to Senior Unsecured Debtholders</v>
      </c>
      <c r="H691" s="406"/>
      <c r="I691" s="406"/>
      <c r="J691" s="406"/>
      <c r="K691" s="406"/>
      <c r="L691" s="406"/>
    </row>
    <row r="692" spans="3:12" x14ac:dyDescent="0.3">
      <c r="G692" s="191">
        <f>MAX(H692-$Y$21,0)</f>
        <v>4.389140271493213E-3</v>
      </c>
      <c r="H692" s="191">
        <f>MAX(I692-$Y$21,0)</f>
        <v>1.4389140271493213E-2</v>
      </c>
      <c r="I692" s="191">
        <f>MAX(J692-$Y$21,0)</f>
        <v>2.4389140271493213E-2</v>
      </c>
      <c r="J692" s="191">
        <f>$P$539</f>
        <v>3.4389140271493215E-2</v>
      </c>
      <c r="K692" s="191">
        <f>J692+$Y$21</f>
        <v>4.4389140271493217E-2</v>
      </c>
      <c r="L692" s="191">
        <f>K692+$Y$21</f>
        <v>5.4389140271493219E-2</v>
      </c>
    </row>
    <row r="693" spans="3:12" x14ac:dyDescent="0.3">
      <c r="F693" s="192">
        <f>F694-$Y$19</f>
        <v>9</v>
      </c>
      <c r="G693" s="2">
        <f t="shared" ref="G693:L697" si="362">($K$562+($K$551*($F693-$F$695)))*G$692+SUM($K$654:$K$659)</f>
        <v>5.367300576316155</v>
      </c>
      <c r="H693" s="2">
        <f t="shared" si="362"/>
        <v>17.595892611015849</v>
      </c>
      <c r="I693" s="2">
        <f t="shared" si="362"/>
        <v>29.824484645715543</v>
      </c>
      <c r="J693" s="202">
        <f t="shared" si="362"/>
        <v>42.053076680415238</v>
      </c>
      <c r="K693" s="2">
        <f t="shared" si="362"/>
        <v>54.281668715114932</v>
      </c>
      <c r="L693" s="2">
        <f t="shared" si="362"/>
        <v>66.510260749814634</v>
      </c>
    </row>
    <row r="694" spans="3:12" x14ac:dyDescent="0.3">
      <c r="E694" s="149" t="s">
        <v>444</v>
      </c>
      <c r="F694" s="192">
        <f>F695-$Y$19</f>
        <v>9.5</v>
      </c>
      <c r="G694" s="2">
        <f t="shared" si="362"/>
        <v>5.8153693658228196</v>
      </c>
      <c r="H694" s="2">
        <f t="shared" si="362"/>
        <v>19.064819158058317</v>
      </c>
      <c r="I694" s="2">
        <f t="shared" si="362"/>
        <v>32.314268950293815</v>
      </c>
      <c r="J694" s="203">
        <f t="shared" si="362"/>
        <v>45.563718742529311</v>
      </c>
      <c r="K694" s="2">
        <f t="shared" si="362"/>
        <v>58.813168534764806</v>
      </c>
      <c r="L694" s="2">
        <f t="shared" si="362"/>
        <v>72.062618327000308</v>
      </c>
    </row>
    <row r="695" spans="3:12" x14ac:dyDescent="0.3">
      <c r="E695" s="149" t="s">
        <v>99</v>
      </c>
      <c r="F695" s="192">
        <f>$Y$18</f>
        <v>10</v>
      </c>
      <c r="G695" s="201">
        <f t="shared" si="362"/>
        <v>6.2634381553294842</v>
      </c>
      <c r="H695" s="188">
        <f t="shared" si="362"/>
        <v>20.533745705100785</v>
      </c>
      <c r="I695" s="188">
        <f t="shared" si="362"/>
        <v>34.80405325487208</v>
      </c>
      <c r="J695" s="204">
        <f t="shared" si="362"/>
        <v>49.074360804643383</v>
      </c>
      <c r="K695" s="188">
        <f t="shared" si="362"/>
        <v>63.344668354414686</v>
      </c>
      <c r="L695" s="71">
        <f t="shared" si="362"/>
        <v>77.614975904185982</v>
      </c>
    </row>
    <row r="696" spans="3:12" x14ac:dyDescent="0.3">
      <c r="E696" s="149" t="s">
        <v>445</v>
      </c>
      <c r="F696" s="192">
        <f>F695+$Y$19</f>
        <v>10.5</v>
      </c>
      <c r="G696" s="2">
        <f t="shared" si="362"/>
        <v>6.7115069448361488</v>
      </c>
      <c r="H696" s="2">
        <f t="shared" si="362"/>
        <v>22.002672252143249</v>
      </c>
      <c r="I696" s="2">
        <f t="shared" si="362"/>
        <v>37.293837559450353</v>
      </c>
      <c r="J696" s="203">
        <f t="shared" si="362"/>
        <v>52.585002866757456</v>
      </c>
      <c r="K696" s="2">
        <f t="shared" si="362"/>
        <v>67.87616817406456</v>
      </c>
      <c r="L696" s="2">
        <f t="shared" si="362"/>
        <v>83.167333481371671</v>
      </c>
    </row>
    <row r="697" spans="3:12" x14ac:dyDescent="0.3">
      <c r="F697" s="192">
        <f>F696+$Y$19</f>
        <v>11</v>
      </c>
      <c r="G697" s="2">
        <f t="shared" si="362"/>
        <v>7.1595757343428135</v>
      </c>
      <c r="H697" s="2">
        <f t="shared" si="362"/>
        <v>23.471598799185717</v>
      </c>
      <c r="I697" s="2">
        <f t="shared" si="362"/>
        <v>39.783621864028625</v>
      </c>
      <c r="J697" s="205">
        <f t="shared" si="362"/>
        <v>56.095644928871529</v>
      </c>
      <c r="K697" s="2">
        <f t="shared" si="362"/>
        <v>72.407667993714441</v>
      </c>
      <c r="L697" s="2">
        <f t="shared" si="362"/>
        <v>88.719691058557345</v>
      </c>
    </row>
    <row r="698" spans="3:12" x14ac:dyDescent="0.3">
      <c r="F698" s="192"/>
      <c r="G698" s="2"/>
      <c r="H698" s="2"/>
      <c r="I698" s="2"/>
      <c r="J698" s="2"/>
      <c r="K698" s="2"/>
      <c r="L698" s="2"/>
    </row>
    <row r="699" spans="3:12" x14ac:dyDescent="0.3">
      <c r="F699" s="192"/>
      <c r="G699" s="2"/>
      <c r="H699" s="2"/>
      <c r="I699" s="2"/>
      <c r="J699" s="2"/>
      <c r="K699" s="2"/>
      <c r="L699" s="2"/>
    </row>
    <row r="705" spans="2:16" x14ac:dyDescent="0.3">
      <c r="B705" s="410" t="str">
        <f>"BLENDED RETURNS TO THE HOLDERS OF THE "&amp;UPPER($F$16)</f>
        <v>BLENDED RETURNS TO THE HOLDERS OF THE SUBORDINATED DEBT</v>
      </c>
      <c r="C705" s="410"/>
      <c r="D705" s="410"/>
      <c r="E705" s="410"/>
      <c r="F705" s="410"/>
      <c r="G705" s="410"/>
      <c r="H705" s="410"/>
      <c r="I705" s="410"/>
      <c r="J705" s="410"/>
      <c r="K705" s="410"/>
      <c r="L705" s="410"/>
      <c r="M705" s="410"/>
      <c r="N705" s="410"/>
      <c r="O705" s="410"/>
      <c r="P705" s="410"/>
    </row>
    <row r="707" spans="2:16" x14ac:dyDescent="0.3">
      <c r="B707" s="55" t="str">
        <f>"Cash Flows to the "&amp;$F$16&amp;"holders"</f>
        <v>Cash Flows to the Subordinated Debtholders</v>
      </c>
      <c r="G707" s="406" t="str">
        <f>_xlfn.CONCAT("For the Fiscal Year Ending ",LBO!$Y$13)</f>
        <v>For the Fiscal Year Ending December 31,</v>
      </c>
      <c r="H707" s="406"/>
      <c r="I707" s="406"/>
      <c r="J707" s="406"/>
      <c r="K707" s="406"/>
      <c r="L707" s="406"/>
      <c r="M707" s="406"/>
      <c r="N707" s="406"/>
      <c r="O707" s="406"/>
      <c r="P707" s="406"/>
    </row>
    <row r="708" spans="2:16" x14ac:dyDescent="0.3">
      <c r="F708" s="187" t="s">
        <v>176</v>
      </c>
      <c r="G708" s="109">
        <f>$Y$12</f>
        <v>2024</v>
      </c>
      <c r="H708" s="109">
        <f>G708+1</f>
        <v>2025</v>
      </c>
      <c r="I708" s="109">
        <f t="shared" ref="I708:P708" si="363">H708+1</f>
        <v>2026</v>
      </c>
      <c r="J708" s="109">
        <f t="shared" si="363"/>
        <v>2027</v>
      </c>
      <c r="K708" s="109">
        <f t="shared" si="363"/>
        <v>2028</v>
      </c>
      <c r="L708" s="109">
        <f t="shared" si="363"/>
        <v>2029</v>
      </c>
      <c r="M708" s="109">
        <f t="shared" si="363"/>
        <v>2030</v>
      </c>
      <c r="N708" s="109">
        <f t="shared" si="363"/>
        <v>2031</v>
      </c>
      <c r="O708" s="109">
        <f t="shared" si="363"/>
        <v>2032</v>
      </c>
      <c r="P708" s="109">
        <f t="shared" si="363"/>
        <v>2033</v>
      </c>
    </row>
    <row r="709" spans="2:16" x14ac:dyDescent="0.3">
      <c r="B709" t="s">
        <v>446</v>
      </c>
      <c r="F709" s="216">
        <f>I16*-1</f>
        <v>-318.84000000000003</v>
      </c>
      <c r="G709" s="216"/>
      <c r="H709" s="216"/>
      <c r="I709" s="216"/>
      <c r="J709" s="216"/>
      <c r="K709" s="216"/>
      <c r="L709" s="216"/>
      <c r="M709" s="216"/>
      <c r="N709" s="216"/>
      <c r="O709" s="216"/>
      <c r="P709" s="216"/>
    </row>
    <row r="710" spans="2:16" x14ac:dyDescent="0.3">
      <c r="B710" t="s">
        <v>447</v>
      </c>
      <c r="F710" s="216">
        <f>IF(P540=0,0,$F$540*$I$21*-1)</f>
        <v>0</v>
      </c>
      <c r="G710" s="216"/>
      <c r="H710" s="216"/>
      <c r="I710" s="216"/>
      <c r="J710" s="216"/>
      <c r="K710" s="216"/>
      <c r="L710" s="216"/>
      <c r="M710" s="216"/>
      <c r="N710" s="216"/>
      <c r="O710" s="216"/>
      <c r="P710" s="216"/>
    </row>
    <row r="711" spans="2:16" x14ac:dyDescent="0.3">
      <c r="F711" s="216"/>
      <c r="G711" s="216"/>
      <c r="H711" s="216"/>
      <c r="I711" s="216"/>
      <c r="J711" s="216"/>
      <c r="K711" s="216"/>
      <c r="L711" s="216"/>
      <c r="M711" s="216"/>
      <c r="N711" s="216"/>
      <c r="O711" s="216"/>
      <c r="P711" s="216"/>
    </row>
    <row r="712" spans="2:16" x14ac:dyDescent="0.3">
      <c r="B712" t="s">
        <v>448</v>
      </c>
      <c r="F712" s="216"/>
      <c r="G712" s="216">
        <f t="shared" ref="G712:P712" si="364">G185-G272</f>
        <v>0</v>
      </c>
      <c r="H712" s="216">
        <f t="shared" si="364"/>
        <v>0</v>
      </c>
      <c r="I712" s="216">
        <f t="shared" si="364"/>
        <v>0</v>
      </c>
      <c r="J712" s="216">
        <f t="shared" si="364"/>
        <v>0</v>
      </c>
      <c r="K712" s="216">
        <f t="shared" si="364"/>
        <v>0</v>
      </c>
      <c r="L712" s="216">
        <f t="shared" si="364"/>
        <v>17.65772416341331</v>
      </c>
      <c r="M712" s="216">
        <f t="shared" si="364"/>
        <v>11.253299106212701</v>
      </c>
      <c r="N712" s="216">
        <f t="shared" si="364"/>
        <v>3.8696395803192072</v>
      </c>
      <c r="O712" s="216">
        <f t="shared" si="364"/>
        <v>0</v>
      </c>
      <c r="P712" s="216">
        <f t="shared" si="364"/>
        <v>0</v>
      </c>
    </row>
    <row r="713" spans="2:16" x14ac:dyDescent="0.3">
      <c r="B713" t="s">
        <v>449</v>
      </c>
      <c r="F713" s="216"/>
      <c r="G713" s="216">
        <f t="shared" ref="G713:P713" si="365">G503+G504</f>
        <v>0</v>
      </c>
      <c r="H713" s="216">
        <f t="shared" si="365"/>
        <v>0</v>
      </c>
      <c r="I713" s="216">
        <f t="shared" si="365"/>
        <v>0</v>
      </c>
      <c r="J713" s="216">
        <f t="shared" si="365"/>
        <v>85.545253270590649</v>
      </c>
      <c r="K713" s="216">
        <f t="shared" si="365"/>
        <v>103.40297048238024</v>
      </c>
      <c r="L713" s="216">
        <f t="shared" si="365"/>
        <v>91.491786531437256</v>
      </c>
      <c r="M713" s="216">
        <f t="shared" si="365"/>
        <v>105.48085036990705</v>
      </c>
      <c r="N713" s="216">
        <f t="shared" si="365"/>
        <v>55.280565433131528</v>
      </c>
      <c r="O713" s="216">
        <f t="shared" si="365"/>
        <v>0</v>
      </c>
      <c r="P713" s="216">
        <f t="shared" si="365"/>
        <v>0</v>
      </c>
    </row>
    <row r="714" spans="2:16" x14ac:dyDescent="0.3">
      <c r="F714" s="216"/>
      <c r="G714" s="216"/>
      <c r="H714" s="216"/>
      <c r="I714" s="216"/>
      <c r="J714" s="216"/>
      <c r="K714" s="216"/>
      <c r="L714" s="216"/>
      <c r="M714" s="216"/>
      <c r="N714" s="216"/>
      <c r="O714" s="216"/>
      <c r="P714" s="216"/>
    </row>
    <row r="715" spans="2:16" x14ac:dyDescent="0.3">
      <c r="B715" t="s">
        <v>450</v>
      </c>
      <c r="F715" s="216"/>
      <c r="G715" s="216">
        <f t="shared" ref="G715:P715" si="366">G505</f>
        <v>341.15880000000004</v>
      </c>
      <c r="H715" s="216">
        <f t="shared" si="366"/>
        <v>365.03991600000006</v>
      </c>
      <c r="I715" s="216">
        <f t="shared" si="366"/>
        <v>390.59271012000005</v>
      </c>
      <c r="J715" s="216">
        <f t="shared" si="366"/>
        <v>332.38894655780939</v>
      </c>
      <c r="K715" s="216">
        <f t="shared" si="366"/>
        <v>252.25320233447582</v>
      </c>
      <c r="L715" s="216">
        <f t="shared" si="366"/>
        <v>160.76141580303857</v>
      </c>
      <c r="M715" s="216">
        <f t="shared" si="366"/>
        <v>55.280565433131528</v>
      </c>
      <c r="N715" s="216">
        <f t="shared" si="366"/>
        <v>0</v>
      </c>
      <c r="O715" s="216">
        <f t="shared" si="366"/>
        <v>0</v>
      </c>
      <c r="P715" s="216">
        <f t="shared" si="366"/>
        <v>0</v>
      </c>
    </row>
    <row r="716" spans="2:16" x14ac:dyDescent="0.3">
      <c r="F716" s="216"/>
      <c r="G716" s="216"/>
      <c r="H716" s="216"/>
      <c r="I716" s="216"/>
      <c r="J716" s="216"/>
      <c r="K716" s="216"/>
      <c r="L716" s="216"/>
      <c r="M716" s="216"/>
      <c r="N716" s="216"/>
      <c r="O716" s="216"/>
      <c r="P716" s="216"/>
    </row>
    <row r="717" spans="2:16" x14ac:dyDescent="0.3">
      <c r="B717" t="s">
        <v>441</v>
      </c>
      <c r="F717" s="216"/>
      <c r="G717" s="216">
        <f t="shared" ref="G717:P717" si="367">$H$540*$I$21*-1</f>
        <v>-19.694400000000002</v>
      </c>
      <c r="H717" s="216">
        <f t="shared" si="367"/>
        <v>-19.694400000000002</v>
      </c>
      <c r="I717" s="216">
        <f t="shared" si="367"/>
        <v>-19.694400000000002</v>
      </c>
      <c r="J717" s="216">
        <f t="shared" si="367"/>
        <v>-19.694400000000002</v>
      </c>
      <c r="K717" s="216">
        <f t="shared" si="367"/>
        <v>-19.694400000000002</v>
      </c>
      <c r="L717" s="216">
        <f t="shared" si="367"/>
        <v>-19.694400000000002</v>
      </c>
      <c r="M717" s="216">
        <f t="shared" si="367"/>
        <v>-19.694400000000002</v>
      </c>
      <c r="N717" s="216">
        <f t="shared" si="367"/>
        <v>-19.694400000000002</v>
      </c>
      <c r="O717" s="216">
        <f t="shared" si="367"/>
        <v>-19.694400000000002</v>
      </c>
      <c r="P717" s="216">
        <f t="shared" si="367"/>
        <v>-19.694400000000002</v>
      </c>
    </row>
    <row r="718" spans="2:16" x14ac:dyDescent="0.3">
      <c r="B718" t="s">
        <v>442</v>
      </c>
      <c r="F718" s="216"/>
      <c r="G718" s="216">
        <f t="shared" ref="G718:P718" si="368">G562*$P$540</f>
        <v>19.734743361467491</v>
      </c>
      <c r="H718" s="216">
        <f t="shared" si="368"/>
        <v>26.15199280123672</v>
      </c>
      <c r="I718" s="216">
        <f t="shared" si="368"/>
        <v>33.42929856287472</v>
      </c>
      <c r="J718" s="216">
        <f t="shared" si="368"/>
        <v>40.814671562048396</v>
      </c>
      <c r="K718" s="216">
        <f t="shared" si="368"/>
        <v>49.074360804643383</v>
      </c>
      <c r="L718" s="216">
        <f t="shared" si="368"/>
        <v>58.288457324111555</v>
      </c>
      <c r="M718" s="216">
        <f t="shared" si="368"/>
        <v>66.826241467431714</v>
      </c>
      <c r="N718" s="216">
        <f t="shared" si="368"/>
        <v>75.312087268449375</v>
      </c>
      <c r="O718" s="216">
        <f t="shared" si="368"/>
        <v>84.585768549437589</v>
      </c>
      <c r="P718" s="216">
        <f t="shared" si="368"/>
        <v>94.506856036926607</v>
      </c>
    </row>
    <row r="721" spans="2:16" x14ac:dyDescent="0.3">
      <c r="B721" s="55" t="str">
        <f>_xlfn.CONCAT("Returns to ",$F$16," (Assuming ", ROUND($P$540*100,1),"% Ownership)")</f>
        <v>Returns to Subordinated Debt (Assuming 3.4% Ownership)</v>
      </c>
      <c r="G721" s="409" t="str">
        <f>_xlfn.CONCAT("For the Fiscal Year Ending ",LBO!$Y$13)</f>
        <v>For the Fiscal Year Ending December 31,</v>
      </c>
      <c r="H721" s="409"/>
      <c r="I721" s="409"/>
      <c r="J721" s="409"/>
      <c r="K721" s="409"/>
      <c r="L721" s="409"/>
      <c r="M721" s="409"/>
      <c r="N721" s="409"/>
      <c r="O721" s="409"/>
      <c r="P721" s="409"/>
    </row>
    <row r="722" spans="2:16" x14ac:dyDescent="0.3">
      <c r="E722" s="187" t="s">
        <v>440</v>
      </c>
      <c r="F722" s="187" t="s">
        <v>176</v>
      </c>
      <c r="G722" s="109">
        <f>G708</f>
        <v>2024</v>
      </c>
      <c r="H722" s="109">
        <f t="shared" ref="H722:P722" si="369">H708</f>
        <v>2025</v>
      </c>
      <c r="I722" s="109">
        <f t="shared" si="369"/>
        <v>2026</v>
      </c>
      <c r="J722" s="109">
        <f t="shared" si="369"/>
        <v>2027</v>
      </c>
      <c r="K722" s="193">
        <f t="shared" si="369"/>
        <v>2028</v>
      </c>
      <c r="L722" s="109">
        <f t="shared" si="369"/>
        <v>2029</v>
      </c>
      <c r="M722" s="109">
        <f t="shared" si="369"/>
        <v>2030</v>
      </c>
      <c r="N722" s="109">
        <f t="shared" si="369"/>
        <v>2031</v>
      </c>
      <c r="O722" s="109">
        <f t="shared" si="369"/>
        <v>2032</v>
      </c>
      <c r="P722" s="109">
        <f t="shared" si="369"/>
        <v>2033</v>
      </c>
    </row>
    <row r="723" spans="2:16" x14ac:dyDescent="0.3">
      <c r="K723" s="183"/>
    </row>
    <row r="724" spans="2:16" x14ac:dyDescent="0.3">
      <c r="B724" t="str">
        <f>_xlfn.CONCAT("IRR for Exit in ",$Y$12)</f>
        <v>IRR for Exit in 2024</v>
      </c>
      <c r="E724" s="133">
        <f>IFERROR(IRR(F724:P724),"NA")</f>
        <v>7.0126531681933058E-2</v>
      </c>
      <c r="F724" s="216">
        <f t="shared" ref="F724:F733" si="370">SUM($F$709:$F$710)</f>
        <v>-318.84000000000003</v>
      </c>
      <c r="G724" s="216">
        <f>SUM(G712:G718)</f>
        <v>341.19914336146758</v>
      </c>
      <c r="H724" s="216"/>
      <c r="I724" s="216"/>
      <c r="J724" s="216"/>
      <c r="K724" s="295"/>
      <c r="L724" s="216"/>
      <c r="M724" s="216"/>
      <c r="N724" s="216"/>
      <c r="O724" s="216"/>
      <c r="P724" s="216"/>
    </row>
    <row r="725" spans="2:16" x14ac:dyDescent="0.3">
      <c r="B725" t="str">
        <f>"IRR for Exit in "&amp;$Y$12+1</f>
        <v>IRR for Exit in 2025</v>
      </c>
      <c r="E725" s="133">
        <f t="shared" ref="E725:E727" si="371">IFERROR(IRR(F725:P725),"NA")</f>
        <v>7.9422714261933036E-2</v>
      </c>
      <c r="F725" s="216">
        <f t="shared" si="370"/>
        <v>-318.84000000000003</v>
      </c>
      <c r="G725" s="216">
        <f t="shared" ref="G725:G733" si="372">G$712+G$713</f>
        <v>0</v>
      </c>
      <c r="H725" s="216">
        <f>SUM(H712:H718)</f>
        <v>371.49750880123679</v>
      </c>
      <c r="I725" s="216"/>
      <c r="J725" s="216"/>
      <c r="K725" s="295"/>
      <c r="L725" s="216"/>
      <c r="M725" s="216"/>
      <c r="N725" s="216"/>
      <c r="O725" s="216"/>
      <c r="P725" s="216"/>
    </row>
    <row r="726" spans="2:16" x14ac:dyDescent="0.3">
      <c r="B726" t="str">
        <f>"IRR for Exit in "&amp;$Y$12+2</f>
        <v>IRR for Exit in 2026</v>
      </c>
      <c r="E726" s="133">
        <f t="shared" si="371"/>
        <v>8.2397712078511764E-2</v>
      </c>
      <c r="F726" s="216">
        <f t="shared" si="370"/>
        <v>-318.84000000000003</v>
      </c>
      <c r="G726" s="216">
        <f t="shared" si="372"/>
        <v>0</v>
      </c>
      <c r="H726" s="216">
        <f t="shared" ref="H726:H733" si="373">H$712+H$713</f>
        <v>0</v>
      </c>
      <c r="I726" s="216">
        <f>SUM(I712:I718)</f>
        <v>404.32760868287471</v>
      </c>
      <c r="J726" s="216"/>
      <c r="K726" s="295"/>
      <c r="L726" s="216"/>
      <c r="M726" s="216"/>
      <c r="N726" s="216"/>
      <c r="O726" s="216"/>
      <c r="P726" s="216"/>
    </row>
    <row r="727" spans="2:16" x14ac:dyDescent="0.3">
      <c r="B727" t="str">
        <f>"IRR for Exit in "&amp;$Y$12+3</f>
        <v>IRR for Exit in 2027</v>
      </c>
      <c r="E727" s="133">
        <f t="shared" si="371"/>
        <v>8.3269214285408344E-2</v>
      </c>
      <c r="F727" s="216">
        <f t="shared" si="370"/>
        <v>-318.84000000000003</v>
      </c>
      <c r="G727" s="216">
        <f t="shared" si="372"/>
        <v>0</v>
      </c>
      <c r="H727" s="216">
        <f t="shared" si="373"/>
        <v>0</v>
      </c>
      <c r="I727" s="216">
        <f t="shared" ref="I727:I733" si="374">I$712+I$713</f>
        <v>0</v>
      </c>
      <c r="J727" s="216">
        <f>SUM(J712:J718)</f>
        <v>439.05447139044838</v>
      </c>
      <c r="K727" s="295"/>
      <c r="L727" s="216"/>
      <c r="M727" s="216"/>
      <c r="N727" s="216"/>
      <c r="O727" s="216"/>
      <c r="P727" s="216"/>
    </row>
    <row r="728" spans="2:16" x14ac:dyDescent="0.3">
      <c r="B728" s="70" t="str">
        <f>"IRR for Exit in "&amp;$Y$12+4</f>
        <v>IRR for Exit in 2028</v>
      </c>
      <c r="C728" s="70"/>
      <c r="D728" s="70"/>
      <c r="E728" s="189">
        <f>IFERROR(IRR(F728:P728),"NA")</f>
        <v>8.4258210774800668E-2</v>
      </c>
      <c r="F728" s="293">
        <f t="shared" si="370"/>
        <v>-318.84000000000003</v>
      </c>
      <c r="G728" s="293">
        <f t="shared" si="372"/>
        <v>0</v>
      </c>
      <c r="H728" s="293">
        <f t="shared" si="373"/>
        <v>0</v>
      </c>
      <c r="I728" s="293">
        <f t="shared" si="374"/>
        <v>0</v>
      </c>
      <c r="J728" s="293">
        <f t="shared" ref="J728:J733" si="375">J$712+J$713</f>
        <v>85.545253270590649</v>
      </c>
      <c r="K728" s="297">
        <f>SUM(K712:K718)</f>
        <v>385.03613362149946</v>
      </c>
      <c r="L728" s="216"/>
      <c r="M728" s="216"/>
      <c r="N728" s="216"/>
      <c r="O728" s="216"/>
      <c r="P728" s="216"/>
    </row>
    <row r="729" spans="2:16" x14ac:dyDescent="0.3">
      <c r="B729" t="str">
        <f>"IRR for Exit in "&amp;$Y$12+5</f>
        <v>IRR for Exit in 2029</v>
      </c>
      <c r="E729" s="133">
        <f t="shared" ref="E729:E732" si="376">IFERROR(IRR(F729:P729),"NA")</f>
        <v>8.5473291420503861E-2</v>
      </c>
      <c r="F729" s="216">
        <f t="shared" si="370"/>
        <v>-318.84000000000003</v>
      </c>
      <c r="G729" s="216">
        <f t="shared" si="372"/>
        <v>0</v>
      </c>
      <c r="H729" s="216">
        <f t="shared" si="373"/>
        <v>0</v>
      </c>
      <c r="I729" s="216">
        <f t="shared" si="374"/>
        <v>0</v>
      </c>
      <c r="J729" s="216">
        <f t="shared" si="375"/>
        <v>85.545253270590649</v>
      </c>
      <c r="K729" s="216">
        <f>K$712+K$713</f>
        <v>103.40297048238024</v>
      </c>
      <c r="L729" s="216">
        <f>SUM(L712:L718)</f>
        <v>308.50498382200067</v>
      </c>
      <c r="M729" s="216"/>
      <c r="N729" s="216"/>
      <c r="O729" s="216"/>
      <c r="P729" s="216"/>
    </row>
    <row r="730" spans="2:16" x14ac:dyDescent="0.3">
      <c r="B730" t="str">
        <f>"IRR for Exit in "&amp;$Y$12+6</f>
        <v>IRR for Exit in 2030</v>
      </c>
      <c r="E730" s="133">
        <f t="shared" si="376"/>
        <v>8.6383300089964976E-2</v>
      </c>
      <c r="F730" s="216">
        <f t="shared" si="370"/>
        <v>-318.84000000000003</v>
      </c>
      <c r="G730" s="216">
        <f t="shared" si="372"/>
        <v>0</v>
      </c>
      <c r="H730" s="216">
        <f t="shared" si="373"/>
        <v>0</v>
      </c>
      <c r="I730" s="216">
        <f t="shared" si="374"/>
        <v>0</v>
      </c>
      <c r="J730" s="216">
        <f t="shared" si="375"/>
        <v>85.545253270590649</v>
      </c>
      <c r="K730" s="216">
        <f>K$712+K$713</f>
        <v>103.40297048238024</v>
      </c>
      <c r="L730" s="216">
        <f>L$712+L$713</f>
        <v>109.14951069485056</v>
      </c>
      <c r="M730" s="216">
        <f>SUM(M712:M718)</f>
        <v>219.14655637668298</v>
      </c>
      <c r="N730" s="216"/>
      <c r="O730" s="216"/>
      <c r="P730" s="216"/>
    </row>
    <row r="731" spans="2:16" x14ac:dyDescent="0.3">
      <c r="B731" t="str">
        <f>"IRR for Exit in "&amp;$Y$12+7</f>
        <v>IRR for Exit in 2031</v>
      </c>
      <c r="E731" s="133">
        <f t="shared" si="376"/>
        <v>8.7411996048839313E-2</v>
      </c>
      <c r="F731" s="216">
        <f t="shared" si="370"/>
        <v>-318.84000000000003</v>
      </c>
      <c r="G731" s="216">
        <f t="shared" si="372"/>
        <v>0</v>
      </c>
      <c r="H731" s="216">
        <f t="shared" si="373"/>
        <v>0</v>
      </c>
      <c r="I731" s="216">
        <f t="shared" si="374"/>
        <v>0</v>
      </c>
      <c r="J731" s="216">
        <f t="shared" si="375"/>
        <v>85.545253270590649</v>
      </c>
      <c r="K731" s="216">
        <f>K$712+K$713</f>
        <v>103.40297048238024</v>
      </c>
      <c r="L731" s="216">
        <f>L$712+L$713</f>
        <v>109.14951069485056</v>
      </c>
      <c r="M731" s="216">
        <f>M$712+M$713</f>
        <v>116.73414947611974</v>
      </c>
      <c r="N731" s="216">
        <f>SUM(N712:N718)</f>
        <v>114.76789228190012</v>
      </c>
      <c r="O731" s="216"/>
      <c r="P731" s="216"/>
    </row>
    <row r="732" spans="2:16" x14ac:dyDescent="0.3">
      <c r="B732" t="str">
        <f>"IRR for Exit in "&amp;$Y$12+8</f>
        <v>IRR for Exit in 2032</v>
      </c>
      <c r="E732" s="133">
        <f t="shared" si="376"/>
        <v>8.8572662143672432E-2</v>
      </c>
      <c r="F732" s="216">
        <f t="shared" si="370"/>
        <v>-318.84000000000003</v>
      </c>
      <c r="G732" s="216">
        <f t="shared" si="372"/>
        <v>0</v>
      </c>
      <c r="H732" s="216">
        <f t="shared" si="373"/>
        <v>0</v>
      </c>
      <c r="I732" s="216">
        <f t="shared" si="374"/>
        <v>0</v>
      </c>
      <c r="J732" s="216">
        <f t="shared" si="375"/>
        <v>85.545253270590649</v>
      </c>
      <c r="K732" s="216">
        <f>K$712+K$713</f>
        <v>103.40297048238024</v>
      </c>
      <c r="L732" s="216">
        <f>L$712+L$713</f>
        <v>109.14951069485056</v>
      </c>
      <c r="M732" s="216">
        <f>M$712+M$713</f>
        <v>116.73414947611974</v>
      </c>
      <c r="N732" s="216">
        <f>N$712+N$713</f>
        <v>59.150205013450737</v>
      </c>
      <c r="O732" s="216">
        <f>SUM(O712:O718)</f>
        <v>64.891368549437587</v>
      </c>
      <c r="P732" s="216"/>
    </row>
    <row r="733" spans="2:16" x14ac:dyDescent="0.3">
      <c r="B733" t="str">
        <f>"IRR for Exit in "&amp;$Y$12+9</f>
        <v>IRR for Exit in 2033</v>
      </c>
      <c r="E733" s="133">
        <f>IFERROR(IRR(F733:P733),"NA")</f>
        <v>8.9554721569526929E-2</v>
      </c>
      <c r="F733" s="216">
        <f t="shared" si="370"/>
        <v>-318.84000000000003</v>
      </c>
      <c r="G733" s="216">
        <f t="shared" si="372"/>
        <v>0</v>
      </c>
      <c r="H733" s="216">
        <f t="shared" si="373"/>
        <v>0</v>
      </c>
      <c r="I733" s="216">
        <f t="shared" si="374"/>
        <v>0</v>
      </c>
      <c r="J733" s="216">
        <f t="shared" si="375"/>
        <v>85.545253270590649</v>
      </c>
      <c r="K733" s="216">
        <f>K$712+K$713</f>
        <v>103.40297048238024</v>
      </c>
      <c r="L733" s="216">
        <f>L$712+L$713</f>
        <v>109.14951069485056</v>
      </c>
      <c r="M733" s="216">
        <f>M$712+M$713</f>
        <v>116.73414947611974</v>
      </c>
      <c r="N733" s="216">
        <f>N$712+N$713</f>
        <v>59.150205013450737</v>
      </c>
      <c r="O733" s="216">
        <f>O$712+O$713</f>
        <v>0</v>
      </c>
      <c r="P733" s="216">
        <f>SUM(P712:P718)</f>
        <v>74.812456036926605</v>
      </c>
    </row>
    <row r="734" spans="2:16" x14ac:dyDescent="0.3">
      <c r="F734" s="216"/>
    </row>
    <row r="736" spans="2:16" x14ac:dyDescent="0.3">
      <c r="B736" s="55" t="str">
        <f>"Sensitivity Analysis of "&amp;$F$16&amp;"holders' "&amp;$Q$16 &amp;" IRR"</f>
        <v>Sensitivity Analysis of Subordinated Debtholders' 2028 IRR</v>
      </c>
    </row>
    <row r="738" spans="3:12" x14ac:dyDescent="0.3">
      <c r="C738" s="55" t="str">
        <f>"IRR ("&amp;$Q$16&amp;")"</f>
        <v>IRR (2028)</v>
      </c>
    </row>
    <row r="739" spans="3:12" x14ac:dyDescent="0.3">
      <c r="G739" s="406" t="str">
        <f>"Fully Diluted Equity to "&amp;$F$16&amp;"holders"</f>
        <v>Fully Diluted Equity to Subordinated Debtholders</v>
      </c>
      <c r="H739" s="406"/>
      <c r="I739" s="406"/>
      <c r="J739" s="406"/>
      <c r="K739" s="406"/>
      <c r="L739" s="406"/>
    </row>
    <row r="740" spans="3:12" x14ac:dyDescent="0.3">
      <c r="G740" s="191">
        <f>MAX(H740-$Y$21,0)</f>
        <v>4.389140271493213E-3</v>
      </c>
      <c r="H740" s="191">
        <f>MAX(I740-$Y$21,0)</f>
        <v>1.4389140271493213E-2</v>
      </c>
      <c r="I740" s="191">
        <f>MAX(J740-$Y$21,0)</f>
        <v>2.4389140271493213E-2</v>
      </c>
      <c r="J740" s="191">
        <f>$P$540</f>
        <v>3.4389140271493215E-2</v>
      </c>
      <c r="K740" s="191">
        <f>J740+$Y$21</f>
        <v>4.4389140271493217E-2</v>
      </c>
      <c r="L740" s="191">
        <f>K740+$Y$21</f>
        <v>5.4389140271493219E-2</v>
      </c>
    </row>
    <row r="741" spans="3:12" x14ac:dyDescent="0.3">
      <c r="F741" s="192">
        <f>F742-$Y$19</f>
        <v>9</v>
      </c>
      <c r="G741" s="120">
        <f>IF($I$16=0,"NA",IRR(($F$728:$J$728,G751)))</f>
        <v>6.2749431907568765E-2</v>
      </c>
      <c r="H741" s="120">
        <f>IF($I$16=0,"NA",IRR(($F$728:$J$728,H751)))</f>
        <v>6.8950762840837676E-2</v>
      </c>
      <c r="I741" s="120">
        <f>IF($I$16=0,"NA",IRR(($F$728:$J$728,I751)))</f>
        <v>7.5005554417133746E-2</v>
      </c>
      <c r="J741" s="197">
        <f>IF($I$16=0,"NA",IRR(($F$728:$J$728,J751)))</f>
        <v>8.0921472216316959E-2</v>
      </c>
      <c r="K741" s="120">
        <f>IF($I$16=0,"NA",IRR(($F$728:$J$728,K751)))</f>
        <v>8.6705571456107355E-2</v>
      </c>
      <c r="L741" s="120">
        <f>IF($I$16=0,"NA",IRR(($F$728:$J$728,L751)))</f>
        <v>9.236436148940097E-2</v>
      </c>
    </row>
    <row r="742" spans="3:12" x14ac:dyDescent="0.3">
      <c r="E742" s="149" t="s">
        <v>444</v>
      </c>
      <c r="F742" s="192">
        <f>F743-$Y$19</f>
        <v>9.5</v>
      </c>
      <c r="G742" s="120">
        <f>IF($I$16=0,"NA",IRR(($F$728:$J$728,G752)))</f>
        <v>6.2979335920949842E-2</v>
      </c>
      <c r="H742" s="120">
        <f>IF($I$16=0,"NA",IRR(($F$728:$J$728,H752)))</f>
        <v>6.9685665103308647E-2</v>
      </c>
      <c r="I742" s="120">
        <f>IF($I$16=0,"NA",IRR(($F$728:$J$728,I752)))</f>
        <v>7.6221077240374857E-2</v>
      </c>
      <c r="J742" s="198">
        <f>IF($I$16=0,"NA",IRR(($F$728:$J$728,J752)))</f>
        <v>8.2595192716115706E-2</v>
      </c>
      <c r="K742" s="120">
        <f>IF($I$16=0,"NA",IRR(($F$728:$J$728,K752)))</f>
        <v>8.8816809528917684E-2</v>
      </c>
      <c r="L742" s="120">
        <f>IF($I$16=0,"NA",IRR(($F$728:$J$728,L752)))</f>
        <v>9.4893996332326092E-2</v>
      </c>
    </row>
    <row r="743" spans="3:12" x14ac:dyDescent="0.3">
      <c r="E743" s="149" t="s">
        <v>99</v>
      </c>
      <c r="F743" s="192">
        <f>$Y$18</f>
        <v>10</v>
      </c>
      <c r="G743" s="194">
        <f>IF($I$16=0,"NA",IRR(($F$728:$J$728,G753)))</f>
        <v>6.3209032498319662E-2</v>
      </c>
      <c r="H743" s="195">
        <f>IF($I$16=0,"NA",IRR(($F$728:$J$728,H753)))</f>
        <v>7.0418467480259483E-2</v>
      </c>
      <c r="I743" s="195">
        <f>IF($I$16=0,"NA",IRR(($F$728:$J$728,I753)))</f>
        <v>7.743090661158325E-2</v>
      </c>
      <c r="J743" s="199">
        <f>IF($I$16=0,"NA",IRR(($F$728:$J$728,J753)))</f>
        <v>8.4258210774800668E-2</v>
      </c>
      <c r="K743" s="195">
        <f>IF($I$16=0,"NA",IRR(($F$728:$J$728,K753)))</f>
        <v>9.0911158665595071E-2</v>
      </c>
      <c r="L743" s="196">
        <f>IF($I$16=0,"NA",IRR(($F$728:$J$728,L753)))</f>
        <v>9.7399577166245255E-2</v>
      </c>
    </row>
    <row r="744" spans="3:12" x14ac:dyDescent="0.3">
      <c r="E744" s="149" t="s">
        <v>445</v>
      </c>
      <c r="F744" s="192">
        <f>F743+$Y$19</f>
        <v>10.5</v>
      </c>
      <c r="G744" s="120">
        <f>IF($I$16=0,"NA",IRR(($F$728:$J$728,G754)))</f>
        <v>6.3438522066201042E-2</v>
      </c>
      <c r="H744" s="120">
        <f>IF($I$16=0,"NA",IRR(($F$728:$J$728,H754)))</f>
        <v>7.1149183606324495E-2</v>
      </c>
      <c r="I744" s="120">
        <f>IF($I$16=0,"NA",IRR(($F$728:$J$728,I754)))</f>
        <v>7.8635102969827786E-2</v>
      </c>
      <c r="J744" s="198">
        <f>IF($I$16=0,"NA",IRR(($F$728:$J$728,J754)))</f>
        <v>8.5910681107346676E-2</v>
      </c>
      <c r="K744" s="120">
        <f>IF($I$16=0,"NA",IRR(($F$728:$J$728,K754)))</f>
        <v>9.2988923590172634E-2</v>
      </c>
      <c r="L744" s="120">
        <f>IF($I$16=0,"NA",IRR(($F$728:$J$728,L754)))</f>
        <v>9.9881618745178979E-2</v>
      </c>
    </row>
    <row r="745" spans="3:12" x14ac:dyDescent="0.3">
      <c r="F745" s="192">
        <f>F744+$Y$19</f>
        <v>11</v>
      </c>
      <c r="G745" s="120">
        <f>IF($I$16=0,"NA",IRR(($F$728:$J$728,G755)))</f>
        <v>6.3667805049743009E-2</v>
      </c>
      <c r="H745" s="120">
        <f>IF($I$16=0,"NA",IRR(($F$728:$J$728,H755)))</f>
        <v>7.1877826977903236E-2</v>
      </c>
      <c r="I745" s="120">
        <f>IF($I$16=0,"NA",IRR(($F$728:$J$728,I755)))</f>
        <v>7.9833725754814955E-2</v>
      </c>
      <c r="J745" s="200">
        <f>IF($I$16=0,"NA",IRR(($F$728:$J$728,J755)))</f>
        <v>8.7552754953259759E-2</v>
      </c>
      <c r="K745" s="120">
        <f>IF($I$16=0,"NA",IRR(($F$728:$J$728,K755)))</f>
        <v>9.505040050168545E-2</v>
      </c>
      <c r="L745" s="120">
        <f>IF($I$16=0,"NA",IRR(($F$728:$J$728,L755)))</f>
        <v>0.10234061879568057</v>
      </c>
    </row>
    <row r="748" spans="3:12" x14ac:dyDescent="0.3">
      <c r="C748" s="55" t="str">
        <f>"Total Cash Flows at Exit Year ("&amp;$Q$16&amp;")"</f>
        <v>Total Cash Flows at Exit Year (2028)</v>
      </c>
    </row>
    <row r="749" spans="3:12" x14ac:dyDescent="0.3">
      <c r="G749" s="406" t="str">
        <f>"Fully Diluted Equity to "&amp;$F$16&amp;"holders"</f>
        <v>Fully Diluted Equity to Subordinated Debtholders</v>
      </c>
      <c r="H749" s="406"/>
      <c r="I749" s="406"/>
      <c r="J749" s="406"/>
      <c r="K749" s="406"/>
      <c r="L749" s="406"/>
    </row>
    <row r="750" spans="3:12" x14ac:dyDescent="0.3">
      <c r="G750" s="191">
        <f>MAX(H750-$Y$21,0)</f>
        <v>4.389140271493213E-3</v>
      </c>
      <c r="H750" s="191">
        <f>MAX(I750-$Y$21,0)</f>
        <v>1.4389140271493213E-2</v>
      </c>
      <c r="I750" s="191">
        <f>MAX(J750-$Y$21,0)</f>
        <v>2.4389140271493213E-2</v>
      </c>
      <c r="J750" s="191">
        <f>$P$540</f>
        <v>3.4389140271493215E-2</v>
      </c>
      <c r="K750" s="191">
        <f>J750+$Y$21</f>
        <v>4.4389140271493217E-2</v>
      </c>
      <c r="L750" s="191">
        <f>K750+$Y$21</f>
        <v>5.4389140271493219E-2</v>
      </c>
    </row>
    <row r="751" spans="3:12" x14ac:dyDescent="0.3">
      <c r="F751" s="192">
        <f>F752-$Y$19</f>
        <v>9</v>
      </c>
      <c r="G751" s="2">
        <f t="shared" ref="G751:L755" si="377">($K$562+($K$551*($F751-$F$753)))*G$750+SUM($K$712:$K$717)</f>
        <v>341.32907339317222</v>
      </c>
      <c r="H751" s="2">
        <f t="shared" si="377"/>
        <v>353.55766542787194</v>
      </c>
      <c r="I751" s="2">
        <f t="shared" si="377"/>
        <v>365.7862574625716</v>
      </c>
      <c r="J751" s="202">
        <f t="shared" si="377"/>
        <v>378.01484949727131</v>
      </c>
      <c r="K751" s="2">
        <f t="shared" si="377"/>
        <v>390.24344153197103</v>
      </c>
      <c r="L751" s="2">
        <f t="shared" si="377"/>
        <v>402.47203356667069</v>
      </c>
    </row>
    <row r="752" spans="3:12" x14ac:dyDescent="0.3">
      <c r="E752" s="149" t="s">
        <v>444</v>
      </c>
      <c r="F752" s="192">
        <f>F753-$Y$19</f>
        <v>9.5</v>
      </c>
      <c r="G752" s="2">
        <f t="shared" si="377"/>
        <v>341.77714218267892</v>
      </c>
      <c r="H752" s="2">
        <f t="shared" si="377"/>
        <v>355.02659197491437</v>
      </c>
      <c r="I752" s="2">
        <f t="shared" si="377"/>
        <v>368.27604176714988</v>
      </c>
      <c r="J752" s="203">
        <f t="shared" si="377"/>
        <v>381.52549155938539</v>
      </c>
      <c r="K752" s="2">
        <f t="shared" si="377"/>
        <v>394.7749413516209</v>
      </c>
      <c r="L752" s="2">
        <f t="shared" si="377"/>
        <v>408.02439114385641</v>
      </c>
    </row>
    <row r="753" spans="2:16" x14ac:dyDescent="0.3">
      <c r="E753" s="149" t="s">
        <v>99</v>
      </c>
      <c r="F753" s="192">
        <f>$Y$18</f>
        <v>10</v>
      </c>
      <c r="G753" s="201">
        <f t="shared" si="377"/>
        <v>342.22521097218555</v>
      </c>
      <c r="H753" s="188">
        <f t="shared" si="377"/>
        <v>356.49551852195685</v>
      </c>
      <c r="I753" s="188">
        <f t="shared" si="377"/>
        <v>370.76582607172816</v>
      </c>
      <c r="J753" s="204">
        <f t="shared" si="377"/>
        <v>385.03613362149946</v>
      </c>
      <c r="K753" s="188">
        <f t="shared" si="377"/>
        <v>399.30644117127076</v>
      </c>
      <c r="L753" s="71">
        <f t="shared" si="377"/>
        <v>413.57674872104207</v>
      </c>
    </row>
    <row r="754" spans="2:16" x14ac:dyDescent="0.3">
      <c r="E754" s="149" t="s">
        <v>445</v>
      </c>
      <c r="F754" s="192">
        <f>F753+$Y$19</f>
        <v>10.5</v>
      </c>
      <c r="G754" s="2">
        <f t="shared" si="377"/>
        <v>342.67327976169224</v>
      </c>
      <c r="H754" s="2">
        <f t="shared" si="377"/>
        <v>357.96444506899934</v>
      </c>
      <c r="I754" s="2">
        <f t="shared" si="377"/>
        <v>373.25561037630644</v>
      </c>
      <c r="J754" s="203">
        <f t="shared" si="377"/>
        <v>388.54677568361353</v>
      </c>
      <c r="K754" s="2">
        <f t="shared" si="377"/>
        <v>403.83794099092063</v>
      </c>
      <c r="L754" s="2">
        <f t="shared" si="377"/>
        <v>419.12910629822773</v>
      </c>
    </row>
    <row r="755" spans="2:16" x14ac:dyDescent="0.3">
      <c r="F755" s="192">
        <f>F754+$Y$19</f>
        <v>11</v>
      </c>
      <c r="G755" s="2">
        <f t="shared" si="377"/>
        <v>343.12134855119888</v>
      </c>
      <c r="H755" s="2">
        <f t="shared" si="377"/>
        <v>359.43337161604177</v>
      </c>
      <c r="I755" s="2">
        <f t="shared" si="377"/>
        <v>375.74539468088471</v>
      </c>
      <c r="J755" s="205">
        <f t="shared" si="377"/>
        <v>392.05741774572761</v>
      </c>
      <c r="K755" s="2">
        <f t="shared" si="377"/>
        <v>408.3694408105705</v>
      </c>
      <c r="L755" s="2">
        <f t="shared" si="377"/>
        <v>424.68146387541344</v>
      </c>
    </row>
    <row r="763" spans="2:16" x14ac:dyDescent="0.3">
      <c r="B763" s="410" t="str">
        <f>"BLENDED RETURNS TO THE HOLDERS OF THE "&amp;UPPER($F$17)</f>
        <v>BLENDED RETURNS TO THE HOLDERS OF THE MEZZANINE</v>
      </c>
      <c r="C763" s="410"/>
      <c r="D763" s="410"/>
      <c r="E763" s="410"/>
      <c r="F763" s="410"/>
      <c r="G763" s="410"/>
      <c r="H763" s="410"/>
      <c r="I763" s="410"/>
      <c r="J763" s="410"/>
      <c r="K763" s="410"/>
      <c r="L763" s="410"/>
      <c r="M763" s="410"/>
      <c r="N763" s="410"/>
      <c r="O763" s="410"/>
      <c r="P763" s="410"/>
    </row>
    <row r="765" spans="2:16" x14ac:dyDescent="0.3">
      <c r="B765" t="str">
        <f>"Cash Flows to the Holders of "&amp;$F$17</f>
        <v>Cash Flows to the Holders of Mezzanine</v>
      </c>
      <c r="G765" s="406" t="str">
        <f>_xlfn.CONCAT("For the Fiscal Year Ending ",LBO!$Y$13)</f>
        <v>For the Fiscal Year Ending December 31,</v>
      </c>
      <c r="H765" s="406"/>
      <c r="I765" s="406"/>
      <c r="J765" s="406"/>
      <c r="K765" s="406"/>
      <c r="L765" s="406"/>
      <c r="M765" s="406"/>
      <c r="N765" s="406"/>
      <c r="O765" s="406"/>
      <c r="P765" s="406"/>
    </row>
    <row r="766" spans="2:16" x14ac:dyDescent="0.3">
      <c r="F766" s="187" t="s">
        <v>176</v>
      </c>
      <c r="G766" s="109">
        <f>$Y$12</f>
        <v>2024</v>
      </c>
      <c r="H766" s="109">
        <f>G766+1</f>
        <v>2025</v>
      </c>
      <c r="I766" s="109">
        <f t="shared" ref="I766:P766" si="378">H766+1</f>
        <v>2026</v>
      </c>
      <c r="J766" s="109">
        <f t="shared" si="378"/>
        <v>2027</v>
      </c>
      <c r="K766" s="109">
        <f t="shared" si="378"/>
        <v>2028</v>
      </c>
      <c r="L766" s="109">
        <f t="shared" si="378"/>
        <v>2029</v>
      </c>
      <c r="M766" s="109">
        <f t="shared" si="378"/>
        <v>2030</v>
      </c>
      <c r="N766" s="109">
        <f t="shared" si="378"/>
        <v>2031</v>
      </c>
      <c r="O766" s="109">
        <f t="shared" si="378"/>
        <v>2032</v>
      </c>
      <c r="P766" s="109">
        <f t="shared" si="378"/>
        <v>2033</v>
      </c>
    </row>
    <row r="767" spans="2:16" x14ac:dyDescent="0.3">
      <c r="B767" t="s">
        <v>446</v>
      </c>
      <c r="F767" s="308">
        <f>I17*-1</f>
        <v>-100</v>
      </c>
      <c r="G767" s="308"/>
      <c r="H767" s="308"/>
      <c r="I767" s="308"/>
      <c r="J767" s="308"/>
      <c r="K767" s="308"/>
      <c r="L767" s="308"/>
      <c r="M767" s="308"/>
      <c r="N767" s="308"/>
      <c r="O767" s="308"/>
      <c r="P767" s="308"/>
    </row>
    <row r="768" spans="2:16" x14ac:dyDescent="0.3">
      <c r="B768" t="s">
        <v>447</v>
      </c>
      <c r="F768" s="308">
        <f>IF(P540=0,0,$I$21*F541*-1)</f>
        <v>0</v>
      </c>
      <c r="G768" s="308"/>
      <c r="H768" s="308"/>
      <c r="I768" s="308"/>
      <c r="J768" s="308"/>
      <c r="K768" s="308"/>
      <c r="L768" s="308"/>
      <c r="M768" s="308"/>
      <c r="N768" s="308"/>
      <c r="O768" s="308"/>
      <c r="P768" s="308"/>
    </row>
    <row r="769" spans="2:16" x14ac:dyDescent="0.3">
      <c r="F769" s="308"/>
      <c r="G769" s="308"/>
      <c r="H769" s="308"/>
      <c r="I769" s="308"/>
      <c r="J769" s="308"/>
      <c r="K769" s="308"/>
      <c r="L769" s="308"/>
      <c r="M769" s="308"/>
      <c r="N769" s="308"/>
      <c r="O769" s="308"/>
      <c r="P769" s="308"/>
    </row>
    <row r="770" spans="2:16" x14ac:dyDescent="0.3">
      <c r="B770" t="s">
        <v>448</v>
      </c>
      <c r="F770" s="308"/>
      <c r="G770" s="308">
        <f t="shared" ref="G770:P770" si="379">G186-G273</f>
        <v>0</v>
      </c>
      <c r="H770" s="308">
        <f t="shared" si="379"/>
        <v>0</v>
      </c>
      <c r="I770" s="308">
        <f t="shared" si="379"/>
        <v>0</v>
      </c>
      <c r="J770" s="308">
        <f t="shared" si="379"/>
        <v>0</v>
      </c>
      <c r="K770" s="308">
        <f t="shared" si="379"/>
        <v>0</v>
      </c>
      <c r="L770" s="308">
        <f t="shared" si="379"/>
        <v>8.0293534655999999</v>
      </c>
      <c r="M770" s="308">
        <f t="shared" si="379"/>
        <v>8.0293534655999999</v>
      </c>
      <c r="N770" s="308">
        <f t="shared" si="379"/>
        <v>8.0293534655999999</v>
      </c>
      <c r="O770" s="308">
        <f t="shared" si="379"/>
        <v>4.0560038310900639</v>
      </c>
      <c r="P770" s="308">
        <f t="shared" si="379"/>
        <v>0</v>
      </c>
    </row>
    <row r="771" spans="2:16" x14ac:dyDescent="0.3">
      <c r="B771" t="s">
        <v>449</v>
      </c>
      <c r="F771" s="308"/>
      <c r="G771" s="308">
        <f t="shared" ref="G771:P771" si="380">G511+G512</f>
        <v>0</v>
      </c>
      <c r="H771" s="308">
        <f t="shared" si="380"/>
        <v>0</v>
      </c>
      <c r="I771" s="308">
        <f t="shared" si="380"/>
        <v>0</v>
      </c>
      <c r="J771" s="308">
        <f t="shared" si="380"/>
        <v>0</v>
      </c>
      <c r="K771" s="308">
        <f t="shared" si="380"/>
        <v>0</v>
      </c>
      <c r="L771" s="308">
        <f t="shared" si="380"/>
        <v>0</v>
      </c>
      <c r="M771" s="308">
        <f t="shared" si="380"/>
        <v>0</v>
      </c>
      <c r="N771" s="308">
        <f t="shared" si="380"/>
        <v>66.222493908498933</v>
      </c>
      <c r="O771" s="308">
        <f t="shared" si="380"/>
        <v>67.600063851501062</v>
      </c>
      <c r="P771" s="308">
        <f t="shared" si="380"/>
        <v>0</v>
      </c>
    </row>
    <row r="772" spans="2:16" x14ac:dyDescent="0.3">
      <c r="F772" s="308"/>
      <c r="G772" s="308"/>
      <c r="H772" s="308"/>
      <c r="I772" s="308"/>
      <c r="J772" s="308"/>
      <c r="K772" s="308"/>
      <c r="L772" s="308"/>
      <c r="M772" s="308"/>
      <c r="N772" s="308"/>
      <c r="O772" s="308"/>
      <c r="P772" s="308"/>
    </row>
    <row r="773" spans="2:16" x14ac:dyDescent="0.3">
      <c r="B773" t="s">
        <v>450</v>
      </c>
      <c r="F773" s="308"/>
      <c r="G773" s="308">
        <f t="shared" ref="G773:P773" si="381">G513</f>
        <v>106</v>
      </c>
      <c r="H773" s="308">
        <f t="shared" si="381"/>
        <v>112.36</v>
      </c>
      <c r="I773" s="308">
        <f t="shared" si="381"/>
        <v>119.1016</v>
      </c>
      <c r="J773" s="308">
        <f t="shared" si="381"/>
        <v>126.247696</v>
      </c>
      <c r="K773" s="308">
        <f t="shared" si="381"/>
        <v>133.82255776</v>
      </c>
      <c r="L773" s="308">
        <f t="shared" si="381"/>
        <v>133.82255776</v>
      </c>
      <c r="M773" s="308">
        <f t="shared" si="381"/>
        <v>133.82255776</v>
      </c>
      <c r="N773" s="308">
        <f t="shared" si="381"/>
        <v>67.600063851501062</v>
      </c>
      <c r="O773" s="308">
        <f t="shared" si="381"/>
        <v>0</v>
      </c>
      <c r="P773" s="308">
        <f t="shared" si="381"/>
        <v>0</v>
      </c>
    </row>
    <row r="774" spans="2:16" x14ac:dyDescent="0.3">
      <c r="F774" s="308"/>
      <c r="G774" s="308"/>
      <c r="H774" s="308"/>
      <c r="I774" s="308"/>
      <c r="J774" s="308"/>
      <c r="K774" s="308"/>
      <c r="L774" s="308"/>
      <c r="M774" s="308"/>
      <c r="N774" s="308"/>
      <c r="O774" s="308"/>
      <c r="P774" s="308"/>
    </row>
    <row r="775" spans="2:16" x14ac:dyDescent="0.3">
      <c r="B775" t="s">
        <v>441</v>
      </c>
      <c r="F775" s="308"/>
      <c r="G775" s="308">
        <f t="shared" ref="G775:P775" si="382">$H$541*$I$21*-1</f>
        <v>0</v>
      </c>
      <c r="H775" s="308">
        <f t="shared" si="382"/>
        <v>0</v>
      </c>
      <c r="I775" s="308">
        <f t="shared" si="382"/>
        <v>0</v>
      </c>
      <c r="J775" s="308">
        <f t="shared" si="382"/>
        <v>0</v>
      </c>
      <c r="K775" s="308">
        <f t="shared" si="382"/>
        <v>0</v>
      </c>
      <c r="L775" s="308">
        <f t="shared" si="382"/>
        <v>0</v>
      </c>
      <c r="M775" s="308">
        <f t="shared" si="382"/>
        <v>0</v>
      </c>
      <c r="N775" s="308">
        <f t="shared" si="382"/>
        <v>0</v>
      </c>
      <c r="O775" s="308">
        <f t="shared" si="382"/>
        <v>0</v>
      </c>
      <c r="P775" s="308">
        <f t="shared" si="382"/>
        <v>0</v>
      </c>
    </row>
    <row r="776" spans="2:16" x14ac:dyDescent="0.3">
      <c r="B776" t="s">
        <v>442</v>
      </c>
      <c r="F776" s="308"/>
      <c r="G776" s="308">
        <f t="shared" ref="G776:P776" si="383">G562*$P$541</f>
        <v>14.801057521100617</v>
      </c>
      <c r="H776" s="308">
        <f t="shared" si="383"/>
        <v>19.613994600927537</v>
      </c>
      <c r="I776" s="308">
        <f t="shared" si="383"/>
        <v>25.071973922156037</v>
      </c>
      <c r="J776" s="308">
        <f t="shared" si="383"/>
        <v>30.611003671536295</v>
      </c>
      <c r="K776" s="308">
        <f t="shared" si="383"/>
        <v>36.805770603482536</v>
      </c>
      <c r="L776" s="308">
        <f t="shared" si="383"/>
        <v>43.716342993083657</v>
      </c>
      <c r="M776" s="308">
        <f t="shared" si="383"/>
        <v>50.119681100573779</v>
      </c>
      <c r="N776" s="308">
        <f t="shared" si="383"/>
        <v>56.484065451337024</v>
      </c>
      <c r="O776" s="308">
        <f t="shared" si="383"/>
        <v>63.439326412078181</v>
      </c>
      <c r="P776" s="308">
        <f t="shared" si="383"/>
        <v>70.880142027694944</v>
      </c>
    </row>
    <row r="779" spans="2:16" x14ac:dyDescent="0.3">
      <c r="B779" s="55" t="str">
        <f>_xlfn.CONCAT("Returns to ",$F$17," (Assuming ", ROUND($P$541*100,1),"% Ownership)")</f>
        <v>Returns to Mezzanine (Assuming 2.6% Ownership)</v>
      </c>
      <c r="G779" s="409" t="str">
        <f>_xlfn.CONCAT("For the Fiscal Year Ending ",LBO!$Y$13)</f>
        <v>For the Fiscal Year Ending December 31,</v>
      </c>
      <c r="H779" s="409"/>
      <c r="I779" s="409"/>
      <c r="J779" s="409"/>
      <c r="K779" s="409"/>
      <c r="L779" s="409"/>
      <c r="M779" s="409"/>
      <c r="N779" s="409"/>
      <c r="O779" s="409"/>
      <c r="P779" s="409"/>
    </row>
    <row r="780" spans="2:16" x14ac:dyDescent="0.3">
      <c r="E780" s="187" t="s">
        <v>440</v>
      </c>
      <c r="F780" s="187" t="s">
        <v>176</v>
      </c>
      <c r="G780" s="109">
        <f>G766</f>
        <v>2024</v>
      </c>
      <c r="H780" s="109">
        <f t="shared" ref="H780:P780" si="384">H766</f>
        <v>2025</v>
      </c>
      <c r="I780" s="109">
        <f t="shared" si="384"/>
        <v>2026</v>
      </c>
      <c r="J780" s="109">
        <f t="shared" si="384"/>
        <v>2027</v>
      </c>
      <c r="K780" s="193">
        <f t="shared" si="384"/>
        <v>2028</v>
      </c>
      <c r="L780" s="109">
        <f t="shared" si="384"/>
        <v>2029</v>
      </c>
      <c r="M780" s="109">
        <f t="shared" si="384"/>
        <v>2030</v>
      </c>
      <c r="N780" s="109">
        <f t="shared" si="384"/>
        <v>2031</v>
      </c>
      <c r="O780" s="109">
        <f t="shared" si="384"/>
        <v>2032</v>
      </c>
      <c r="P780" s="109">
        <f t="shared" si="384"/>
        <v>2033</v>
      </c>
    </row>
    <row r="781" spans="2:16" x14ac:dyDescent="0.3">
      <c r="K781" s="183"/>
    </row>
    <row r="782" spans="2:16" x14ac:dyDescent="0.3">
      <c r="B782" t="str">
        <f>_xlfn.CONCAT("IRR for Exit in ",$Y$12)</f>
        <v>IRR for Exit in 2024</v>
      </c>
      <c r="E782" s="133">
        <f>IFERROR(IRR(F782:P782),"NA")</f>
        <v>0.20801057521100597</v>
      </c>
      <c r="F782" s="216">
        <f t="shared" ref="F782:F791" si="385">SUM($F$767:$F$768)</f>
        <v>-100</v>
      </c>
      <c r="G782" s="83">
        <f>SUM(G770:G776)</f>
        <v>120.80105752110062</v>
      </c>
      <c r="H782" s="83"/>
      <c r="I782" s="83"/>
      <c r="J782" s="83"/>
      <c r="K782" s="298"/>
      <c r="L782" s="83"/>
      <c r="M782" s="83"/>
      <c r="N782" s="83"/>
      <c r="O782" s="83"/>
      <c r="P782" s="83"/>
    </row>
    <row r="783" spans="2:16" x14ac:dyDescent="0.3">
      <c r="B783" t="str">
        <f>"IRR for Exit in "&amp;$Y$12+1</f>
        <v>IRR for Exit in 2025</v>
      </c>
      <c r="E783" s="133">
        <f t="shared" ref="E783:E785" si="386">IFERROR(IRR(F783:P783),"NA")</f>
        <v>0.14879934975999243</v>
      </c>
      <c r="F783" s="216">
        <f t="shared" si="385"/>
        <v>-100</v>
      </c>
      <c r="G783" s="83">
        <f t="shared" ref="G783:G791" si="387">G$770+G$771</f>
        <v>0</v>
      </c>
      <c r="H783" s="83">
        <f>SUM(H770:H776)</f>
        <v>131.97399460092754</v>
      </c>
      <c r="I783" s="83"/>
      <c r="J783" s="83"/>
      <c r="K783" s="298"/>
      <c r="L783" s="83"/>
      <c r="M783" s="83"/>
      <c r="N783" s="83"/>
      <c r="O783" s="83"/>
      <c r="P783" s="83"/>
    </row>
    <row r="784" spans="2:16" x14ac:dyDescent="0.3">
      <c r="B784" t="str">
        <f>"IRR for Exit in "&amp;$Y$12+2</f>
        <v>IRR for Exit in 2026</v>
      </c>
      <c r="E784" s="133">
        <f t="shared" si="386"/>
        <v>0.12969677279575742</v>
      </c>
      <c r="F784" s="216">
        <f t="shared" si="385"/>
        <v>-100</v>
      </c>
      <c r="G784" s="83">
        <f t="shared" si="387"/>
        <v>0</v>
      </c>
      <c r="H784" s="83">
        <f t="shared" ref="H784:H791" si="388">H$770+H$771</f>
        <v>0</v>
      </c>
      <c r="I784" s="83">
        <f>SUM(I770:I776)</f>
        <v>144.17357392215604</v>
      </c>
      <c r="J784" s="83"/>
      <c r="K784" s="298"/>
      <c r="L784" s="83"/>
      <c r="M784" s="83"/>
      <c r="N784" s="83"/>
      <c r="O784" s="83"/>
      <c r="P784" s="83"/>
    </row>
    <row r="785" spans="2:16" x14ac:dyDescent="0.3">
      <c r="B785" t="str">
        <f>"IRR for Exit in "&amp;$Y$12+3</f>
        <v>IRR for Exit in 2027</v>
      </c>
      <c r="E785" s="133">
        <f t="shared" si="386"/>
        <v>0.11912127671470318</v>
      </c>
      <c r="F785" s="216">
        <f t="shared" si="385"/>
        <v>-100</v>
      </c>
      <c r="G785" s="83">
        <f t="shared" si="387"/>
        <v>0</v>
      </c>
      <c r="H785" s="83">
        <f t="shared" si="388"/>
        <v>0</v>
      </c>
      <c r="I785" s="83">
        <f t="shared" ref="I785:I791" si="389">I$770+I$771</f>
        <v>0</v>
      </c>
      <c r="J785" s="83">
        <f>SUM(J770:J776)</f>
        <v>156.8586996715363</v>
      </c>
      <c r="K785" s="298"/>
      <c r="L785" s="83"/>
      <c r="M785" s="83"/>
      <c r="N785" s="83"/>
      <c r="O785" s="83"/>
      <c r="P785" s="83"/>
    </row>
    <row r="786" spans="2:16" x14ac:dyDescent="0.3">
      <c r="B786" s="70" t="str">
        <f>"IRR for Exit in "&amp;$Y$12+4</f>
        <v>IRR for Exit in 2028</v>
      </c>
      <c r="C786" s="70"/>
      <c r="D786" s="70"/>
      <c r="E786" s="189">
        <f>IFERROR(IRR(F786:P786),"NA")</f>
        <v>0.11278234635084106</v>
      </c>
      <c r="F786" s="293">
        <f t="shared" si="385"/>
        <v>-100</v>
      </c>
      <c r="G786" s="307">
        <f t="shared" si="387"/>
        <v>0</v>
      </c>
      <c r="H786" s="307">
        <f t="shared" si="388"/>
        <v>0</v>
      </c>
      <c r="I786" s="307">
        <f t="shared" si="389"/>
        <v>0</v>
      </c>
      <c r="J786" s="307">
        <f t="shared" ref="J786:J791" si="390">J$770+J$771</f>
        <v>0</v>
      </c>
      <c r="K786" s="301">
        <f>SUM(K770:K776)</f>
        <v>170.62832836348252</v>
      </c>
      <c r="L786" s="83"/>
      <c r="M786" s="83"/>
      <c r="N786" s="83"/>
      <c r="O786" s="83"/>
      <c r="P786" s="83"/>
    </row>
    <row r="787" spans="2:16" x14ac:dyDescent="0.3">
      <c r="B787" t="str">
        <f>"IRR for Exit in "&amp;$Y$12+5</f>
        <v>IRR for Exit in 2029</v>
      </c>
      <c r="E787" s="133">
        <f t="shared" ref="E787:E790" si="391">IFERROR(IRR(F787:P787),"NA")</f>
        <v>0.1085380730485872</v>
      </c>
      <c r="F787" s="216">
        <f t="shared" si="385"/>
        <v>-100</v>
      </c>
      <c r="G787" s="83">
        <f t="shared" si="387"/>
        <v>0</v>
      </c>
      <c r="H787" s="83">
        <f t="shared" si="388"/>
        <v>0</v>
      </c>
      <c r="I787" s="83">
        <f t="shared" si="389"/>
        <v>0</v>
      </c>
      <c r="J787" s="83">
        <f t="shared" si="390"/>
        <v>0</v>
      </c>
      <c r="K787" s="83">
        <f>K$770+K$771</f>
        <v>0</v>
      </c>
      <c r="L787" s="83">
        <f>SUM(L770:L776)</f>
        <v>185.56825421868365</v>
      </c>
      <c r="M787" s="83"/>
      <c r="N787" s="83"/>
      <c r="O787" s="83"/>
      <c r="P787" s="83"/>
    </row>
    <row r="788" spans="2:16" x14ac:dyDescent="0.3">
      <c r="B788" t="str">
        <f>"IRR for Exit in "&amp;$Y$12+6</f>
        <v>IRR for Exit in 2030</v>
      </c>
      <c r="E788" s="133">
        <f t="shared" si="391"/>
        <v>0.10475238084794314</v>
      </c>
      <c r="F788" s="216">
        <f t="shared" si="385"/>
        <v>-100</v>
      </c>
      <c r="G788" s="83">
        <f t="shared" si="387"/>
        <v>0</v>
      </c>
      <c r="H788" s="83">
        <f t="shared" si="388"/>
        <v>0</v>
      </c>
      <c r="I788" s="83">
        <f t="shared" si="389"/>
        <v>0</v>
      </c>
      <c r="J788" s="83">
        <f t="shared" si="390"/>
        <v>0</v>
      </c>
      <c r="K788" s="83">
        <f>K$770+K$771</f>
        <v>0</v>
      </c>
      <c r="L788" s="83">
        <f>L$770+L$771</f>
        <v>8.0293534655999999</v>
      </c>
      <c r="M788" s="83">
        <f>SUM(M770:M776)</f>
        <v>191.97159232617378</v>
      </c>
      <c r="N788" s="83"/>
      <c r="O788" s="83"/>
      <c r="P788" s="83"/>
    </row>
    <row r="789" spans="2:16" x14ac:dyDescent="0.3">
      <c r="B789" t="str">
        <f>"IRR for Exit in "&amp;$Y$12+7</f>
        <v>IRR for Exit in 2031</v>
      </c>
      <c r="E789" s="133">
        <f t="shared" si="391"/>
        <v>0.1016380405875934</v>
      </c>
      <c r="F789" s="216">
        <f t="shared" si="385"/>
        <v>-100</v>
      </c>
      <c r="G789" s="83">
        <f t="shared" si="387"/>
        <v>0</v>
      </c>
      <c r="H789" s="83">
        <f t="shared" si="388"/>
        <v>0</v>
      </c>
      <c r="I789" s="83">
        <f t="shared" si="389"/>
        <v>0</v>
      </c>
      <c r="J789" s="83">
        <f t="shared" si="390"/>
        <v>0</v>
      </c>
      <c r="K789" s="83">
        <f>K$770+K$771</f>
        <v>0</v>
      </c>
      <c r="L789" s="83">
        <f>L$770+L$771</f>
        <v>8.0293534655999999</v>
      </c>
      <c r="M789" s="83">
        <f>M$770+M$771</f>
        <v>8.0293534655999999</v>
      </c>
      <c r="N789" s="83">
        <f>SUM(N770:N776)</f>
        <v>198.33597667693701</v>
      </c>
      <c r="O789" s="83"/>
      <c r="P789" s="83"/>
    </row>
    <row r="790" spans="2:16" x14ac:dyDescent="0.3">
      <c r="B790" t="str">
        <f>"IRR for Exit in "&amp;$Y$12+8</f>
        <v>IRR for Exit in 2032</v>
      </c>
      <c r="E790" s="133">
        <f t="shared" si="391"/>
        <v>0.10076109890490681</v>
      </c>
      <c r="F790" s="216">
        <f t="shared" si="385"/>
        <v>-100</v>
      </c>
      <c r="G790" s="83">
        <f t="shared" si="387"/>
        <v>0</v>
      </c>
      <c r="H790" s="83">
        <f t="shared" si="388"/>
        <v>0</v>
      </c>
      <c r="I790" s="83">
        <f t="shared" si="389"/>
        <v>0</v>
      </c>
      <c r="J790" s="83">
        <f t="shared" si="390"/>
        <v>0</v>
      </c>
      <c r="K790" s="83">
        <f>K$770+K$771</f>
        <v>0</v>
      </c>
      <c r="L790" s="83">
        <f>L$770+L$771</f>
        <v>8.0293534655999999</v>
      </c>
      <c r="M790" s="83">
        <f>M$770+M$771</f>
        <v>8.0293534655999999</v>
      </c>
      <c r="N790" s="83">
        <f>N$770+N$771</f>
        <v>74.251847374098929</v>
      </c>
      <c r="O790" s="83">
        <f>SUM(O770:O776)</f>
        <v>135.0953940946693</v>
      </c>
      <c r="P790" s="83"/>
    </row>
    <row r="791" spans="2:16" x14ac:dyDescent="0.3">
      <c r="B791" t="str">
        <f>"IRR for Exit in "&amp;$Y$12+9</f>
        <v>IRR for Exit in 2033</v>
      </c>
      <c r="E791" s="133">
        <f>IFERROR(IRR(F791:P791),"NA")</f>
        <v>0.10126757989489232</v>
      </c>
      <c r="F791" s="216">
        <f t="shared" si="385"/>
        <v>-100</v>
      </c>
      <c r="G791" s="83">
        <f t="shared" si="387"/>
        <v>0</v>
      </c>
      <c r="H791" s="83">
        <f t="shared" si="388"/>
        <v>0</v>
      </c>
      <c r="I791" s="83">
        <f t="shared" si="389"/>
        <v>0</v>
      </c>
      <c r="J791" s="83">
        <f t="shared" si="390"/>
        <v>0</v>
      </c>
      <c r="K791" s="83">
        <f>K$770+K$771</f>
        <v>0</v>
      </c>
      <c r="L791" s="83">
        <f>L$770+L$771</f>
        <v>8.0293534655999999</v>
      </c>
      <c r="M791" s="83">
        <f>M$770+M$771</f>
        <v>8.0293534655999999</v>
      </c>
      <c r="N791" s="83">
        <f>N$770+N$771</f>
        <v>74.251847374098929</v>
      </c>
      <c r="O791" s="83">
        <f>O$770+O$771</f>
        <v>71.656067682591129</v>
      </c>
      <c r="P791" s="83">
        <f>SUM(P770:P776)</f>
        <v>70.880142027694944</v>
      </c>
    </row>
    <row r="794" spans="2:16" x14ac:dyDescent="0.3">
      <c r="B794" s="55" t="str">
        <f>"Sensitivity Analysis of the Holders of "&amp;$F$17&amp;" "&amp;$Q$16 &amp;" IRR"</f>
        <v>Sensitivity Analysis of the Holders of Mezzanine 2028 IRR</v>
      </c>
    </row>
    <row r="796" spans="2:16" x14ac:dyDescent="0.3">
      <c r="C796" s="55" t="str">
        <f>"IRR ("&amp;$Q$16&amp;")"</f>
        <v>IRR (2028)</v>
      </c>
    </row>
    <row r="797" spans="2:16" x14ac:dyDescent="0.3">
      <c r="G797" s="406" t="str">
        <f>"Fully Diluted Equity to the Holders of "&amp;$F$17</f>
        <v>Fully Diluted Equity to the Holders of Mezzanine</v>
      </c>
      <c r="H797" s="406"/>
      <c r="I797" s="406"/>
      <c r="J797" s="406"/>
      <c r="K797" s="406"/>
      <c r="L797" s="406"/>
    </row>
    <row r="798" spans="2:16" x14ac:dyDescent="0.3">
      <c r="G798" s="191">
        <f>MAX(H798-$Y$21,0)</f>
        <v>0</v>
      </c>
      <c r="H798" s="191">
        <f>MAX(I798-$Y$21,0)</f>
        <v>5.7918552036199059E-3</v>
      </c>
      <c r="I798" s="191">
        <f>MAX(J798-$Y$21,0)</f>
        <v>1.5791855203619906E-2</v>
      </c>
      <c r="J798" s="191">
        <f>$P$541</f>
        <v>2.5791855203619908E-2</v>
      </c>
      <c r="K798" s="191">
        <f>J798+$Y$21</f>
        <v>3.579185520361991E-2</v>
      </c>
      <c r="L798" s="191">
        <f>K798+$Y$21</f>
        <v>4.5791855203619912E-2</v>
      </c>
    </row>
    <row r="799" spans="2:16" x14ac:dyDescent="0.3">
      <c r="F799" s="192">
        <f>F800-$Y$19</f>
        <v>9</v>
      </c>
      <c r="G799" s="120">
        <f>IF($I$17=0,"NA",IRR(($F$786:$J$786,G809)))</f>
        <v>6.000000000000183E-2</v>
      </c>
      <c r="H799" s="120">
        <f>IF($I$17=0,"NA",IRR(($F$786:$J$786,H809)))</f>
        <v>7.0989942735555145E-2</v>
      </c>
      <c r="I799" s="120">
        <f>IF($I$17=0,"NA",IRR(($F$786:$J$786,I809)))</f>
        <v>8.8965690183123725E-2</v>
      </c>
      <c r="J799" s="197">
        <f>IF($I$17=0,"NA",IRR(($F$786:$J$786,J809)))</f>
        <v>0.10582737075488691</v>
      </c>
      <c r="K799" s="120">
        <f>IF($I$17=0,"NA",IRR(($F$786:$J$786,K809)))</f>
        <v>0.12171924154583058</v>
      </c>
      <c r="L799" s="120">
        <f>IF($I$17=0,"NA",IRR(($F$786:$J$786,L809)))</f>
        <v>0.1367584406163127</v>
      </c>
    </row>
    <row r="800" spans="2:16" x14ac:dyDescent="0.3">
      <c r="E800" s="149" t="s">
        <v>444</v>
      </c>
      <c r="F800" s="192">
        <f>F801-$Y$19</f>
        <v>9.5</v>
      </c>
      <c r="G800" s="120">
        <f>IF($I$17=0,"NA",IRR(($F$786:$J$786,G810)))</f>
        <v>6.000000000000183E-2</v>
      </c>
      <c r="H800" s="120">
        <f>IF($I$17=0,"NA",IRR(($F$786:$J$786,H810)))</f>
        <v>7.1887255035831377E-2</v>
      </c>
      <c r="I800" s="120">
        <f>IF($I$17=0,"NA",IRR(($F$786:$J$786,I810)))</f>
        <v>9.1248924201378756E-2</v>
      </c>
      <c r="J800" s="198">
        <f>IF($I$17=0,"NA",IRR(($F$786:$J$786,J810)))</f>
        <v>0.10932666050458639</v>
      </c>
      <c r="K800" s="120">
        <f>IF($I$17=0,"NA",IRR(($F$786:$J$786,K810)))</f>
        <v>0.1262974722733412</v>
      </c>
      <c r="L800" s="120">
        <f>IF($I$17=0,"NA",IRR(($F$786:$J$786,L810)))</f>
        <v>0.14230309023640175</v>
      </c>
    </row>
    <row r="801" spans="3:12" x14ac:dyDescent="0.3">
      <c r="E801" s="149" t="s">
        <v>99</v>
      </c>
      <c r="F801" s="192">
        <f>$Y$18</f>
        <v>10</v>
      </c>
      <c r="G801" s="194">
        <f>IF($I$17=0,"NA",IRR(($F$786:$J$786,G811)))</f>
        <v>6.000000000000183E-2</v>
      </c>
      <c r="H801" s="195">
        <f>IF($I$17=0,"NA",IRR(($F$786:$J$786,H811)))</f>
        <v>7.2781572679274653E-2</v>
      </c>
      <c r="I801" s="195">
        <f>IF($I$17=0,"NA",IRR(($F$786:$J$786,I811)))</f>
        <v>9.3513207657514696E-2</v>
      </c>
      <c r="J801" s="199">
        <f>IF($I$17=0,"NA",IRR(($F$786:$J$786,J811)))</f>
        <v>0.11278234635084106</v>
      </c>
      <c r="K801" s="195">
        <f>IF($I$17=0,"NA",IRR(($F$786:$J$786,K811)))</f>
        <v>0.13080245174930405</v>
      </c>
      <c r="L801" s="196">
        <f>IF($I$17=0,"NA",IRR(($F$786:$J$786,L811)))</f>
        <v>0.14774213104416933</v>
      </c>
    </row>
    <row r="802" spans="3:12" x14ac:dyDescent="0.3">
      <c r="E802" s="149" t="s">
        <v>445</v>
      </c>
      <c r="F802" s="192">
        <f>F801+$Y$19</f>
        <v>10.5</v>
      </c>
      <c r="G802" s="120">
        <f>IF($I$17=0,"NA",IRR(($F$786:$J$786,G812)))</f>
        <v>6.000000000000183E-2</v>
      </c>
      <c r="H802" s="120">
        <f>IF($I$17=0,"NA",IRR(($F$786:$J$786,H812)))</f>
        <v>7.3672918059582315E-2</v>
      </c>
      <c r="I802" s="120">
        <f>IF($I$17=0,"NA",IRR(($F$786:$J$786,I812)))</f>
        <v>9.5758890817831288E-2</v>
      </c>
      <c r="J802" s="198">
        <f>IF($I$17=0,"NA",IRR(($F$786:$J$786,J812)))</f>
        <v>0.11619563208457828</v>
      </c>
      <c r="K802" s="120">
        <f>IF($I$17=0,"NA",IRR(($F$786:$J$786,K812)))</f>
        <v>0.13523676539962759</v>
      </c>
      <c r="L802" s="120">
        <f>IF($I$17=0,"NA",IRR(($F$786:$J$786,L812)))</f>
        <v>0.15307998396706224</v>
      </c>
    </row>
    <row r="803" spans="3:12" x14ac:dyDescent="0.3">
      <c r="F803" s="192">
        <f>F802+$Y$19</f>
        <v>11</v>
      </c>
      <c r="G803" s="120">
        <f>IF($I$17=0,"NA",IRR(($F$786:$J$786,G813)))</f>
        <v>6.000000000000183E-2</v>
      </c>
      <c r="H803" s="120">
        <f>IF($I$17=0,"NA",IRR(($F$786:$J$786,H813)))</f>
        <v>7.456131331103788E-2</v>
      </c>
      <c r="I803" s="120">
        <f>IF($I$17=0,"NA",IRR(($F$786:$J$786,I813)))</f>
        <v>9.7986313981661466E-2</v>
      </c>
      <c r="J803" s="200">
        <f>IF($I$17=0,"NA",IRR(($F$786:$J$786,J813)))</f>
        <v>0.11956767057937134</v>
      </c>
      <c r="K803" s="120">
        <f>IF($I$17=0,"NA",IRR(($F$786:$J$786,K813)))</f>
        <v>0.13960285942188144</v>
      </c>
      <c r="L803" s="120">
        <f>IF($I$17=0,"NA",IRR(($F$786:$J$786,L813)))</f>
        <v>0.15832078858042653</v>
      </c>
    </row>
    <row r="806" spans="3:12" x14ac:dyDescent="0.3">
      <c r="C806" s="55" t="str">
        <f>"Total Cash Flows at Exit Year ("&amp;$Q$16&amp;")"</f>
        <v>Total Cash Flows at Exit Year (2028)</v>
      </c>
    </row>
    <row r="807" spans="3:12" x14ac:dyDescent="0.3">
      <c r="G807" s="406" t="str">
        <f>"Fully Diluted Equity to the Holders of "&amp;$F$17</f>
        <v>Fully Diluted Equity to the Holders of Mezzanine</v>
      </c>
      <c r="H807" s="406"/>
      <c r="I807" s="406"/>
      <c r="J807" s="406"/>
      <c r="K807" s="406"/>
      <c r="L807" s="406"/>
    </row>
    <row r="808" spans="3:12" x14ac:dyDescent="0.3">
      <c r="G808" s="191">
        <f>MAX(H808-$Y$21,0)</f>
        <v>0</v>
      </c>
      <c r="H808" s="191">
        <f>MAX(I808-$Y$21,0)</f>
        <v>5.7918552036199059E-3</v>
      </c>
      <c r="I808" s="191">
        <f>MAX(J808-$Y$21,0)</f>
        <v>1.5791855203619906E-2</v>
      </c>
      <c r="J808" s="191">
        <f>$P$541</f>
        <v>2.5791855203619908E-2</v>
      </c>
      <c r="K808" s="191">
        <f>J808+$Y$21</f>
        <v>3.579185520361991E-2</v>
      </c>
      <c r="L808" s="191">
        <f>K808+$Y$21</f>
        <v>4.5791855203619912E-2</v>
      </c>
    </row>
    <row r="809" spans="3:12" x14ac:dyDescent="0.3">
      <c r="F809" s="192">
        <f>F810-$Y$19</f>
        <v>9</v>
      </c>
      <c r="G809" s="216">
        <f t="shared" ref="G809:L813" si="392">($K$562+($K$551*($F809-$F$811)))*G$808+SUM($K$769:$K$775)</f>
        <v>133.82255776</v>
      </c>
      <c r="H809" s="216">
        <f t="shared" si="392"/>
        <v>140.90518120091204</v>
      </c>
      <c r="I809" s="216">
        <f t="shared" si="392"/>
        <v>153.13377323561173</v>
      </c>
      <c r="J809" s="302">
        <f t="shared" si="392"/>
        <v>165.36236527031141</v>
      </c>
      <c r="K809" s="216">
        <f t="shared" si="392"/>
        <v>177.5909573050111</v>
      </c>
      <c r="L809" s="216">
        <f t="shared" si="392"/>
        <v>189.81954933971082</v>
      </c>
    </row>
    <row r="810" spans="3:12" x14ac:dyDescent="0.3">
      <c r="E810" s="149" t="s">
        <v>444</v>
      </c>
      <c r="F810" s="192">
        <f>F811-$Y$19</f>
        <v>9.5</v>
      </c>
      <c r="G810" s="216">
        <f t="shared" si="392"/>
        <v>133.82255776</v>
      </c>
      <c r="H810" s="216">
        <f t="shared" si="392"/>
        <v>141.49644723242596</v>
      </c>
      <c r="I810" s="216">
        <f t="shared" si="392"/>
        <v>154.74589702466147</v>
      </c>
      <c r="J810" s="295">
        <f t="shared" si="392"/>
        <v>167.99534681689698</v>
      </c>
      <c r="K810" s="216">
        <f t="shared" si="392"/>
        <v>181.24479660913246</v>
      </c>
      <c r="L810" s="216">
        <f t="shared" si="392"/>
        <v>194.49424640136797</v>
      </c>
    </row>
    <row r="811" spans="3:12" x14ac:dyDescent="0.3">
      <c r="E811" s="149" t="s">
        <v>99</v>
      </c>
      <c r="F811" s="192">
        <f>$Y$18</f>
        <v>10</v>
      </c>
      <c r="G811" s="303">
        <f t="shared" si="392"/>
        <v>133.82255776</v>
      </c>
      <c r="H811" s="293">
        <f t="shared" si="392"/>
        <v>142.08771326393992</v>
      </c>
      <c r="I811" s="293">
        <f t="shared" si="392"/>
        <v>156.35802081371122</v>
      </c>
      <c r="J811" s="304">
        <f t="shared" si="392"/>
        <v>170.62832836348252</v>
      </c>
      <c r="K811" s="293">
        <f t="shared" si="392"/>
        <v>184.89863591325383</v>
      </c>
      <c r="L811" s="305">
        <f t="shared" si="392"/>
        <v>199.16894346302513</v>
      </c>
    </row>
    <row r="812" spans="3:12" x14ac:dyDescent="0.3">
      <c r="E812" s="149" t="s">
        <v>445</v>
      </c>
      <c r="F812" s="192">
        <f>F811+$Y$19</f>
        <v>10.5</v>
      </c>
      <c r="G812" s="216">
        <f t="shared" si="392"/>
        <v>133.82255776</v>
      </c>
      <c r="H812" s="216">
        <f t="shared" si="392"/>
        <v>142.67897929545387</v>
      </c>
      <c r="I812" s="216">
        <f t="shared" si="392"/>
        <v>157.97014460276097</v>
      </c>
      <c r="J812" s="295">
        <f t="shared" si="392"/>
        <v>173.26130991006806</v>
      </c>
      <c r="K812" s="216">
        <f t="shared" si="392"/>
        <v>188.55247521737519</v>
      </c>
      <c r="L812" s="216">
        <f t="shared" si="392"/>
        <v>203.84364052468229</v>
      </c>
    </row>
    <row r="813" spans="3:12" x14ac:dyDescent="0.3">
      <c r="F813" s="192">
        <f>F812+$Y$19</f>
        <v>11</v>
      </c>
      <c r="G813" s="216">
        <f t="shared" si="392"/>
        <v>133.82255776</v>
      </c>
      <c r="H813" s="216">
        <f t="shared" si="392"/>
        <v>143.27024532696782</v>
      </c>
      <c r="I813" s="216">
        <f t="shared" si="392"/>
        <v>159.58226839181071</v>
      </c>
      <c r="J813" s="306">
        <f t="shared" si="392"/>
        <v>175.89429145665363</v>
      </c>
      <c r="K813" s="216">
        <f t="shared" si="392"/>
        <v>192.20631452149655</v>
      </c>
      <c r="L813" s="216">
        <f t="shared" si="392"/>
        <v>208.51833758633944</v>
      </c>
    </row>
    <row r="821" spans="2:16" x14ac:dyDescent="0.3">
      <c r="B821" s="410" t="str">
        <f>"BLENDED RETURNS TO THE HOLDERS OF THE "&amp;UPPER($F$20)</f>
        <v>BLENDED RETURNS TO THE HOLDERS OF THE PREFERRED STOCK</v>
      </c>
      <c r="C821" s="410"/>
      <c r="D821" s="410"/>
      <c r="E821" s="410"/>
      <c r="F821" s="410"/>
      <c r="G821" s="410"/>
      <c r="H821" s="410"/>
      <c r="I821" s="410"/>
      <c r="J821" s="410"/>
      <c r="K821" s="410"/>
      <c r="L821" s="410"/>
      <c r="M821" s="410"/>
      <c r="N821" s="410"/>
      <c r="O821" s="410"/>
      <c r="P821" s="410"/>
    </row>
    <row r="823" spans="2:16" x14ac:dyDescent="0.3">
      <c r="B823" t="str">
        <f>"Cash Flows to the Holders of "&amp;$F$20</f>
        <v>Cash Flows to the Holders of Preferred Stock</v>
      </c>
      <c r="G823" s="406" t="str">
        <f>_xlfn.CONCAT("For the Fiscal Year Ending ",LBO!$Y$13)</f>
        <v>For the Fiscal Year Ending December 31,</v>
      </c>
      <c r="H823" s="406"/>
      <c r="I823" s="406"/>
      <c r="J823" s="406"/>
      <c r="K823" s="406"/>
      <c r="L823" s="406"/>
      <c r="M823" s="406"/>
      <c r="N823" s="406"/>
      <c r="O823" s="406"/>
      <c r="P823" s="406"/>
    </row>
    <row r="824" spans="2:16" x14ac:dyDescent="0.3">
      <c r="F824" s="187" t="s">
        <v>176</v>
      </c>
      <c r="G824" s="109">
        <f>$Y$12</f>
        <v>2024</v>
      </c>
      <c r="H824" s="109">
        <f>G824+1</f>
        <v>2025</v>
      </c>
      <c r="I824" s="109">
        <f t="shared" ref="I824:P824" si="393">H824+1</f>
        <v>2026</v>
      </c>
      <c r="J824" s="109">
        <f t="shared" si="393"/>
        <v>2027</v>
      </c>
      <c r="K824" s="109">
        <f t="shared" si="393"/>
        <v>2028</v>
      </c>
      <c r="L824" s="109">
        <f t="shared" si="393"/>
        <v>2029</v>
      </c>
      <c r="M824" s="109">
        <f t="shared" si="393"/>
        <v>2030</v>
      </c>
      <c r="N824" s="109">
        <f t="shared" si="393"/>
        <v>2031</v>
      </c>
      <c r="O824" s="109">
        <f t="shared" si="393"/>
        <v>2032</v>
      </c>
      <c r="P824" s="109">
        <f t="shared" si="393"/>
        <v>2033</v>
      </c>
    </row>
    <row r="825" spans="2:16" x14ac:dyDescent="0.3">
      <c r="B825" t="s">
        <v>446</v>
      </c>
      <c r="F825" s="216">
        <f>I20*-1</f>
        <v>-150</v>
      </c>
      <c r="G825" s="216"/>
      <c r="H825" s="216"/>
      <c r="I825" s="216"/>
      <c r="J825" s="216"/>
      <c r="K825" s="216"/>
      <c r="L825" s="216"/>
      <c r="M825" s="216"/>
      <c r="N825" s="216"/>
      <c r="O825" s="216"/>
      <c r="P825" s="216"/>
    </row>
    <row r="826" spans="2:16" x14ac:dyDescent="0.3">
      <c r="B826" t="s">
        <v>447</v>
      </c>
      <c r="F826" s="216">
        <f>IF(P542=0,0,$I$21*$F$542*-1)</f>
        <v>0</v>
      </c>
      <c r="G826" s="216"/>
      <c r="H826" s="216"/>
      <c r="I826" s="216"/>
      <c r="J826" s="216"/>
      <c r="K826" s="216"/>
      <c r="L826" s="216"/>
      <c r="M826" s="216"/>
      <c r="N826" s="216"/>
      <c r="O826" s="216"/>
      <c r="P826" s="216"/>
    </row>
    <row r="827" spans="2:16" x14ac:dyDescent="0.3">
      <c r="F827" s="216"/>
      <c r="G827" s="216"/>
      <c r="H827" s="216"/>
      <c r="I827" s="216"/>
      <c r="J827" s="216"/>
      <c r="K827" s="216"/>
      <c r="L827" s="216"/>
      <c r="M827" s="216"/>
      <c r="N827" s="216"/>
      <c r="O827" s="216"/>
      <c r="P827" s="216"/>
    </row>
    <row r="828" spans="2:16" x14ac:dyDescent="0.3">
      <c r="B828" t="s">
        <v>451</v>
      </c>
      <c r="F828" s="216"/>
      <c r="G828" s="216">
        <f t="shared" ref="G828:P828" si="394">G199</f>
        <v>15</v>
      </c>
      <c r="H828" s="216">
        <f t="shared" si="394"/>
        <v>15</v>
      </c>
      <c r="I828" s="216">
        <f t="shared" si="394"/>
        <v>15</v>
      </c>
      <c r="J828" s="216">
        <f t="shared" si="394"/>
        <v>15</v>
      </c>
      <c r="K828" s="216">
        <f t="shared" si="394"/>
        <v>15</v>
      </c>
      <c r="L828" s="216">
        <f t="shared" si="394"/>
        <v>15</v>
      </c>
      <c r="M828" s="216">
        <f t="shared" si="394"/>
        <v>15</v>
      </c>
      <c r="N828" s="216">
        <f t="shared" si="394"/>
        <v>15</v>
      </c>
      <c r="O828" s="216">
        <f t="shared" si="394"/>
        <v>15</v>
      </c>
      <c r="P828" s="216">
        <f t="shared" si="394"/>
        <v>15</v>
      </c>
    </row>
    <row r="829" spans="2:16" x14ac:dyDescent="0.3">
      <c r="B829" t="s">
        <v>412</v>
      </c>
      <c r="F829" s="216"/>
      <c r="G829" s="216">
        <f t="shared" ref="G829:P829" si="395">G519</f>
        <v>0</v>
      </c>
      <c r="H829" s="216">
        <f t="shared" si="395"/>
        <v>0</v>
      </c>
      <c r="I829" s="216">
        <f t="shared" si="395"/>
        <v>0</v>
      </c>
      <c r="J829" s="216">
        <f t="shared" si="395"/>
        <v>0</v>
      </c>
      <c r="K829" s="216">
        <f t="shared" si="395"/>
        <v>0</v>
      </c>
      <c r="L829" s="216">
        <f t="shared" si="395"/>
        <v>0</v>
      </c>
      <c r="M829" s="216">
        <f t="shared" si="395"/>
        <v>0</v>
      </c>
      <c r="N829" s="216">
        <f t="shared" si="395"/>
        <v>0</v>
      </c>
      <c r="O829" s="216">
        <f t="shared" si="395"/>
        <v>0</v>
      </c>
      <c r="P829" s="216">
        <f t="shared" si="395"/>
        <v>0</v>
      </c>
    </row>
    <row r="830" spans="2:16" x14ac:dyDescent="0.3">
      <c r="F830" s="216"/>
      <c r="G830" s="216"/>
      <c r="H830" s="216"/>
      <c r="I830" s="216"/>
      <c r="J830" s="216"/>
      <c r="K830" s="216"/>
      <c r="L830" s="216"/>
      <c r="M830" s="216"/>
      <c r="N830" s="216"/>
      <c r="O830" s="216"/>
      <c r="P830" s="216"/>
    </row>
    <row r="831" spans="2:16" x14ac:dyDescent="0.3">
      <c r="B831" t="s">
        <v>450</v>
      </c>
      <c r="F831" s="216"/>
      <c r="G831" s="216">
        <f t="shared" ref="G831:P831" si="396">G520</f>
        <v>150</v>
      </c>
      <c r="H831" s="216">
        <f t="shared" si="396"/>
        <v>150</v>
      </c>
      <c r="I831" s="216">
        <f t="shared" si="396"/>
        <v>150</v>
      </c>
      <c r="J831" s="216">
        <f t="shared" si="396"/>
        <v>150</v>
      </c>
      <c r="K831" s="216">
        <f t="shared" si="396"/>
        <v>150</v>
      </c>
      <c r="L831" s="216">
        <f t="shared" si="396"/>
        <v>150</v>
      </c>
      <c r="M831" s="216">
        <f t="shared" si="396"/>
        <v>150</v>
      </c>
      <c r="N831" s="216">
        <f t="shared" si="396"/>
        <v>150</v>
      </c>
      <c r="O831" s="216">
        <f t="shared" si="396"/>
        <v>150</v>
      </c>
      <c r="P831" s="216">
        <f t="shared" si="396"/>
        <v>150</v>
      </c>
    </row>
    <row r="832" spans="2:16" x14ac:dyDescent="0.3">
      <c r="F832" s="216"/>
      <c r="G832" s="216"/>
      <c r="H832" s="216"/>
      <c r="I832" s="216"/>
      <c r="J832" s="216"/>
      <c r="K832" s="216"/>
      <c r="L832" s="216"/>
      <c r="M832" s="216"/>
      <c r="N832" s="216"/>
      <c r="O832" s="216"/>
      <c r="P832" s="216"/>
    </row>
    <row r="833" spans="2:16" x14ac:dyDescent="0.3">
      <c r="B833" t="s">
        <v>441</v>
      </c>
      <c r="F833" s="216"/>
      <c r="G833" s="216">
        <f t="shared" ref="G833:P833" si="397">$H$542*$I$21*-1</f>
        <v>-17.232600000000001</v>
      </c>
      <c r="H833" s="216">
        <f t="shared" si="397"/>
        <v>-17.232600000000001</v>
      </c>
      <c r="I833" s="216">
        <f t="shared" si="397"/>
        <v>-17.232600000000001</v>
      </c>
      <c r="J833" s="216">
        <f t="shared" si="397"/>
        <v>-17.232600000000001</v>
      </c>
      <c r="K833" s="216">
        <f t="shared" si="397"/>
        <v>-17.232600000000001</v>
      </c>
      <c r="L833" s="216">
        <f t="shared" si="397"/>
        <v>-17.232600000000001</v>
      </c>
      <c r="M833" s="216">
        <f t="shared" si="397"/>
        <v>-17.232600000000001</v>
      </c>
      <c r="N833" s="216">
        <f t="shared" si="397"/>
        <v>-17.232600000000001</v>
      </c>
      <c r="O833" s="216">
        <f t="shared" si="397"/>
        <v>-17.232600000000001</v>
      </c>
      <c r="P833" s="216">
        <f t="shared" si="397"/>
        <v>-17.232600000000001</v>
      </c>
    </row>
    <row r="834" spans="2:16" x14ac:dyDescent="0.3">
      <c r="B834" t="s">
        <v>442</v>
      </c>
      <c r="F834" s="216"/>
      <c r="G834" s="216">
        <f t="shared" ref="G834:P834" si="398">G562*$P$542</f>
        <v>17.267900441284056</v>
      </c>
      <c r="H834" s="216">
        <f t="shared" si="398"/>
        <v>22.882993701082132</v>
      </c>
      <c r="I834" s="216">
        <f t="shared" si="398"/>
        <v>29.25063624251538</v>
      </c>
      <c r="J834" s="216">
        <f t="shared" si="398"/>
        <v>35.712837616792349</v>
      </c>
      <c r="K834" s="216">
        <f t="shared" si="398"/>
        <v>42.94006570406296</v>
      </c>
      <c r="L834" s="216">
        <f t="shared" si="398"/>
        <v>51.002400158597609</v>
      </c>
      <c r="M834" s="216">
        <f t="shared" si="398"/>
        <v>58.47296128400275</v>
      </c>
      <c r="N834" s="216">
        <f t="shared" si="398"/>
        <v>65.89807635989321</v>
      </c>
      <c r="O834" s="216">
        <f t="shared" si="398"/>
        <v>74.012547480757888</v>
      </c>
      <c r="P834" s="216">
        <f t="shared" si="398"/>
        <v>82.693499032310783</v>
      </c>
    </row>
    <row r="837" spans="2:16" x14ac:dyDescent="0.3">
      <c r="B837" s="55" t="str">
        <f>_xlfn.CONCAT("Returns to ",$F$20," (Assuming ", ROUND($P$542*100,1),"% Ownership)")</f>
        <v>Returns to Preferred Stock (Assuming 3% Ownership)</v>
      </c>
      <c r="G837" s="409" t="str">
        <f>_xlfn.CONCAT("For the Fiscal Year Ending ",LBO!$Y$13)</f>
        <v>For the Fiscal Year Ending December 31,</v>
      </c>
      <c r="H837" s="409"/>
      <c r="I837" s="409"/>
      <c r="J837" s="409"/>
      <c r="K837" s="409"/>
      <c r="L837" s="409"/>
      <c r="M837" s="409"/>
      <c r="N837" s="409"/>
      <c r="O837" s="409"/>
      <c r="P837" s="409"/>
    </row>
    <row r="838" spans="2:16" x14ac:dyDescent="0.3">
      <c r="E838" s="187" t="s">
        <v>440</v>
      </c>
      <c r="F838" s="187" t="s">
        <v>176</v>
      </c>
      <c r="G838" s="109">
        <f>G824</f>
        <v>2024</v>
      </c>
      <c r="H838" s="109">
        <f t="shared" ref="H838:P838" si="399">H824</f>
        <v>2025</v>
      </c>
      <c r="I838" s="109">
        <f t="shared" si="399"/>
        <v>2026</v>
      </c>
      <c r="J838" s="109">
        <f t="shared" si="399"/>
        <v>2027</v>
      </c>
      <c r="K838" s="193">
        <f t="shared" si="399"/>
        <v>2028</v>
      </c>
      <c r="L838" s="109">
        <f t="shared" si="399"/>
        <v>2029</v>
      </c>
      <c r="M838" s="109">
        <f t="shared" si="399"/>
        <v>2030</v>
      </c>
      <c r="N838" s="109">
        <f t="shared" si="399"/>
        <v>2031</v>
      </c>
      <c r="O838" s="109">
        <f t="shared" si="399"/>
        <v>2032</v>
      </c>
      <c r="P838" s="109">
        <f t="shared" si="399"/>
        <v>2033</v>
      </c>
    </row>
    <row r="839" spans="2:16" x14ac:dyDescent="0.3">
      <c r="K839" s="183"/>
    </row>
    <row r="840" spans="2:16" x14ac:dyDescent="0.3">
      <c r="B840" t="str">
        <f>_xlfn.CONCAT("IRR for Exit in ",$Y$12)</f>
        <v>IRR for Exit in 2024</v>
      </c>
      <c r="E840" s="133">
        <f>IFERROR(IRR(F840:P840),"NA")</f>
        <v>0.10023533627522707</v>
      </c>
      <c r="F840" s="216">
        <f t="shared" ref="F840:F849" si="400">SUM($F$825:$F$826)</f>
        <v>-150</v>
      </c>
      <c r="G840" s="216">
        <f>SUM(G828:G834)</f>
        <v>165.03530044128405</v>
      </c>
      <c r="H840" s="216"/>
      <c r="I840" s="216"/>
      <c r="J840" s="216"/>
      <c r="K840" s="295"/>
      <c r="L840" s="216"/>
      <c r="M840" s="216"/>
      <c r="N840" s="216"/>
      <c r="O840" s="216"/>
      <c r="P840" s="216"/>
    </row>
    <row r="841" spans="2:16" x14ac:dyDescent="0.3">
      <c r="B841" t="str">
        <f>"IRR for Exit in "&amp;$Y$12+1</f>
        <v>IRR for Exit in 2025</v>
      </c>
      <c r="E841" s="133">
        <f t="shared" ref="E841:E843" si="401">IFERROR(IRR(F841:P841),"NA")</f>
        <v>0.11778710019392347</v>
      </c>
      <c r="F841" s="216">
        <f t="shared" si="400"/>
        <v>-150</v>
      </c>
      <c r="G841" s="216">
        <f t="shared" ref="G841:G849" si="402">G$828+G$829</f>
        <v>15</v>
      </c>
      <c r="H841" s="216">
        <f>SUM(H828:H834)</f>
        <v>170.65039370108215</v>
      </c>
      <c r="I841" s="216"/>
      <c r="J841" s="216"/>
      <c r="K841" s="295"/>
      <c r="L841" s="216"/>
      <c r="M841" s="216"/>
      <c r="N841" s="216"/>
      <c r="O841" s="216"/>
      <c r="P841" s="216"/>
    </row>
    <row r="842" spans="2:16" x14ac:dyDescent="0.3">
      <c r="B842" t="str">
        <f>"IRR for Exit in "&amp;$Y$12+2</f>
        <v>IRR for Exit in 2026</v>
      </c>
      <c r="E842" s="133">
        <f t="shared" si="401"/>
        <v>0.12366030346551127</v>
      </c>
      <c r="F842" s="216">
        <f t="shared" si="400"/>
        <v>-150</v>
      </c>
      <c r="G842" s="216">
        <f t="shared" si="402"/>
        <v>15</v>
      </c>
      <c r="H842" s="216">
        <f t="shared" ref="H842:H849" si="403">H$828+H$829</f>
        <v>15</v>
      </c>
      <c r="I842" s="216">
        <f>SUM(I828:I834)</f>
        <v>177.01803624251539</v>
      </c>
      <c r="J842" s="216"/>
      <c r="K842" s="295"/>
      <c r="L842" s="216"/>
      <c r="M842" s="216"/>
      <c r="N842" s="216"/>
      <c r="O842" s="216"/>
      <c r="P842" s="216"/>
    </row>
    <row r="843" spans="2:16" x14ac:dyDescent="0.3">
      <c r="B843" t="str">
        <f>"IRR for Exit in "&amp;$Y$12+3</f>
        <v>IRR for Exit in 2027</v>
      </c>
      <c r="E843" s="133">
        <f t="shared" si="401"/>
        <v>0.12556865444131948</v>
      </c>
      <c r="F843" s="216">
        <f t="shared" si="400"/>
        <v>-150</v>
      </c>
      <c r="G843" s="216">
        <f t="shared" si="402"/>
        <v>15</v>
      </c>
      <c r="H843" s="216">
        <f t="shared" si="403"/>
        <v>15</v>
      </c>
      <c r="I843" s="216">
        <f t="shared" ref="I843:I849" si="404">I$828+I$829</f>
        <v>15</v>
      </c>
      <c r="J843" s="216">
        <f>SUM(J828:J834)</f>
        <v>183.48023761679235</v>
      </c>
      <c r="K843" s="295"/>
      <c r="L843" s="216"/>
      <c r="M843" s="216"/>
      <c r="N843" s="216"/>
      <c r="O843" s="216"/>
      <c r="P843" s="216"/>
    </row>
    <row r="844" spans="2:16" x14ac:dyDescent="0.3">
      <c r="B844" s="70" t="str">
        <f>"IRR for Exit in "&amp;$Y$12+4</f>
        <v>IRR for Exit in 2028</v>
      </c>
      <c r="C844" s="70"/>
      <c r="D844" s="70"/>
      <c r="E844" s="189">
        <f>IFERROR(IRR(F844:P844),"NA")</f>
        <v>0.12662471191343805</v>
      </c>
      <c r="F844" s="293">
        <f t="shared" si="400"/>
        <v>-150</v>
      </c>
      <c r="G844" s="293">
        <f t="shared" si="402"/>
        <v>15</v>
      </c>
      <c r="H844" s="293">
        <f t="shared" si="403"/>
        <v>15</v>
      </c>
      <c r="I844" s="293">
        <f t="shared" si="404"/>
        <v>15</v>
      </c>
      <c r="J844" s="293">
        <f t="shared" ref="J844:J849" si="405">J$828+J$829</f>
        <v>15</v>
      </c>
      <c r="K844" s="297">
        <f>SUM(K828:K834)</f>
        <v>190.70746570406297</v>
      </c>
      <c r="L844" s="216"/>
      <c r="M844" s="216"/>
      <c r="N844" s="216"/>
      <c r="O844" s="216"/>
      <c r="P844" s="216"/>
    </row>
    <row r="845" spans="2:16" x14ac:dyDescent="0.3">
      <c r="B845" t="str">
        <f>"IRR for Exit in "&amp;$Y$12+5</f>
        <v>IRR for Exit in 2029</v>
      </c>
      <c r="E845" s="133">
        <f t="shared" ref="E845:E848" si="406">IFERROR(IRR(F845:P845),"NA")</f>
        <v>0.12723954075603428</v>
      </c>
      <c r="F845" s="216">
        <f t="shared" si="400"/>
        <v>-150</v>
      </c>
      <c r="G845" s="216">
        <f t="shared" si="402"/>
        <v>15</v>
      </c>
      <c r="H845" s="216">
        <f t="shared" si="403"/>
        <v>15</v>
      </c>
      <c r="I845" s="216">
        <f t="shared" si="404"/>
        <v>15</v>
      </c>
      <c r="J845" s="216">
        <f t="shared" si="405"/>
        <v>15</v>
      </c>
      <c r="K845" s="216">
        <f>K$828+K$829</f>
        <v>15</v>
      </c>
      <c r="L845" s="216">
        <f>SUM(L828:L834)</f>
        <v>198.7698001585976</v>
      </c>
      <c r="M845" s="216"/>
      <c r="N845" s="216"/>
      <c r="O845" s="216"/>
      <c r="P845" s="216"/>
    </row>
    <row r="846" spans="2:16" x14ac:dyDescent="0.3">
      <c r="B846" t="str">
        <f>"IRR for Exit in "&amp;$Y$12+6</f>
        <v>IRR for Exit in 2030</v>
      </c>
      <c r="E846" s="133">
        <f t="shared" si="406"/>
        <v>0.12669481839172336</v>
      </c>
      <c r="F846" s="216">
        <f t="shared" si="400"/>
        <v>-150</v>
      </c>
      <c r="G846" s="216">
        <f t="shared" si="402"/>
        <v>15</v>
      </c>
      <c r="H846" s="216">
        <f t="shared" si="403"/>
        <v>15</v>
      </c>
      <c r="I846" s="216">
        <f t="shared" si="404"/>
        <v>15</v>
      </c>
      <c r="J846" s="216">
        <f t="shared" si="405"/>
        <v>15</v>
      </c>
      <c r="K846" s="216">
        <f>K$828+K$829</f>
        <v>15</v>
      </c>
      <c r="L846" s="216">
        <f>L$828+L$829</f>
        <v>15</v>
      </c>
      <c r="M846" s="216">
        <f>SUM(M828:M834)</f>
        <v>206.24036128400274</v>
      </c>
      <c r="N846" s="216"/>
      <c r="O846" s="216"/>
      <c r="P846" s="216"/>
    </row>
    <row r="847" spans="2:16" x14ac:dyDescent="0.3">
      <c r="B847" t="str">
        <f>"IRR for Exit in "&amp;$Y$12+7</f>
        <v>IRR for Exit in 2031</v>
      </c>
      <c r="E847" s="133">
        <f t="shared" si="406"/>
        <v>0.12582274915142033</v>
      </c>
      <c r="F847" s="216">
        <f t="shared" si="400"/>
        <v>-150</v>
      </c>
      <c r="G847" s="216">
        <f t="shared" si="402"/>
        <v>15</v>
      </c>
      <c r="H847" s="216">
        <f t="shared" si="403"/>
        <v>15</v>
      </c>
      <c r="I847" s="216">
        <f t="shared" si="404"/>
        <v>15</v>
      </c>
      <c r="J847" s="216">
        <f t="shared" si="405"/>
        <v>15</v>
      </c>
      <c r="K847" s="216">
        <f>K$828+K$829</f>
        <v>15</v>
      </c>
      <c r="L847" s="216">
        <f>L$828+L$829</f>
        <v>15</v>
      </c>
      <c r="M847" s="216">
        <f>M$828+M$829</f>
        <v>15</v>
      </c>
      <c r="N847" s="216">
        <f>SUM(N828:N834)</f>
        <v>213.6654763598932</v>
      </c>
      <c r="O847" s="216"/>
      <c r="P847" s="216"/>
    </row>
    <row r="848" spans="2:16" x14ac:dyDescent="0.3">
      <c r="B848" t="str">
        <f>"IRR for Exit in "&amp;$Y$12+8</f>
        <v>IRR for Exit in 2032</v>
      </c>
      <c r="E848" s="133">
        <f t="shared" si="406"/>
        <v>0.12507375360674322</v>
      </c>
      <c r="F848" s="216">
        <f t="shared" si="400"/>
        <v>-150</v>
      </c>
      <c r="G848" s="216">
        <f t="shared" si="402"/>
        <v>15</v>
      </c>
      <c r="H848" s="216">
        <f t="shared" si="403"/>
        <v>15</v>
      </c>
      <c r="I848" s="216">
        <f t="shared" si="404"/>
        <v>15</v>
      </c>
      <c r="J848" s="216">
        <f t="shared" si="405"/>
        <v>15</v>
      </c>
      <c r="K848" s="216">
        <f>K$828+K$829</f>
        <v>15</v>
      </c>
      <c r="L848" s="216">
        <f>L$828+L$829</f>
        <v>15</v>
      </c>
      <c r="M848" s="216">
        <f>M$828+M$829</f>
        <v>15</v>
      </c>
      <c r="N848" s="216">
        <f>N$828+N$829</f>
        <v>15</v>
      </c>
      <c r="O848" s="216">
        <f>SUM(O828:O834)</f>
        <v>221.7799474807579</v>
      </c>
      <c r="P848" s="216"/>
    </row>
    <row r="849" spans="2:16" x14ac:dyDescent="0.3">
      <c r="B849" t="str">
        <f>"IRR for Exit in "&amp;$Y$12+9</f>
        <v>IRR for Exit in 2033</v>
      </c>
      <c r="E849" s="133">
        <f>IFERROR(IRR(F849:P849),"NA")</f>
        <v>0.12435019840113037</v>
      </c>
      <c r="F849" s="216">
        <f t="shared" si="400"/>
        <v>-150</v>
      </c>
      <c r="G849" s="216">
        <f t="shared" si="402"/>
        <v>15</v>
      </c>
      <c r="H849" s="216">
        <f t="shared" si="403"/>
        <v>15</v>
      </c>
      <c r="I849" s="216">
        <f t="shared" si="404"/>
        <v>15</v>
      </c>
      <c r="J849" s="216">
        <f t="shared" si="405"/>
        <v>15</v>
      </c>
      <c r="K849" s="216">
        <f>K$828+K$829</f>
        <v>15</v>
      </c>
      <c r="L849" s="216">
        <f>L$828+L$829</f>
        <v>15</v>
      </c>
      <c r="M849" s="216">
        <f>M$828+M$829</f>
        <v>15</v>
      </c>
      <c r="N849" s="216">
        <f>N$828+N$829</f>
        <v>15</v>
      </c>
      <c r="O849" s="216">
        <f>O$828+O$829</f>
        <v>15</v>
      </c>
      <c r="P849" s="216">
        <f>SUM(P828:P834)</f>
        <v>230.46089903231081</v>
      </c>
    </row>
    <row r="852" spans="2:16" x14ac:dyDescent="0.3">
      <c r="B852" s="55" t="str">
        <f>"Sensitivity Analysis of the Holders of "&amp;$F$20&amp;" "&amp;$Q$16 &amp;" IRR"</f>
        <v>Sensitivity Analysis of the Holders of Preferred Stock 2028 IRR</v>
      </c>
    </row>
    <row r="854" spans="2:16" x14ac:dyDescent="0.3">
      <c r="C854" s="55" t="str">
        <f>"IRR ("&amp;$Q$16&amp;")"</f>
        <v>IRR (2028)</v>
      </c>
    </row>
    <row r="855" spans="2:16" x14ac:dyDescent="0.3">
      <c r="G855" s="406" t="str">
        <f>"Fully Diluted Equity to the Holders of "&amp;$F$20</f>
        <v>Fully Diluted Equity to the Holders of Preferred Stock</v>
      </c>
      <c r="H855" s="406"/>
      <c r="I855" s="406"/>
      <c r="J855" s="406"/>
      <c r="K855" s="406"/>
      <c r="L855" s="406"/>
    </row>
    <row r="856" spans="2:16" x14ac:dyDescent="0.3">
      <c r="G856" s="191">
        <f>MAX(H856-$Y$21,0)</f>
        <v>9.0497737556562846E-5</v>
      </c>
      <c r="H856" s="191">
        <f>MAX(I856-$Y$21,0)</f>
        <v>1.0090497737556563E-2</v>
      </c>
      <c r="I856" s="191">
        <f>MAX(J856-$Y$21,0)</f>
        <v>2.0090497737556563E-2</v>
      </c>
      <c r="J856" s="191">
        <f>$P$542</f>
        <v>3.0090497737556565E-2</v>
      </c>
      <c r="K856" s="191">
        <f>J856+$Y$21</f>
        <v>4.0090497737556567E-2</v>
      </c>
      <c r="L856" s="191">
        <f>K856+$Y$21</f>
        <v>5.0090497737556569E-2</v>
      </c>
    </row>
    <row r="857" spans="2:16" x14ac:dyDescent="0.3">
      <c r="F857" s="192">
        <f>F858-$Y$19</f>
        <v>9</v>
      </c>
      <c r="G857" s="328">
        <f>IF($I$20=0,"NA",IRR(($F$844:$J$844,G867)))</f>
        <v>8.0564944435377539E-2</v>
      </c>
      <c r="H857" s="328">
        <f>IF($I$20=0,"NA",IRR(($F$844:$J$844,H867)))</f>
        <v>9.4598772388477803E-2</v>
      </c>
      <c r="I857" s="328">
        <f>IF($I$20=0,"NA",IRR(($F$844:$J$844,I867)))</f>
        <v>0.10788525594208132</v>
      </c>
      <c r="J857" s="329">
        <f>IF($I$20=0,"NA",IRR(($F$844:$J$844,J867)))</f>
        <v>0.1205094884373894</v>
      </c>
      <c r="K857" s="328">
        <f>IF($I$20=0,"NA",IRR(($F$844:$J$844,K867)))</f>
        <v>0.13254229802930229</v>
      </c>
      <c r="L857" s="328">
        <f>IF($I$20=0,"NA",IRR(($F$844:$J$844,L867)))</f>
        <v>0.14404332156363897</v>
      </c>
    </row>
    <row r="858" spans="2:16" x14ac:dyDescent="0.3">
      <c r="E858" s="149" t="s">
        <v>444</v>
      </c>
      <c r="F858" s="192">
        <f>F859-$Y$19</f>
        <v>9.5</v>
      </c>
      <c r="G858" s="328">
        <f>IF($I$20=0,"NA",IRR(($F$844:$J$844,G868)))</f>
        <v>8.0575853583936485E-2</v>
      </c>
      <c r="H858" s="328">
        <f>IF($I$20=0,"NA",IRR(($F$844:$J$844,H868)))</f>
        <v>9.5745511399158101E-2</v>
      </c>
      <c r="I858" s="328">
        <f>IF($I$20=0,"NA",IRR(($F$844:$J$844,I868)))</f>
        <v>0.11004670467602096</v>
      </c>
      <c r="J858" s="330">
        <f>IF($I$20=0,"NA",IRR(($F$844:$J$844,J868)))</f>
        <v>0.12358523142255295</v>
      </c>
      <c r="K858" s="328">
        <f>IF($I$20=0,"NA",IRR(($F$844:$J$844,K868)))</f>
        <v>0.13644799322902434</v>
      </c>
      <c r="L858" s="328">
        <f>IF($I$20=0,"NA",IRR(($F$844:$J$844,L868)))</f>
        <v>0.14870731729794406</v>
      </c>
    </row>
    <row r="859" spans="2:16" x14ac:dyDescent="0.3">
      <c r="E859" s="149" t="s">
        <v>99</v>
      </c>
      <c r="F859" s="192">
        <f>$Y$18</f>
        <v>10</v>
      </c>
      <c r="G859" s="331">
        <f>IF($I$20=0,"NA",IRR(($F$844:$J$844,G869)))</f>
        <v>8.0586762248013866E-2</v>
      </c>
      <c r="H859" s="332">
        <f>IF($I$20=0,"NA",IRR(($F$844:$J$844,H869)))</f>
        <v>9.6887013314771897E-2</v>
      </c>
      <c r="I859" s="332">
        <f>IF($I$20=0,"NA",IRR(($F$844:$J$844,I869)))</f>
        <v>0.11218991507142761</v>
      </c>
      <c r="J859" s="333">
        <f>IF($I$20=0,"NA",IRR(($F$844:$J$844,J869)))</f>
        <v>0.12662471191343805</v>
      </c>
      <c r="K859" s="332">
        <f>IF($I$20=0,"NA",IRR(($F$844:$J$844,K869)))</f>
        <v>0.14029619277463246</v>
      </c>
      <c r="L859" s="334">
        <f>IF($I$20=0,"NA",IRR(($F$844:$J$844,L869)))</f>
        <v>0.15329059563912972</v>
      </c>
    </row>
    <row r="860" spans="2:16" x14ac:dyDescent="0.3">
      <c r="E860" s="149" t="s">
        <v>445</v>
      </c>
      <c r="F860" s="192">
        <f>F859+$Y$19</f>
        <v>10.5</v>
      </c>
      <c r="G860" s="328">
        <f>IF($I$20=0,"NA",IRR(($F$844:$J$844,G870)))</f>
        <v>8.0597670427658974E-2</v>
      </c>
      <c r="H860" s="328">
        <f>IF($I$20=0,"NA",IRR(($F$844:$J$844,H870)))</f>
        <v>9.802333243944128E-2</v>
      </c>
      <c r="I860" s="328">
        <f>IF($I$20=0,"NA",IRR(($F$844:$J$844,I870)))</f>
        <v>0.11431523459935411</v>
      </c>
      <c r="J860" s="330">
        <f>IF($I$20=0,"NA",IRR(($F$844:$J$844,J870)))</f>
        <v>0.12962889059751914</v>
      </c>
      <c r="K860" s="328">
        <f>IF($I$20=0,"NA",IRR(($F$844:$J$844,K870)))</f>
        <v>0.1440887905910333</v>
      </c>
      <c r="L860" s="328">
        <f>IF($I$20=0,"NA",IRR(($F$844:$J$844,L870)))</f>
        <v>0.15779627093815662</v>
      </c>
    </row>
    <row r="861" spans="2:16" x14ac:dyDescent="0.3">
      <c r="F861" s="192">
        <f>F860+$Y$19</f>
        <v>11</v>
      </c>
      <c r="G861" s="328">
        <f>IF($I$20=0,"NA",IRR(($F$844:$J$844,G871)))</f>
        <v>8.060857812292066E-2</v>
      </c>
      <c r="H861" s="328">
        <f>IF($I$20=0,"NA",IRR(($F$844:$J$844,H871)))</f>
        <v>9.9154522196377659E-2</v>
      </c>
      <c r="I861" s="328">
        <f>IF($I$20=0,"NA",IRR(($F$844:$J$844,I871)))</f>
        <v>0.11642300047081333</v>
      </c>
      <c r="J861" s="335">
        <f>IF($I$20=0,"NA",IRR(($F$844:$J$844,J871)))</f>
        <v>0.13259868884980341</v>
      </c>
      <c r="K861" s="328">
        <f>IF($I$20=0,"NA",IRR(($F$844:$J$844,K871)))</f>
        <v>0.14782758470794488</v>
      </c>
      <c r="L861" s="328">
        <f>IF($I$20=0,"NA",IRR(($F$844:$J$844,L871)))</f>
        <v>0.16222727345900179</v>
      </c>
    </row>
    <row r="864" spans="2:16" x14ac:dyDescent="0.3">
      <c r="C864" s="55" t="str">
        <f>"Total Cash Flows at Exit Year ("&amp;$Q$16&amp;")"</f>
        <v>Total Cash Flows at Exit Year (2028)</v>
      </c>
    </row>
    <row r="865" spans="5:12" x14ac:dyDescent="0.3">
      <c r="G865" s="406" t="str">
        <f>"Fully Diluted Equity to the Holders of "&amp;$F$20</f>
        <v>Fully Diluted Equity to the Holders of Preferred Stock</v>
      </c>
      <c r="H865" s="406"/>
      <c r="I865" s="406"/>
      <c r="J865" s="406"/>
      <c r="K865" s="406"/>
      <c r="L865" s="406"/>
    </row>
    <row r="866" spans="5:12" x14ac:dyDescent="0.3">
      <c r="G866" s="191">
        <f>MAX(H866-$Y$21,0)</f>
        <v>9.0497737556562846E-5</v>
      </c>
      <c r="H866" s="191">
        <f>MAX(I866-$Y$21,0)</f>
        <v>1.0090497737556563E-2</v>
      </c>
      <c r="I866" s="191">
        <f>MAX(J866-$Y$21,0)</f>
        <v>2.0090497737556563E-2</v>
      </c>
      <c r="J866" s="191">
        <f>$P$542</f>
        <v>3.0090497737556565E-2</v>
      </c>
      <c r="K866" s="191">
        <f>J866+$Y$21</f>
        <v>4.0090497737556567E-2</v>
      </c>
      <c r="L866" s="191">
        <f>K866+$Y$21</f>
        <v>5.0090497737556569E-2</v>
      </c>
    </row>
    <row r="867" spans="5:12" x14ac:dyDescent="0.3">
      <c r="F867" s="192">
        <f>F868-$Y$19</f>
        <v>9</v>
      </c>
      <c r="G867" s="34">
        <f t="shared" ref="G867:L871" si="407">($K$562+($K$551*($F867-$F$869)))*G$866+SUM($K$828:$K$833)</f>
        <v>147.87806599126426</v>
      </c>
      <c r="H867" s="34">
        <f t="shared" si="407"/>
        <v>160.10665802596395</v>
      </c>
      <c r="I867" s="34">
        <f t="shared" si="407"/>
        <v>172.33525006066364</v>
      </c>
      <c r="J867" s="336">
        <f t="shared" si="407"/>
        <v>184.56384209536333</v>
      </c>
      <c r="K867" s="34">
        <f t="shared" si="407"/>
        <v>196.79243413006304</v>
      </c>
      <c r="L867" s="34">
        <f t="shared" si="407"/>
        <v>209.02102616476273</v>
      </c>
    </row>
    <row r="868" spans="5:12" x14ac:dyDescent="0.3">
      <c r="E868" s="149" t="s">
        <v>444</v>
      </c>
      <c r="F868" s="192">
        <f>F869-$Y$19</f>
        <v>9.5</v>
      </c>
      <c r="G868" s="34">
        <f t="shared" si="407"/>
        <v>147.88730452300666</v>
      </c>
      <c r="H868" s="34">
        <f t="shared" si="407"/>
        <v>161.13675431524217</v>
      </c>
      <c r="I868" s="34">
        <f t="shared" si="407"/>
        <v>174.38620410747765</v>
      </c>
      <c r="J868" s="337">
        <f t="shared" si="407"/>
        <v>187.63565389971316</v>
      </c>
      <c r="K868" s="34">
        <f t="shared" si="407"/>
        <v>200.88510369194864</v>
      </c>
      <c r="L868" s="34">
        <f t="shared" si="407"/>
        <v>214.13455348418415</v>
      </c>
    </row>
    <row r="869" spans="5:12" x14ac:dyDescent="0.3">
      <c r="E869" s="149" t="s">
        <v>99</v>
      </c>
      <c r="F869" s="192">
        <f>$Y$18</f>
        <v>10</v>
      </c>
      <c r="G869" s="338">
        <f t="shared" si="407"/>
        <v>147.89654305474906</v>
      </c>
      <c r="H869" s="339">
        <f t="shared" si="407"/>
        <v>162.16685060452036</v>
      </c>
      <c r="I869" s="339">
        <f t="shared" si="407"/>
        <v>176.43715815429167</v>
      </c>
      <c r="J869" s="340">
        <f t="shared" si="407"/>
        <v>190.70746570406297</v>
      </c>
      <c r="K869" s="339">
        <f t="shared" si="407"/>
        <v>204.97777325383427</v>
      </c>
      <c r="L869" s="341">
        <f t="shared" si="407"/>
        <v>219.24808080360557</v>
      </c>
    </row>
    <row r="870" spans="5:12" x14ac:dyDescent="0.3">
      <c r="E870" s="149" t="s">
        <v>445</v>
      </c>
      <c r="F870" s="192">
        <f>F869+$Y$19</f>
        <v>10.5</v>
      </c>
      <c r="G870" s="34">
        <f t="shared" si="407"/>
        <v>147.90578158649149</v>
      </c>
      <c r="H870" s="34">
        <f t="shared" si="407"/>
        <v>163.19694689379858</v>
      </c>
      <c r="I870" s="34">
        <f t="shared" si="407"/>
        <v>178.48811220110568</v>
      </c>
      <c r="J870" s="337">
        <f t="shared" si="407"/>
        <v>193.77927750841278</v>
      </c>
      <c r="K870" s="34">
        <f t="shared" si="407"/>
        <v>209.0704428157199</v>
      </c>
      <c r="L870" s="34">
        <f t="shared" si="407"/>
        <v>224.361608123027</v>
      </c>
    </row>
    <row r="871" spans="5:12" x14ac:dyDescent="0.3">
      <c r="F871" s="192">
        <f>F870+$Y$19</f>
        <v>11</v>
      </c>
      <c r="G871" s="34">
        <f t="shared" si="407"/>
        <v>147.91502011823388</v>
      </c>
      <c r="H871" s="34">
        <f t="shared" si="407"/>
        <v>164.22704318307677</v>
      </c>
      <c r="I871" s="34">
        <f t="shared" si="407"/>
        <v>180.53906624791969</v>
      </c>
      <c r="J871" s="342">
        <f t="shared" si="407"/>
        <v>196.85108931276261</v>
      </c>
      <c r="K871" s="34">
        <f t="shared" si="407"/>
        <v>213.1631123776055</v>
      </c>
      <c r="L871" s="34">
        <f t="shared" si="407"/>
        <v>229.47513544244842</v>
      </c>
    </row>
  </sheetData>
  <mergeCells count="71">
    <mergeCell ref="AF7:AG7"/>
    <mergeCell ref="B165:P165"/>
    <mergeCell ref="G167:O167"/>
    <mergeCell ref="B59:P59"/>
    <mergeCell ref="V7:W7"/>
    <mergeCell ref="D61:F61"/>
    <mergeCell ref="E132:G132"/>
    <mergeCell ref="B26:I26"/>
    <mergeCell ref="B44:I44"/>
    <mergeCell ref="V90:AJ90"/>
    <mergeCell ref="B101:P101"/>
    <mergeCell ref="K26:R26"/>
    <mergeCell ref="K27:R27"/>
    <mergeCell ref="V27:AB27"/>
    <mergeCell ref="AD27:AR27"/>
    <mergeCell ref="G598:P598"/>
    <mergeCell ref="B205:P205"/>
    <mergeCell ref="G263:P263"/>
    <mergeCell ref="G548:P548"/>
    <mergeCell ref="G591:P591"/>
    <mergeCell ref="B567:P567"/>
    <mergeCell ref="B589:P589"/>
    <mergeCell ref="B546:P546"/>
    <mergeCell ref="B530:P530"/>
    <mergeCell ref="B462:P462"/>
    <mergeCell ref="B2:R2"/>
    <mergeCell ref="B3:R3"/>
    <mergeCell ref="G807:L807"/>
    <mergeCell ref="G823:P823"/>
    <mergeCell ref="G837:P837"/>
    <mergeCell ref="G739:L739"/>
    <mergeCell ref="G749:L749"/>
    <mergeCell ref="G765:P765"/>
    <mergeCell ref="G779:P779"/>
    <mergeCell ref="G797:L797"/>
    <mergeCell ref="G681:L681"/>
    <mergeCell ref="G691:L691"/>
    <mergeCell ref="G707:P707"/>
    <mergeCell ref="G721:P721"/>
    <mergeCell ref="G628:L628"/>
    <mergeCell ref="G630:L630"/>
    <mergeCell ref="G616:L616"/>
    <mergeCell ref="E28:I28"/>
    <mergeCell ref="G411:P411"/>
    <mergeCell ref="B409:P409"/>
    <mergeCell ref="B364:P364"/>
    <mergeCell ref="G366:P366"/>
    <mergeCell ref="K39:R39"/>
    <mergeCell ref="N41:R41"/>
    <mergeCell ref="G321:P321"/>
    <mergeCell ref="B319:P319"/>
    <mergeCell ref="G61:P61"/>
    <mergeCell ref="N132:P132"/>
    <mergeCell ref="B261:P261"/>
    <mergeCell ref="G207:P207"/>
    <mergeCell ref="B129:P129"/>
    <mergeCell ref="G569:P569"/>
    <mergeCell ref="G855:L855"/>
    <mergeCell ref="G865:L865"/>
    <mergeCell ref="G649:P649"/>
    <mergeCell ref="G663:P663"/>
    <mergeCell ref="G618:L618"/>
    <mergeCell ref="B647:P647"/>
    <mergeCell ref="B705:P705"/>
    <mergeCell ref="B763:P763"/>
    <mergeCell ref="B821:P821"/>
    <mergeCell ref="B4:R4"/>
    <mergeCell ref="B5:R5"/>
    <mergeCell ref="N9:Q9"/>
    <mergeCell ref="N15:Q15"/>
    <mergeCell ref="B9:K9"/>
  </mergeCells>
  <conditionalFormatting sqref="F255:P255">
    <cfRule type="cellIs" dxfId="1" priority="1" operator="notEqual">
      <formula>0</formula>
    </cfRule>
    <cfRule type="cellIs" priority="2" operator="notEqual">
      <formula>0</formula>
    </cfRule>
  </conditionalFormatting>
  <conditionalFormatting sqref="Z52:AB52">
    <cfRule type="cellIs" dxfId="0" priority="4" operator="notEqual">
      <formula>0</formula>
    </cfRule>
  </conditionalFormatting>
  <dataValidations count="2">
    <dataValidation type="whole" allowBlank="1" showInputMessage="1" showErrorMessage="1" sqref="AD10 AG14" xr:uid="{654F2FF5-327B-4010-A919-6A9F3FA42CA7}">
      <formula1>0</formula1>
      <formula2>1</formula2>
    </dataValidation>
    <dataValidation type="whole" allowBlank="1" showInputMessage="1" showErrorMessage="1" sqref="X96:X100 X106" xr:uid="{ED6C4FE0-2E52-4BC9-9BF9-AABA70993B6B}">
      <formula1>0</formula1>
      <formula2>1000</formula2>
    </dataValidation>
  </dataValidations>
  <printOptions horizontalCentered="1"/>
  <pageMargins left="0" right="0" top="0.55000000000000004" bottom="0.55000000000000004" header="0" footer="0.2"/>
  <pageSetup paperSize="9" scale="61" orientation="landscape" r:id="rId1"/>
  <headerFooter>
    <oddFooter>&amp;LTRITON PARTNERS&amp;C&amp;P / &amp;N&amp;R&amp;D  &amp;T</oddFooter>
  </headerFooter>
  <rowBreaks count="1" manualBreakCount="1">
    <brk id="55" min="1" max="17" man="1"/>
  </rowBreaks>
  <colBreaks count="1" manualBreakCount="1">
    <brk id="18" max="1048575" man="1"/>
  </colBreaks>
  <ignoredErrors>
    <ignoredError sqref="F173:P173 G223:P223 J22" formula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ef3e80-d695-43e6-8227-398348e2d9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375CAE7DDE545A2CBBF072469CB27" ma:contentTypeVersion="8" ma:contentTypeDescription="Create a new document." ma:contentTypeScope="" ma:versionID="57779ed74034dbff1263e82f3a54c418">
  <xsd:schema xmlns:xsd="http://www.w3.org/2001/XMLSchema" xmlns:xs="http://www.w3.org/2001/XMLSchema" xmlns:p="http://schemas.microsoft.com/office/2006/metadata/properties" xmlns:ns3="a5ef3e80-d695-43e6-8227-398348e2d9aa" xmlns:ns4="bd9a4012-0f06-4cce-b568-31439d69328d" targetNamespace="http://schemas.microsoft.com/office/2006/metadata/properties" ma:root="true" ma:fieldsID="70d71baab6df810632f56fe17b8a1775" ns3:_="" ns4:_="">
    <xsd:import namespace="a5ef3e80-d695-43e6-8227-398348e2d9aa"/>
    <xsd:import namespace="bd9a4012-0f06-4cce-b568-31439d69328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f3e80-d695-43e6-8227-398348e2d9a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a4012-0f06-4cce-b568-31439d69328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EAC19-1D98-42BF-87E1-41F0421277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8EBDC6-80E1-475E-882C-3BA8A0BC64BE}">
  <ds:schemaRefs>
    <ds:schemaRef ds:uri="http://schemas.microsoft.com/office/2006/metadata/properties"/>
    <ds:schemaRef ds:uri="http://schemas.microsoft.com/office/infopath/2007/PartnerControls"/>
    <ds:schemaRef ds:uri="a5ef3e80-d695-43e6-8227-398348e2d9aa"/>
  </ds:schemaRefs>
</ds:datastoreItem>
</file>

<file path=customXml/itemProps3.xml><?xml version="1.0" encoding="utf-8"?>
<ds:datastoreItem xmlns:ds="http://schemas.openxmlformats.org/officeDocument/2006/customXml" ds:itemID="{FEE18F54-0EAE-4690-9A09-5F403BDC6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ef3e80-d695-43e6-8227-398348e2d9aa"/>
    <ds:schemaRef ds:uri="bd9a4012-0f06-4cce-b568-31439d693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Comparables</vt:lpstr>
      <vt:lpstr>DCF Analysis</vt:lpstr>
      <vt:lpstr>Valuation</vt:lpstr>
      <vt:lpstr>LBO</vt:lpstr>
      <vt:lpstr>Comparables!KeyStats</vt:lpstr>
      <vt:lpstr>Comparables!Print_Area</vt:lpstr>
      <vt:lpstr>'DCF Analysis'!Print_Area</vt:lpstr>
      <vt:lpstr>LBO!Print_Area</vt:lpstr>
      <vt:lpstr>Valuation!Print_Area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AITHEPALLI Chohan</dc:creator>
  <cp:keywords/>
  <dc:description/>
  <cp:lastModifiedBy>AITHEPALLI Chohan</cp:lastModifiedBy>
  <cp:revision/>
  <cp:lastPrinted>2025-04-29T11:27:55Z</cp:lastPrinted>
  <dcterms:created xsi:type="dcterms:W3CDTF">2024-03-17T18:51:42Z</dcterms:created>
  <dcterms:modified xsi:type="dcterms:W3CDTF">2025-04-29T11:29:55Z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0x0101000D4375CAE7DDE545A2CBBF072469CB27</vt:lpwstr>
  </property>
</Properties>
</file>