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D:\Chohan\1. University , Work and Visa\_TAMU\S2\Finc 644 Funding New Ventures\Case Studies\"/>
    </mc:Choice>
  </mc:AlternateContent>
  <xr:revisionPtr revIDLastSave="0" documentId="13_ncr:1_{2F17C289-15AE-40CF-8F9C-BEB19065A13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ulti-Offer Comparision" sheetId="4" r:id="rId1"/>
    <sheet name="Strategic Alliance over VC" sheetId="6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7" i="4" l="1"/>
  <c r="I47" i="4"/>
  <c r="G47" i="4"/>
  <c r="F20" i="4"/>
  <c r="F21" i="4"/>
  <c r="J63" i="4" s="1"/>
  <c r="F19" i="4"/>
  <c r="G63" i="4" s="1"/>
  <c r="G64" i="4" s="1"/>
  <c r="F68" i="4"/>
  <c r="N37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L53" i="4"/>
  <c r="M53" i="4"/>
  <c r="N53" i="4"/>
  <c r="O53" i="4"/>
  <c r="P53" i="4"/>
  <c r="Q53" i="4"/>
  <c r="R53" i="4"/>
  <c r="S53" i="4"/>
  <c r="T53" i="4"/>
  <c r="K53" i="4"/>
  <c r="D97" i="4"/>
  <c r="L73" i="4"/>
  <c r="M73" i="4"/>
  <c r="N73" i="4"/>
  <c r="O73" i="4"/>
  <c r="P73" i="4"/>
  <c r="Q73" i="4"/>
  <c r="R73" i="4"/>
  <c r="S73" i="4"/>
  <c r="T73" i="4"/>
  <c r="L74" i="4"/>
  <c r="M74" i="4"/>
  <c r="N74" i="4"/>
  <c r="O74" i="4"/>
  <c r="P74" i="4"/>
  <c r="Q74" i="4"/>
  <c r="R74" i="4"/>
  <c r="S74" i="4"/>
  <c r="T74" i="4"/>
  <c r="K74" i="4"/>
  <c r="K73" i="4"/>
  <c r="J62" i="4"/>
  <c r="J67" i="4" s="1"/>
  <c r="I62" i="4"/>
  <c r="H62" i="4"/>
  <c r="H67" i="4" s="1"/>
  <c r="G62" i="4"/>
  <c r="F62" i="4"/>
  <c r="F60" i="4"/>
  <c r="D8" i="4"/>
  <c r="J46" i="4"/>
  <c r="I46" i="4"/>
  <c r="G46" i="4"/>
  <c r="D91" i="4" s="1"/>
  <c r="D43" i="4"/>
  <c r="G48" i="4" l="1"/>
  <c r="G49" i="4" s="1"/>
  <c r="F67" i="4"/>
  <c r="D96" i="4"/>
  <c r="I63" i="4"/>
  <c r="I64" i="4" s="1"/>
  <c r="J64" i="4" s="1"/>
  <c r="G70" i="4"/>
  <c r="G66" i="4"/>
  <c r="G67" i="4" s="1"/>
  <c r="G60" i="4"/>
  <c r="H60" i="4" s="1"/>
  <c r="I60" i="4" s="1"/>
  <c r="J60" i="4" s="1"/>
  <c r="K60" i="4" s="1"/>
  <c r="L60" i="4" s="1"/>
  <c r="I48" i="4" l="1"/>
  <c r="J70" i="4"/>
  <c r="J71" i="4" s="1"/>
  <c r="M72" i="4"/>
  <c r="M75" i="4" s="1"/>
  <c r="N72" i="4"/>
  <c r="N75" i="4" s="1"/>
  <c r="K72" i="4"/>
  <c r="K75" i="4" s="1"/>
  <c r="O72" i="4"/>
  <c r="O75" i="4" s="1"/>
  <c r="P72" i="4"/>
  <c r="P75" i="4" s="1"/>
  <c r="Q72" i="4"/>
  <c r="Q75" i="4" s="1"/>
  <c r="R72" i="4"/>
  <c r="R75" i="4" s="1"/>
  <c r="T72" i="4"/>
  <c r="T75" i="4" s="1"/>
  <c r="S72" i="4"/>
  <c r="S75" i="4" s="1"/>
  <c r="L72" i="4"/>
  <c r="L75" i="4" s="1"/>
  <c r="I66" i="4"/>
  <c r="I67" i="4" s="1"/>
  <c r="I68" i="4" s="1"/>
  <c r="I70" i="4"/>
  <c r="G68" i="4"/>
  <c r="M60" i="4"/>
  <c r="G71" i="4"/>
  <c r="J68" i="4"/>
  <c r="H68" i="4"/>
  <c r="J48" i="4" l="1"/>
  <c r="I49" i="4"/>
  <c r="I71" i="4"/>
  <c r="D71" i="4" s="1"/>
  <c r="D98" i="4"/>
  <c r="D68" i="4"/>
  <c r="N60" i="4"/>
  <c r="O51" i="4" l="1"/>
  <c r="L51" i="4"/>
  <c r="T51" i="4"/>
  <c r="N51" i="4"/>
  <c r="P51" i="4"/>
  <c r="Q51" i="4"/>
  <c r="R51" i="4"/>
  <c r="K51" i="4"/>
  <c r="S51" i="4"/>
  <c r="J49" i="4"/>
  <c r="D92" i="4" s="1"/>
  <c r="M51" i="4"/>
  <c r="O60" i="4"/>
  <c r="P60" i="4" l="1"/>
  <c r="Q60" i="4" l="1"/>
  <c r="I15" i="4"/>
  <c r="G44" i="4"/>
  <c r="F42" i="4"/>
  <c r="L37" i="4"/>
  <c r="L52" i="4" s="1"/>
  <c r="M37" i="4"/>
  <c r="M52" i="4" s="1"/>
  <c r="N52" i="4"/>
  <c r="O37" i="4"/>
  <c r="O52" i="4" s="1"/>
  <c r="P37" i="4"/>
  <c r="P52" i="4" s="1"/>
  <c r="Q37" i="4"/>
  <c r="Q52" i="4" s="1"/>
  <c r="R37" i="4"/>
  <c r="R52" i="4" s="1"/>
  <c r="S37" i="4"/>
  <c r="S52" i="4" s="1"/>
  <c r="T37" i="4"/>
  <c r="T52" i="4" s="1"/>
  <c r="L38" i="4"/>
  <c r="M38" i="4"/>
  <c r="N38" i="4"/>
  <c r="O38" i="4"/>
  <c r="P38" i="4"/>
  <c r="Q38" i="4"/>
  <c r="R38" i="4"/>
  <c r="S38" i="4"/>
  <c r="T38" i="4"/>
  <c r="K38" i="4"/>
  <c r="K37" i="4"/>
  <c r="K52" i="4" s="1"/>
  <c r="G27" i="4"/>
  <c r="H27" i="4" s="1"/>
  <c r="I27" i="4" s="1"/>
  <c r="J27" i="4" s="1"/>
  <c r="K27" i="4" s="1"/>
  <c r="L27" i="4" s="1"/>
  <c r="M27" i="4" s="1"/>
  <c r="N27" i="4" s="1"/>
  <c r="O27" i="4" s="1"/>
  <c r="P27" i="4" s="1"/>
  <c r="Q27" i="4" s="1"/>
  <c r="R27" i="4" s="1"/>
  <c r="S27" i="4" s="1"/>
  <c r="T27" i="4" s="1"/>
  <c r="F28" i="4"/>
  <c r="G28" i="4" s="1"/>
  <c r="H28" i="4" s="1"/>
  <c r="I28" i="4" s="1"/>
  <c r="J28" i="4" s="1"/>
  <c r="K28" i="4" s="1"/>
  <c r="L28" i="4" s="1"/>
  <c r="M28" i="4" s="1"/>
  <c r="N28" i="4" s="1"/>
  <c r="O28" i="4" s="1"/>
  <c r="P28" i="4" s="1"/>
  <c r="Q28" i="4" s="1"/>
  <c r="R28" i="4" s="1"/>
  <c r="S28" i="4" s="1"/>
  <c r="T28" i="4" s="1"/>
  <c r="R60" i="4" l="1"/>
  <c r="G42" i="4"/>
  <c r="F45" i="4"/>
  <c r="H44" i="4"/>
  <c r="G45" i="4"/>
  <c r="S60" i="4" l="1"/>
  <c r="H42" i="4"/>
  <c r="I42" i="4" s="1"/>
  <c r="I50" i="4" s="1"/>
  <c r="G50" i="4"/>
  <c r="I44" i="4"/>
  <c r="H45" i="4"/>
  <c r="T60" i="4" l="1"/>
  <c r="J42" i="4"/>
  <c r="J50" i="4" s="1"/>
  <c r="J44" i="4"/>
  <c r="J45" i="4" s="1"/>
  <c r="I45" i="4"/>
  <c r="D45" i="4" s="1"/>
  <c r="D90" i="4" l="1"/>
  <c r="D75" i="4"/>
  <c r="D76" i="4" s="1"/>
  <c r="D81" i="4" s="1"/>
  <c r="K42" i="4"/>
  <c r="D50" i="4"/>
  <c r="L42" i="4" l="1"/>
  <c r="K54" i="4"/>
  <c r="M42" i="4" l="1"/>
  <c r="L54" i="4"/>
  <c r="N42" i="4" l="1"/>
  <c r="M54" i="4"/>
  <c r="O42" i="4" l="1"/>
  <c r="N54" i="4"/>
  <c r="P42" i="4" l="1"/>
  <c r="O54" i="4"/>
  <c r="Q42" i="4" l="1"/>
  <c r="P54" i="4"/>
  <c r="R42" i="4" l="1"/>
  <c r="Q54" i="4"/>
  <c r="S42" i="4" l="1"/>
  <c r="R54" i="4"/>
  <c r="T42" i="4" l="1"/>
  <c r="T54" i="4" s="1"/>
  <c r="S54" i="4"/>
  <c r="D54" i="4" l="1"/>
  <c r="D55" i="4" s="1"/>
  <c r="D80" i="4" l="1"/>
  <c r="G81" i="4" s="1"/>
  <c r="D86" i="4" l="1"/>
</calcChain>
</file>

<file path=xl/sharedStrings.xml><?xml version="1.0" encoding="utf-8"?>
<sst xmlns="http://schemas.openxmlformats.org/spreadsheetml/2006/main" count="136" uniqueCount="105">
  <si>
    <t>Siritris Pharmaceuticals</t>
  </si>
  <si>
    <t>Discount Rate</t>
  </si>
  <si>
    <t>GSK Inputs</t>
  </si>
  <si>
    <t>Eli Lily</t>
  </si>
  <si>
    <t>Total milestone payments</t>
  </si>
  <si>
    <t>Royalty</t>
  </si>
  <si>
    <t>US(50/50 profit split)</t>
  </si>
  <si>
    <t>US (30% if sales&gt;$10mil)</t>
  </si>
  <si>
    <t>ex-US (10% of sales)</t>
  </si>
  <si>
    <t>ex-US (30% if sales&gt;$10mil)</t>
  </si>
  <si>
    <t>a)</t>
  </si>
  <si>
    <t>SRT501 did phase 1 clinical trials in endocrine/metabolic category</t>
  </si>
  <si>
    <t>Estimated probability of clinical trial success</t>
  </si>
  <si>
    <t>Biomedtracker</t>
  </si>
  <si>
    <t>Probability that SRT501 successfully passes Phase 2, Phase 3, FDA approval</t>
  </si>
  <si>
    <t>Phase 2</t>
  </si>
  <si>
    <t>Phase 3</t>
  </si>
  <si>
    <t>FDA approve NDA</t>
  </si>
  <si>
    <t>b)</t>
  </si>
  <si>
    <t>External consultant</t>
  </si>
  <si>
    <t>Input weights</t>
  </si>
  <si>
    <t>NDA</t>
  </si>
  <si>
    <t>Year</t>
  </si>
  <si>
    <t>(in $mil)</t>
  </si>
  <si>
    <t>Revenues</t>
  </si>
  <si>
    <t>US</t>
  </si>
  <si>
    <t>ex-US</t>
  </si>
  <si>
    <t>Costs</t>
  </si>
  <si>
    <t>Net</t>
  </si>
  <si>
    <t>GSK offer valuation</t>
  </si>
  <si>
    <t>Total</t>
  </si>
  <si>
    <t>NPV(Upfront option payment)</t>
  </si>
  <si>
    <t>Guarenteed R&amp;D support (undiscounted)</t>
  </si>
  <si>
    <t>NPV(Guaranteed R&amp;D support)</t>
  </si>
  <si>
    <t>Milestone Payment (undiscounted)</t>
  </si>
  <si>
    <t>Individual success probability</t>
  </si>
  <si>
    <t>Cumulative success probability</t>
  </si>
  <si>
    <t>Prob. weighted milestone (undiscounted)</t>
  </si>
  <si>
    <t>NPV(Milestone payments)</t>
  </si>
  <si>
    <t xml:space="preserve">   Royalty payments for sales</t>
  </si>
  <si>
    <t>NPV (Royalties)</t>
  </si>
  <si>
    <t>Total PV of the Deal</t>
  </si>
  <si>
    <t>Eli Lily offer valuation</t>
  </si>
  <si>
    <t>R&amp;D support (with clinical success)</t>
  </si>
  <si>
    <t>Prob. Weighted R&amp;D support (with clinical success)</t>
  </si>
  <si>
    <t>Total R&amp;D support</t>
  </si>
  <si>
    <t>NPV( R&amp;D support)</t>
  </si>
  <si>
    <t>PV of GSK's Offer</t>
  </si>
  <si>
    <t>GSK's deal is more valuale than Eli Lily's</t>
  </si>
  <si>
    <t>PV of Eli Lily' Offer</t>
  </si>
  <si>
    <t>c.i)</t>
  </si>
  <si>
    <t>Common Percentage</t>
  </si>
  <si>
    <t xml:space="preserve">NPV GSK = NPV Eli Lilly </t>
  </si>
  <si>
    <t>At -6.0%</t>
  </si>
  <si>
    <t>c.ii)</t>
  </si>
  <si>
    <t>GSK</t>
  </si>
  <si>
    <t>Guaranteed Capital</t>
  </si>
  <si>
    <t>Capital provided (along the clinical success)</t>
  </si>
  <si>
    <t>Probability weighted</t>
  </si>
  <si>
    <t>The greatest amount of risk for the Sirtrius Shareholders is accept Eli Lily's offer</t>
  </si>
  <si>
    <t>The GSK proposal has a larger $75M upfront payment, whereas Eli Lilly has no upfront payment.</t>
  </si>
  <si>
    <t>"I am a big believer in raising as much up front  as possible" - Westphal</t>
  </si>
  <si>
    <t>The R&amp;D funding from GSK is fully guaranteed at $100M over 5 years, while Eli Lilly only guarantees $100M and the other $40M is contingent on progressing.</t>
  </si>
  <si>
    <t>The milestone payments from GSK are larger ($200M total vs $150M from Eli Lilly) and come sooner (partially after Phase 2 vs nothing until Phase 3 for Eli Lilly).</t>
  </si>
  <si>
    <t>Sirtris has limited experience in late-stage trials and commercialization according to the case. This makes the larger upfront funds and technical support implied by the GSK deal more valuable.</t>
  </si>
  <si>
    <t>GSK Proposal is less riskier than Eli Lily despite the upside of higher royalty rate offered by Eli Lily.</t>
  </si>
  <si>
    <t> Pros  </t>
  </si>
  <si>
    <t>Cons  </t>
  </si>
  <si>
    <t> GSK ( Strategic alliance)</t>
  </si>
  <si>
    <t>Industry leaders in marketing radical new drugs  </t>
  </si>
  <si>
    <t>Expected decrease in profits and cash flow due to increasing competition  </t>
  </si>
  <si>
    <t>Respects IPR of alliances  </t>
  </si>
  <si>
    <t>No in-house innovations  </t>
  </si>
  <si>
    <t> Provides technical, human and financial resources. </t>
  </si>
  <si>
    <t>Highly involved in day-to-day activities </t>
  </si>
  <si>
    <t>Merck Ventures (CVC) </t>
  </si>
  <si>
    <t>Best clinical trial and intellectual legal teams  </t>
  </si>
  <si>
    <t>Risk of trade secret leak  </t>
  </si>
  <si>
    <t>Industry expertise  </t>
  </si>
  <si>
    <t>Competitive to sirtrius  </t>
  </si>
  <si>
    <t>minimal input and management of r&amp;d activities  </t>
  </si>
  <si>
    <t>Sequoia Capital  (IVC)</t>
  </si>
  <si>
    <t> Independent Venture capital  </t>
  </si>
  <si>
    <t> No R&amp;D operational input  </t>
  </si>
  <si>
    <t>Less interference in the day-to-day activities  </t>
  </si>
  <si>
    <t>Focussed solely on financial return  </t>
  </si>
  <si>
    <t> </t>
  </si>
  <si>
    <t xml:space="preserve">Ranking the offers </t>
  </si>
  <si>
    <t xml:space="preserve">Sequoia Capital </t>
  </si>
  <si>
    <t xml:space="preserve">Merck ventures </t>
  </si>
  <si>
    <t xml:space="preserve">GSK </t>
  </si>
  <si>
    <t>Sequoia Capital  (IVC)</t>
  </si>
  <si>
    <t xml:space="preserve">Cannot provide R&amp;D management capabilities &amp; resources
 </t>
  </si>
  <si>
    <t xml:space="preserve">Missing the industrial guidance delays drug to market period. Company might suffer from the lack of expertise </t>
  </si>
  <si>
    <t>the guidance required for the clinical  trials and marketing for the new drug</t>
  </si>
  <si>
    <t xml:space="preserve">Merck Ventures (CVC) </t>
  </si>
  <si>
    <t>Possibility of information leak given that Sirtrius Pharmaceuticals has no legal protection for the valuable trade secrets surrounding the drug discovery ad development platform</t>
  </si>
  <si>
    <t xml:space="preserve">Not safe for Sirtrius pharmaceuticals given no legal protection and aggressive approach of merch ventures </t>
  </si>
  <si>
    <t>Strategic priorities:  diabetes and anti-aging research but no promising results from the company</t>
  </si>
  <si>
    <t xml:space="preserve">Aggresively trying to catch upto the large pharmaceutical companies </t>
  </si>
  <si>
    <t xml:space="preserve">GSK (Strategic Alliance) </t>
  </si>
  <si>
    <t>Reputation for respecting IPR</t>
  </si>
  <si>
    <t xml:space="preserve">Can provide the expertise required by sirtrius and respect the IPR </t>
  </si>
  <si>
    <t xml:space="preserve">Provide the R&amp;D resources, management and finances required by the company </t>
  </si>
  <si>
    <t xml:space="preserve">Industry leader for marketing new drugs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</si>
</sst>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_);_([$$-409]* \(#,##0.0\);_([$$-409]* &quot;-&quot;??_);_(@_)"/>
    <numFmt numFmtId="166" formatCode="0.0"/>
  </numFmts>
  <fonts count="11" x14ac:knownFonts="1">
    <font>
      <sz val="11"/>
      <color theme="1"/>
      <name val="Aptos Narrow"/>
      <family val="2"/>
      <scheme val="minor"/>
    </font>
    <font>
      <b/>
      <sz val="11"/>
      <color theme="0" tint="-4.9989318521683403E-2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Calibri"/>
      <family val="2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0070C0"/>
      <name val="Aptos Narrow"/>
      <family val="2"/>
      <scheme val="minor"/>
    </font>
    <font>
      <i/>
      <sz val="11"/>
      <color rgb="FF00000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E0A5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6">
    <xf numFmtId="0" fontId="0" fillId="0" borderId="0" xfId="0"/>
    <xf numFmtId="0" fontId="1" fillId="2" borderId="0" xfId="0" applyFont="1" applyFill="1" applyAlignment="1">
      <alignment horizontal="left"/>
    </xf>
    <xf numFmtId="0" fontId="2" fillId="0" borderId="0" xfId="0" applyFont="1"/>
    <xf numFmtId="0" fontId="0" fillId="0" borderId="0" xfId="0" applyAlignment="1">
      <alignment horizontal="right"/>
    </xf>
    <xf numFmtId="0" fontId="3" fillId="0" borderId="0" xfId="0" applyFont="1" applyAlignment="1">
      <alignment wrapText="1"/>
    </xf>
    <xf numFmtId="0" fontId="3" fillId="0" borderId="4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3" fillId="0" borderId="13" xfId="0" applyFont="1" applyBorder="1" applyAlignment="1">
      <alignment wrapText="1"/>
    </xf>
    <xf numFmtId="0" fontId="0" fillId="0" borderId="14" xfId="0" applyBorder="1" applyAlignment="1">
      <alignment wrapText="1"/>
    </xf>
    <xf numFmtId="0" fontId="0" fillId="0" borderId="0" xfId="0" applyAlignment="1">
      <alignment wrapText="1"/>
    </xf>
    <xf numFmtId="0" fontId="3" fillId="0" borderId="6" xfId="0" applyFont="1" applyBorder="1" applyAlignment="1">
      <alignment wrapText="1"/>
    </xf>
    <xf numFmtId="0" fontId="0" fillId="0" borderId="0" xfId="0" applyAlignment="1">
      <alignment horizontal="left" indent="1"/>
    </xf>
    <xf numFmtId="10" fontId="6" fillId="3" borderId="0" xfId="0" applyNumberFormat="1" applyFont="1" applyFill="1"/>
    <xf numFmtId="10" fontId="0" fillId="0" borderId="0" xfId="0" applyNumberFormat="1"/>
    <xf numFmtId="166" fontId="0" fillId="0" borderId="0" xfId="0" applyNumberFormat="1"/>
    <xf numFmtId="0" fontId="5" fillId="0" borderId="0" xfId="0" applyFont="1"/>
    <xf numFmtId="0" fontId="9" fillId="0" borderId="0" xfId="0" applyFont="1"/>
    <xf numFmtId="0" fontId="0" fillId="0" borderId="0" xfId="0" applyAlignment="1">
      <alignment horizontal="left"/>
    </xf>
    <xf numFmtId="9" fontId="0" fillId="0" borderId="0" xfId="0" applyNumberFormat="1"/>
    <xf numFmtId="9" fontId="6" fillId="3" borderId="0" xfId="0" applyNumberFormat="1" applyFont="1" applyFill="1"/>
    <xf numFmtId="0" fontId="8" fillId="0" borderId="0" xfId="0" applyFont="1"/>
    <xf numFmtId="0" fontId="7" fillId="0" borderId="0" xfId="0" applyFont="1"/>
    <xf numFmtId="164" fontId="6" fillId="3" borderId="0" xfId="0" applyNumberFormat="1" applyFont="1" applyFill="1"/>
    <xf numFmtId="166" fontId="6" fillId="3" borderId="0" xfId="0" applyNumberFormat="1" applyFont="1" applyFill="1"/>
    <xf numFmtId="0" fontId="0" fillId="0" borderId="15" xfId="0" applyBorder="1"/>
    <xf numFmtId="9" fontId="6" fillId="0" borderId="0" xfId="0" applyNumberFormat="1" applyFont="1"/>
    <xf numFmtId="0" fontId="6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 indent="2"/>
    </xf>
    <xf numFmtId="166" fontId="6" fillId="0" borderId="0" xfId="0" applyNumberFormat="1" applyFont="1"/>
    <xf numFmtId="9" fontId="0" fillId="0" borderId="0" xfId="1" applyFont="1"/>
    <xf numFmtId="10" fontId="6" fillId="0" borderId="0" xfId="0" applyNumberFormat="1" applyFont="1"/>
    <xf numFmtId="0" fontId="10" fillId="0" borderId="2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0" fillId="0" borderId="17" xfId="0" applyBorder="1" applyAlignment="1">
      <alignment wrapText="1"/>
    </xf>
    <xf numFmtId="0" fontId="0" fillId="0" borderId="19" xfId="0" applyBorder="1"/>
    <xf numFmtId="0" fontId="0" fillId="0" borderId="1" xfId="0" applyBorder="1" applyAlignment="1">
      <alignment wrapText="1"/>
    </xf>
    <xf numFmtId="0" fontId="0" fillId="0" borderId="21" xfId="0" applyBorder="1"/>
    <xf numFmtId="0" fontId="2" fillId="0" borderId="16" xfId="0" applyFont="1" applyBorder="1"/>
    <xf numFmtId="0" fontId="0" fillId="5" borderId="21" xfId="0" applyFill="1" applyBorder="1"/>
    <xf numFmtId="0" fontId="0" fillId="5" borderId="22" xfId="0" applyFill="1" applyBorder="1"/>
    <xf numFmtId="0" fontId="0" fillId="6" borderId="21" xfId="0" applyFill="1" applyBorder="1"/>
    <xf numFmtId="0" fontId="0" fillId="6" borderId="22" xfId="0" applyFill="1" applyBorder="1"/>
    <xf numFmtId="0" fontId="0" fillId="7" borderId="19" xfId="0" applyFill="1" applyBorder="1"/>
    <xf numFmtId="0" fontId="0" fillId="7" borderId="20" xfId="0" applyFill="1" applyBorder="1"/>
    <xf numFmtId="0" fontId="2" fillId="0" borderId="16" xfId="0" applyFont="1" applyBorder="1" applyAlignment="1">
      <alignment horizontal="left"/>
    </xf>
    <xf numFmtId="166" fontId="2" fillId="0" borderId="0" xfId="0" applyNumberFormat="1" applyFont="1"/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7" borderId="18" xfId="0" applyFill="1" applyBorder="1" applyAlignment="1">
      <alignment horizontal="center" wrapText="1"/>
    </xf>
    <xf numFmtId="0" fontId="0" fillId="7" borderId="22" xfId="0" applyFill="1" applyBorder="1" applyAlignment="1">
      <alignment horizontal="center" wrapText="1"/>
    </xf>
    <xf numFmtId="0" fontId="0" fillId="7" borderId="20" xfId="0" applyFill="1" applyBorder="1" applyAlignment="1">
      <alignment horizontal="center" wrapText="1"/>
    </xf>
    <xf numFmtId="0" fontId="10" fillId="4" borderId="5" xfId="0" applyFont="1" applyFill="1" applyBorder="1" applyAlignment="1">
      <alignment horizontal="center" wrapText="1"/>
    </xf>
    <xf numFmtId="0" fontId="10" fillId="4" borderId="6" xfId="0" applyFont="1" applyFill="1" applyBorder="1" applyAlignment="1">
      <alignment horizontal="center" wrapText="1"/>
    </xf>
    <xf numFmtId="0" fontId="0" fillId="5" borderId="18" xfId="0" applyFill="1" applyBorder="1" applyAlignment="1">
      <alignment horizontal="center" wrapText="1"/>
    </xf>
    <xf numFmtId="0" fontId="0" fillId="5" borderId="20" xfId="0" applyFill="1" applyBorder="1" applyAlignment="1">
      <alignment horizontal="center" wrapText="1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0" fillId="6" borderId="18" xfId="0" applyFill="1" applyBorder="1" applyAlignment="1">
      <alignment horizontal="center" vertical="center" wrapText="1"/>
    </xf>
    <xf numFmtId="0" fontId="0" fillId="6" borderId="22" xfId="0" applyFill="1" applyBorder="1" applyAlignment="1">
      <alignment horizontal="center" vertical="center" wrapText="1"/>
    </xf>
    <xf numFmtId="0" fontId="0" fillId="6" borderId="20" xfId="0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F2E0A5"/>
      <color rgb="FFFFC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C4915D4-1A2F-4700-884D-D602B00F1506}">
  <we:reference id="wa104100404" version="3.0.0.1" store="en-US" storeType="omex"/>
  <we:alternateReferences>
    <we:reference id="wa104100404" version="3.0.0.1" store="en-US" storeType="omex"/>
  </we:alternateReferences>
  <we:properties>
    <we:property name="UniqueID" value="&quot;2024321712092170937&quot;"/>
    <we:property name="J1Ip" value="&quot;&quot;"/>
    <we:property name="G18vEgIqMSgXFw==" value="&quot;L2IE&quot;"/>
    <we:property name="G18vEgIqMSMcFw==" value="&quot;WQ==&quot;"/>
    <we:property name="OQEgRSg6BA==" value="&quot;THJnVg==&quot;"/>
    <we:property name="OQEgRSo5FgAQHg==" value="&quot;WQ==&quot;"/>
    <we:property name="LVwqRCsxAiEAUBtTBUIpB1w1ARUHCyMe" value="&quot;L2IE&quot;"/>
    <we:property name="LVwqRCsxAiEAUBtTBUIXCUgODQk=" value="&quot;WQ==&quot;"/>
    <we:property name="LVwqRCsxAiEAUBtTBUIVClo=" value="&quot;&quot;"/>
    <we:property name="LVwqRCsxAiEAUBtTBUIpB1w1ARUHACge" value="&quot;WQ==&quot;"/>
    <we:property name="LVwqRCsxAiEAUBtTBUIpB1w1ARUHHj8c" value="&quot;WB5zVFdoXnw=&quot;"/>
    <we:property name="LVwqRCsxAiEAUBtTBUIpB1w1ARUHHS4V" value="&quot;WQ==&quot;"/>
    <we:property name="LVwqRCsxAiEAUBtTBUIpB1w1ARUHHCEB" value="&quot;WA==&quot;"/>
    <we:property name="LVwqRCsxAiEAUBtTBUIpB1w1ARUHGiIV" value="&quot;WB5zVQ==&quot;"/>
    <we:property name="LVwqRCsxAiEAUBtTBUIpB1w1ARUHDTse" value="&quot;WB5zVFdp&quot;"/>
    <we:property name="LVwqRCsxAiEAUBtTBUIpB1w1ARUHAz4V" value="&quot;WA==&quot;"/>
    <we:property name="LVwqRCsxAiEAUBtTBUIpB1w1ARUHHT4D" value="&quot;WQBz&quot;"/>
    <we:property name="LVwqRCsxAiEAUBtTBUIpB1w1ARUHHD4d" value="&quot;WA==&quot;"/>
    <we:property name="LVwqRCsxAiEAUBtTBUIpB1w1ARUHAz8N" value="&quot;WB5zU1I=&quot;"/>
    <we:property name="LVwqRCsxAiEAUBtTBUIpB1w1ARUHAyMQ" value="&quot;WwA=&quot;"/>
    <we:property name="LVwqRCsxAiEAUBtTBUIpB1w1ARUHHC8P" value="&quot;WQ==&quot;"/>
    <we:property name="LVwqRCsxAiEAUBtTBUIpB1w1ARUHADkL" value="&quot;Wg==&quot;"/>
    <we:property name="LVwqRCsxAiEAUBtTBUIpB1w1ARUHDy4a" value="&quot;WB5zVFY=&quot;"/>
    <we:property name="LVwqRCsxAiEAUBtTBUIpB1w1ARUHHCgK" value="&quot;XQ==&quot;"/>
    <we:property name="LVwqRCsxAiEAUBtTBUIpB1w1ARUHDz8K" value="&quot;WQ==&quot;"/>
    <we:property name="LVwqRCsxAiEAUBtTBUIpB1w1ARUHHTkY" value="&quot;WA==&quot;"/>
    <we:property name="LVwqRCsxAiEAUBtTBUIpB1w1ARUHAygN" value="&quot;Wg==&quot;"/>
    <we:property name="LVwqRCsxAiEAUBtTBUIpB1w1ARUHHSIa" value="&quot;WA==&quot;"/>
    <we:property name="LVwqRCsxAiEAUBtTBUIpB1w1ARUHAj0N" value="&quot;WA==&quot;"/>
    <we:property name="LVwqRCsxAiEAUBtTBUIpB1w1ARUHAj0J" value="&quot;WA==&quot;"/>
    <we:property name="LVwqRCsxAiEAUBtTBUIpB1w1ARUHCSwJ" value="&quot;WB5zVFdoXnw=&quot;"/>
    <we:property name="LVwqRCsxAiEAUBtTBUIpB1w1ARUHBz0K" value="&quot;WB56XQ==&quot;"/>
    <we:property name="LVwqRCsxAiEAUBtTBUIpB1w1ARUHCCgY" value="&quot;WB5zVFdoXnw=&quot;"/>
    <we:property name="LVwqRCsxAiEAUBtTBUIpB1w1ARUHBz0Q" value="&quot;WQ==&quot;"/>
    <we:property name="LVwqRCsxAiEAUBtTBUIpB1w1ARUHBz0d" value="&quot;Ww==&quot;"/>
    <we:property name="LVwqRCsxAiEAUBtTBUIMCUIqBQU0Cz4=" value="&quot;TFdnXQ==&quot;"/>
    <we:property name="LVwqRCsxAiEAUBtTBUIMCUIqBQU0Cz5I" value="&quot;TFlnXQ==&quot;"/>
    <we:property name="LVwqRCsxAiEAUBtTBUIMCUIqBQU0Cz5L" value="&quot;TFpnXQ==&quot;"/>
    <we:property name="LVwqRCsxAiEAUBtTBUIMCUIqBQU0Cz5K" value="&quot;&quot;"/>
    <we:property name="OQEgRRQ3AjscAhUHCQQ=" value="&quot;L2IE&quot;"/>
    <we:property name="OQEgRRQ3AjscAhUMAgQ=" value="&quot;WQ==&quot;"/>
    <we:property name="OQEgRRQ3AjscAhUMEg4=" value="&quot;WQ==&quot;"/>
    <we:property name="OQEgRRQ3AjscAhUODxBr" value="&quot;THJnVg==&quot;"/>
    <we:property name="OQEgRRQ3AjscAhUQAg9r" value="&quot;SA1j&quot;"/>
    <we:property name="OQEgRRQ3AjscAhUQDxBr" value="&quot;THJnVw==&quot;"/>
    <we:property name="OQEgRRQ3AjscAhUODxBo" value="&quot;&quot;"/>
    <we:property name="OQEgRRQ3AjscAhUQAg9o" value="&quot;SAx+RA==&quot;"/>
    <we:property name="OQEgRRQ3AjscAhUQDxBo" value="&quot;&quot;"/>
  </we:properties>
  <we:bindings>
    <we:binding id="refEdit" type="matrix" appref="{73DF81B0-A3D6-41A7-B4B6-A8C55C79D013}"/>
    <we:binding id="Worker" type="matrix" appref="{ADC32915-D52E-4F0E-8AA5-08858FDDC4F4}"/>
    <we:binding id="Eli Lilly Q1brefEdit" type="matrix" appref="{F253EA3E-84FD-4F13-A424-61A8DC0E6B93}"/>
    <we:binding id="Eli Lilly Q1bWorker" type="matrix" appref="{62985E20-67DB-493D-842F-939B15109843}"/>
    <we:binding id="Obj" type="matrix" appref="{E23C9512-1BBA-4F1D-A0D6-4D47CF37B5DD}"/>
    <we:binding id="Q1crefEdit" type="matrix" appref="{09618773-5FF6-4815-838E-18397883F64D}"/>
    <we:binding id="Q1cWorker" type="matrix" appref="{B1032D34-9B5C-48A1-ACEC-AE6C51B7CB35}"/>
  </we:bindings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401FB-6292-4A6F-90E6-24CC16367EF9}">
  <dimension ref="A1:T105"/>
  <sheetViews>
    <sheetView showGridLines="0" topLeftCell="A26" workbookViewId="0"/>
  </sheetViews>
  <sheetFormatPr defaultColWidth="9" defaultRowHeight="14.4" x14ac:dyDescent="0.3"/>
  <cols>
    <col min="1" max="1" width="2" bestFit="1" customWidth="1"/>
    <col min="3" max="3" width="34.88671875" customWidth="1"/>
    <col min="6" max="6" width="10.109375" bestFit="1" customWidth="1"/>
    <col min="9" max="9" width="7.5546875" bestFit="1" customWidth="1"/>
    <col min="10" max="10" width="8.5546875" customWidth="1"/>
    <col min="11" max="20" width="8.88671875" bestFit="1" customWidth="1"/>
  </cols>
  <sheetData>
    <row r="1" spans="1:10" s="1" customFormat="1" x14ac:dyDescent="0.3">
      <c r="A1"/>
      <c r="B1" s="1" t="s">
        <v>0</v>
      </c>
    </row>
    <row r="3" spans="1:10" x14ac:dyDescent="0.3">
      <c r="C3" s="22" t="s">
        <v>1</v>
      </c>
      <c r="D3" s="24">
        <v>0.1</v>
      </c>
    </row>
    <row r="4" spans="1:10" x14ac:dyDescent="0.3">
      <c r="C4" s="22"/>
      <c r="D4" s="30"/>
    </row>
    <row r="5" spans="1:10" x14ac:dyDescent="0.3">
      <c r="C5" s="32" t="s">
        <v>2</v>
      </c>
      <c r="D5" s="30"/>
      <c r="G5" s="2" t="s">
        <v>3</v>
      </c>
    </row>
    <row r="6" spans="1:10" x14ac:dyDescent="0.3">
      <c r="C6" s="22" t="s">
        <v>4</v>
      </c>
      <c r="D6" s="31">
        <v>200</v>
      </c>
      <c r="G6" s="22" t="s">
        <v>4</v>
      </c>
      <c r="J6">
        <v>250</v>
      </c>
    </row>
    <row r="7" spans="1:10" x14ac:dyDescent="0.3">
      <c r="C7" s="22" t="s">
        <v>5</v>
      </c>
      <c r="D7" s="30"/>
      <c r="G7" s="22" t="s">
        <v>5</v>
      </c>
    </row>
    <row r="8" spans="1:10" x14ac:dyDescent="0.3">
      <c r="C8" s="16" t="s">
        <v>6</v>
      </c>
      <c r="D8" s="30">
        <f>50%</f>
        <v>0.5</v>
      </c>
      <c r="G8" s="16" t="s">
        <v>7</v>
      </c>
      <c r="J8" s="23">
        <v>0.3</v>
      </c>
    </row>
    <row r="9" spans="1:10" x14ac:dyDescent="0.3">
      <c r="C9" s="16" t="s">
        <v>8</v>
      </c>
      <c r="D9" s="30">
        <v>0.1</v>
      </c>
      <c r="G9" s="16" t="s">
        <v>9</v>
      </c>
      <c r="J9" s="23">
        <v>0.3</v>
      </c>
    </row>
    <row r="11" spans="1:10" x14ac:dyDescent="0.3">
      <c r="B11" s="22" t="s">
        <v>10</v>
      </c>
      <c r="C11" t="s">
        <v>11</v>
      </c>
    </row>
    <row r="13" spans="1:10" x14ac:dyDescent="0.3">
      <c r="C13" s="21" t="s">
        <v>12</v>
      </c>
    </row>
    <row r="14" spans="1:10" x14ac:dyDescent="0.3">
      <c r="D14" t="s">
        <v>13</v>
      </c>
      <c r="I14" t="s">
        <v>14</v>
      </c>
    </row>
    <row r="15" spans="1:10" x14ac:dyDescent="0.3">
      <c r="C15" s="16" t="s">
        <v>15</v>
      </c>
      <c r="D15" s="17">
        <v>0.41399999999999998</v>
      </c>
      <c r="E15" s="36"/>
      <c r="I15" s="18">
        <f>D15*D16*D17</f>
        <v>0.23138832600000001</v>
      </c>
    </row>
    <row r="16" spans="1:10" x14ac:dyDescent="0.3">
      <c r="C16" s="16" t="s">
        <v>16</v>
      </c>
      <c r="D16" s="17">
        <v>0.66300000000000003</v>
      </c>
      <c r="E16" s="36"/>
    </row>
    <row r="17" spans="2:20" x14ac:dyDescent="0.3">
      <c r="C17" s="16" t="s">
        <v>17</v>
      </c>
      <c r="D17" s="17">
        <v>0.84299999999999997</v>
      </c>
      <c r="E17" s="36"/>
    </row>
    <row r="18" spans="2:20" x14ac:dyDescent="0.3">
      <c r="B18" t="s">
        <v>18</v>
      </c>
      <c r="D18" t="s">
        <v>19</v>
      </c>
      <c r="F18" t="s">
        <v>20</v>
      </c>
    </row>
    <row r="19" spans="2:20" x14ac:dyDescent="0.3">
      <c r="C19" s="16" t="s">
        <v>15</v>
      </c>
      <c r="D19" s="17">
        <v>0.5</v>
      </c>
      <c r="E19" s="36"/>
      <c r="F19" s="17">
        <f>MIN(D19+$D$84,100%)</f>
        <v>0.59575390673604922</v>
      </c>
    </row>
    <row r="20" spans="2:20" x14ac:dyDescent="0.3">
      <c r="C20" s="16" t="s">
        <v>16</v>
      </c>
      <c r="D20" s="17">
        <v>0.5</v>
      </c>
      <c r="E20" s="36"/>
      <c r="F20" s="17">
        <f t="shared" ref="F20:F21" si="0">MIN(D20+$D$84,100%)</f>
        <v>0.59575390673604922</v>
      </c>
    </row>
    <row r="21" spans="2:20" x14ac:dyDescent="0.3">
      <c r="C21" s="16" t="s">
        <v>17</v>
      </c>
      <c r="D21" s="17">
        <v>0.8</v>
      </c>
      <c r="E21" s="36"/>
      <c r="F21" s="17">
        <f t="shared" si="0"/>
        <v>0.89575390673604927</v>
      </c>
    </row>
    <row r="22" spans="2:20" x14ac:dyDescent="0.3">
      <c r="C22" s="16"/>
      <c r="D22" s="36"/>
      <c r="E22" s="36"/>
      <c r="F22" s="17"/>
    </row>
    <row r="26" spans="2:20" x14ac:dyDescent="0.3">
      <c r="G26" s="3" t="s">
        <v>15</v>
      </c>
      <c r="H26" s="3"/>
      <c r="I26" s="3" t="s">
        <v>16</v>
      </c>
      <c r="J26" s="3" t="s">
        <v>21</v>
      </c>
    </row>
    <row r="27" spans="2:20" x14ac:dyDescent="0.3">
      <c r="D27" t="s">
        <v>22</v>
      </c>
      <c r="F27" s="25">
        <v>2008</v>
      </c>
      <c r="G27" s="25">
        <f t="shared" ref="G27:T27" si="1">F27+1</f>
        <v>2009</v>
      </c>
      <c r="H27" s="25">
        <f t="shared" si="1"/>
        <v>2010</v>
      </c>
      <c r="I27" s="25">
        <f t="shared" si="1"/>
        <v>2011</v>
      </c>
      <c r="J27" s="25">
        <f t="shared" si="1"/>
        <v>2012</v>
      </c>
      <c r="K27" s="25">
        <f t="shared" si="1"/>
        <v>2013</v>
      </c>
      <c r="L27" s="25">
        <f t="shared" si="1"/>
        <v>2014</v>
      </c>
      <c r="M27" s="25">
        <f t="shared" si="1"/>
        <v>2015</v>
      </c>
      <c r="N27" s="25">
        <f t="shared" si="1"/>
        <v>2016</v>
      </c>
      <c r="O27" s="25">
        <f t="shared" si="1"/>
        <v>2017</v>
      </c>
      <c r="P27" s="25">
        <f t="shared" si="1"/>
        <v>2018</v>
      </c>
      <c r="Q27" s="25">
        <f t="shared" si="1"/>
        <v>2019</v>
      </c>
      <c r="R27" s="25">
        <f t="shared" si="1"/>
        <v>2020</v>
      </c>
      <c r="S27" s="25">
        <f t="shared" si="1"/>
        <v>2021</v>
      </c>
      <c r="T27" s="25">
        <f t="shared" si="1"/>
        <v>2022</v>
      </c>
    </row>
    <row r="28" spans="2:20" x14ac:dyDescent="0.3">
      <c r="C28" s="26" t="s">
        <v>23</v>
      </c>
      <c r="E28">
        <v>0</v>
      </c>
      <c r="F28">
        <f>E28+1</f>
        <v>1</v>
      </c>
      <c r="G28">
        <f t="shared" ref="G28:T28" si="2">F28+1</f>
        <v>2</v>
      </c>
      <c r="H28">
        <f t="shared" si="2"/>
        <v>3</v>
      </c>
      <c r="I28">
        <f>H28+1</f>
        <v>4</v>
      </c>
      <c r="J28">
        <f t="shared" si="2"/>
        <v>5</v>
      </c>
      <c r="K28">
        <f t="shared" si="2"/>
        <v>6</v>
      </c>
      <c r="L28">
        <f t="shared" si="2"/>
        <v>7</v>
      </c>
      <c r="M28">
        <f t="shared" si="2"/>
        <v>8</v>
      </c>
      <c r="N28">
        <f t="shared" si="2"/>
        <v>9</v>
      </c>
      <c r="O28">
        <f t="shared" si="2"/>
        <v>10</v>
      </c>
      <c r="P28">
        <f t="shared" si="2"/>
        <v>11</v>
      </c>
      <c r="Q28">
        <f t="shared" si="2"/>
        <v>12</v>
      </c>
      <c r="R28">
        <f t="shared" si="2"/>
        <v>13</v>
      </c>
      <c r="S28">
        <f t="shared" si="2"/>
        <v>14</v>
      </c>
      <c r="T28">
        <f t="shared" si="2"/>
        <v>15</v>
      </c>
    </row>
    <row r="29" spans="2:20" x14ac:dyDescent="0.3">
      <c r="C29" s="2" t="s">
        <v>24</v>
      </c>
    </row>
    <row r="30" spans="2:20" x14ac:dyDescent="0.3">
      <c r="C30" s="16" t="s">
        <v>25</v>
      </c>
      <c r="K30" s="27">
        <v>100</v>
      </c>
      <c r="L30" s="27">
        <v>100</v>
      </c>
      <c r="M30" s="27">
        <v>100</v>
      </c>
      <c r="N30" s="27">
        <v>100</v>
      </c>
      <c r="O30" s="27">
        <v>100</v>
      </c>
      <c r="P30" s="27">
        <v>100</v>
      </c>
      <c r="Q30" s="27">
        <v>100</v>
      </c>
      <c r="R30" s="27">
        <v>100</v>
      </c>
      <c r="S30" s="27">
        <v>100</v>
      </c>
      <c r="T30" s="27">
        <v>100</v>
      </c>
    </row>
    <row r="31" spans="2:20" x14ac:dyDescent="0.3">
      <c r="C31" s="16" t="s">
        <v>26</v>
      </c>
      <c r="K31" s="28">
        <v>50</v>
      </c>
      <c r="L31" s="28">
        <v>50</v>
      </c>
      <c r="M31" s="28">
        <v>50</v>
      </c>
      <c r="N31" s="28">
        <v>50</v>
      </c>
      <c r="O31" s="28">
        <v>50</v>
      </c>
      <c r="P31" s="28">
        <v>50</v>
      </c>
      <c r="Q31" s="28">
        <v>50</v>
      </c>
      <c r="R31" s="28">
        <v>50</v>
      </c>
      <c r="S31" s="28">
        <v>50</v>
      </c>
      <c r="T31" s="28">
        <v>50</v>
      </c>
    </row>
    <row r="32" spans="2:20" x14ac:dyDescent="0.3">
      <c r="C32" s="2" t="s">
        <v>27</v>
      </c>
    </row>
    <row r="33" spans="3:20" x14ac:dyDescent="0.3">
      <c r="C33" s="16" t="s">
        <v>25</v>
      </c>
      <c r="K33" s="28">
        <v>60</v>
      </c>
      <c r="L33" s="28">
        <v>60</v>
      </c>
      <c r="M33" s="28">
        <v>60</v>
      </c>
      <c r="N33" s="28">
        <v>60</v>
      </c>
      <c r="O33" s="28">
        <v>60</v>
      </c>
      <c r="P33" s="28">
        <v>60</v>
      </c>
      <c r="Q33" s="28">
        <v>60</v>
      </c>
      <c r="R33" s="28">
        <v>60</v>
      </c>
      <c r="S33" s="28">
        <v>60</v>
      </c>
      <c r="T33" s="28">
        <v>60</v>
      </c>
    </row>
    <row r="34" spans="3:20" x14ac:dyDescent="0.3">
      <c r="C34" s="16" t="s">
        <v>26</v>
      </c>
      <c r="K34" s="28">
        <v>20</v>
      </c>
      <c r="L34" s="28">
        <v>20</v>
      </c>
      <c r="M34" s="28">
        <v>20</v>
      </c>
      <c r="N34" s="28">
        <v>20</v>
      </c>
      <c r="O34" s="28">
        <v>20</v>
      </c>
      <c r="P34" s="28">
        <v>20</v>
      </c>
      <c r="Q34" s="28">
        <v>20</v>
      </c>
      <c r="R34" s="28">
        <v>20</v>
      </c>
      <c r="S34" s="28">
        <v>20</v>
      </c>
      <c r="T34" s="28">
        <v>20</v>
      </c>
    </row>
    <row r="36" spans="3:20" x14ac:dyDescent="0.3">
      <c r="C36" s="2" t="s">
        <v>28</v>
      </c>
    </row>
    <row r="37" spans="3:20" x14ac:dyDescent="0.3">
      <c r="C37" s="16" t="s">
        <v>25</v>
      </c>
      <c r="K37" s="19">
        <f t="shared" ref="K37:T37" si="3">K30-K33</f>
        <v>40</v>
      </c>
      <c r="L37" s="19">
        <f t="shared" si="3"/>
        <v>40</v>
      </c>
      <c r="M37" s="19">
        <f t="shared" si="3"/>
        <v>40</v>
      </c>
      <c r="N37" s="19">
        <f>N30-N33</f>
        <v>40</v>
      </c>
      <c r="O37" s="19">
        <f t="shared" si="3"/>
        <v>40</v>
      </c>
      <c r="P37" s="19">
        <f t="shared" si="3"/>
        <v>40</v>
      </c>
      <c r="Q37" s="19">
        <f t="shared" si="3"/>
        <v>40</v>
      </c>
      <c r="R37" s="19">
        <f t="shared" si="3"/>
        <v>40</v>
      </c>
      <c r="S37" s="19">
        <f t="shared" si="3"/>
        <v>40</v>
      </c>
      <c r="T37" s="19">
        <f t="shared" si="3"/>
        <v>40</v>
      </c>
    </row>
    <row r="38" spans="3:20" x14ac:dyDescent="0.3">
      <c r="C38" s="16" t="s">
        <v>26</v>
      </c>
      <c r="K38" s="19">
        <f t="shared" ref="K38:T38" si="4">K31-K34</f>
        <v>30</v>
      </c>
      <c r="L38" s="19">
        <f t="shared" si="4"/>
        <v>30</v>
      </c>
      <c r="M38" s="19">
        <f t="shared" si="4"/>
        <v>30</v>
      </c>
      <c r="N38" s="19">
        <f t="shared" si="4"/>
        <v>30</v>
      </c>
      <c r="O38" s="19">
        <f t="shared" si="4"/>
        <v>30</v>
      </c>
      <c r="P38" s="19">
        <f t="shared" si="4"/>
        <v>30</v>
      </c>
      <c r="Q38" s="19">
        <f t="shared" si="4"/>
        <v>30</v>
      </c>
      <c r="R38" s="19">
        <f t="shared" si="4"/>
        <v>30</v>
      </c>
      <c r="S38" s="19">
        <f t="shared" si="4"/>
        <v>30</v>
      </c>
      <c r="T38" s="19">
        <f t="shared" si="4"/>
        <v>30</v>
      </c>
    </row>
    <row r="41" spans="3:20" x14ac:dyDescent="0.3">
      <c r="C41" s="2" t="s">
        <v>29</v>
      </c>
      <c r="F41" s="25">
        <v>2008</v>
      </c>
      <c r="G41" s="25">
        <f t="shared" ref="G41:T41" si="5">F41+1</f>
        <v>2009</v>
      </c>
      <c r="H41" s="25">
        <f t="shared" si="5"/>
        <v>2010</v>
      </c>
      <c r="I41" s="25">
        <f t="shared" si="5"/>
        <v>2011</v>
      </c>
      <c r="J41" s="25">
        <f t="shared" si="5"/>
        <v>2012</v>
      </c>
      <c r="K41" s="25">
        <f t="shared" si="5"/>
        <v>2013</v>
      </c>
      <c r="L41" s="25">
        <f t="shared" si="5"/>
        <v>2014</v>
      </c>
      <c r="M41" s="25">
        <f t="shared" si="5"/>
        <v>2015</v>
      </c>
      <c r="N41" s="25">
        <f t="shared" si="5"/>
        <v>2016</v>
      </c>
      <c r="O41" s="25">
        <f t="shared" si="5"/>
        <v>2017</v>
      </c>
      <c r="P41" s="25">
        <f t="shared" si="5"/>
        <v>2018</v>
      </c>
      <c r="Q41" s="25">
        <f t="shared" si="5"/>
        <v>2019</v>
      </c>
      <c r="R41" s="25">
        <f t="shared" si="5"/>
        <v>2020</v>
      </c>
      <c r="S41" s="25">
        <f t="shared" si="5"/>
        <v>2021</v>
      </c>
      <c r="T41" s="25">
        <f t="shared" si="5"/>
        <v>2022</v>
      </c>
    </row>
    <row r="42" spans="3:20" x14ac:dyDescent="0.3">
      <c r="D42" s="29" t="s">
        <v>30</v>
      </c>
      <c r="E42" s="29">
        <v>0</v>
      </c>
      <c r="F42" s="29">
        <f t="shared" ref="F42:T42" si="6">E42+1</f>
        <v>1</v>
      </c>
      <c r="G42" s="29">
        <f t="shared" si="6"/>
        <v>2</v>
      </c>
      <c r="H42" s="29">
        <f t="shared" si="6"/>
        <v>3</v>
      </c>
      <c r="I42" s="29">
        <f t="shared" si="6"/>
        <v>4</v>
      </c>
      <c r="J42" s="29">
        <f t="shared" si="6"/>
        <v>5</v>
      </c>
      <c r="K42" s="29">
        <f t="shared" si="6"/>
        <v>6</v>
      </c>
      <c r="L42" s="29">
        <f t="shared" si="6"/>
        <v>7</v>
      </c>
      <c r="M42" s="29">
        <f t="shared" si="6"/>
        <v>8</v>
      </c>
      <c r="N42" s="29">
        <f t="shared" si="6"/>
        <v>9</v>
      </c>
      <c r="O42" s="29">
        <f t="shared" si="6"/>
        <v>10</v>
      </c>
      <c r="P42" s="29">
        <f t="shared" si="6"/>
        <v>11</v>
      </c>
      <c r="Q42" s="29">
        <f t="shared" si="6"/>
        <v>12</v>
      </c>
      <c r="R42" s="29">
        <f t="shared" si="6"/>
        <v>13</v>
      </c>
      <c r="S42" s="29">
        <f t="shared" si="6"/>
        <v>14</v>
      </c>
      <c r="T42" s="29">
        <f t="shared" si="6"/>
        <v>15</v>
      </c>
    </row>
    <row r="43" spans="3:20" x14ac:dyDescent="0.3">
      <c r="C43" t="s">
        <v>31</v>
      </c>
      <c r="D43" s="19">
        <f>E43</f>
        <v>75</v>
      </c>
      <c r="E43" s="34">
        <v>75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3:20" x14ac:dyDescent="0.3">
      <c r="C44" s="16" t="s">
        <v>32</v>
      </c>
      <c r="D44" s="19"/>
      <c r="E44" s="19"/>
      <c r="F44" s="34">
        <v>10</v>
      </c>
      <c r="G44" s="34">
        <f>F44+5</f>
        <v>15</v>
      </c>
      <c r="H44" s="34">
        <f>G44+5</f>
        <v>20</v>
      </c>
      <c r="I44" s="34">
        <f>H44+5</f>
        <v>25</v>
      </c>
      <c r="J44" s="34">
        <f>I44+5</f>
        <v>30</v>
      </c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3:20" x14ac:dyDescent="0.3">
      <c r="C45" t="s">
        <v>33</v>
      </c>
      <c r="D45" s="19">
        <f>SUM(F45:T45)</f>
        <v>72.216875399718091</v>
      </c>
      <c r="F45" s="19">
        <f>F44/(1+$D$3)^F42</f>
        <v>9.0909090909090899</v>
      </c>
      <c r="G45" s="19">
        <f>G44/(1+$D$3)^G42</f>
        <v>12.396694214876032</v>
      </c>
      <c r="H45" s="19">
        <f>H44/(1+$D$3)^H42</f>
        <v>15.02629601803155</v>
      </c>
      <c r="I45" s="19">
        <f>I44/(1+$D$3)^I42</f>
        <v>17.075336384126764</v>
      </c>
      <c r="J45" s="19">
        <f>J44/(1+$D$3)^J42</f>
        <v>18.62763969177465</v>
      </c>
    </row>
    <row r="46" spans="3:20" x14ac:dyDescent="0.3">
      <c r="C46" s="16" t="s">
        <v>34</v>
      </c>
      <c r="D46" s="19"/>
      <c r="G46">
        <f>20%*(D6)</f>
        <v>40</v>
      </c>
      <c r="I46">
        <f>40%*(D6)</f>
        <v>80</v>
      </c>
      <c r="J46">
        <f>40%*(D6)</f>
        <v>80</v>
      </c>
    </row>
    <row r="47" spans="3:20" x14ac:dyDescent="0.3">
      <c r="C47" s="16" t="s">
        <v>35</v>
      </c>
      <c r="D47" s="19"/>
      <c r="G47" s="23">
        <f>D19</f>
        <v>0.5</v>
      </c>
      <c r="H47" s="23"/>
      <c r="I47" s="23">
        <f>D20</f>
        <v>0.5</v>
      </c>
      <c r="J47" s="23">
        <f>D21</f>
        <v>0.8</v>
      </c>
    </row>
    <row r="48" spans="3:20" x14ac:dyDescent="0.3">
      <c r="C48" s="16" t="s">
        <v>36</v>
      </c>
      <c r="D48" s="19"/>
      <c r="G48" s="23">
        <f>G47</f>
        <v>0.5</v>
      </c>
      <c r="H48" s="23"/>
      <c r="I48" s="23">
        <f>G48*I47</f>
        <v>0.25</v>
      </c>
      <c r="J48" s="23">
        <f>I48*J47</f>
        <v>0.2</v>
      </c>
    </row>
    <row r="49" spans="3:20" x14ac:dyDescent="0.3">
      <c r="C49" s="16" t="s">
        <v>37</v>
      </c>
      <c r="D49" s="19"/>
      <c r="G49" s="19">
        <f>G46*G48</f>
        <v>20</v>
      </c>
      <c r="H49" s="19"/>
      <c r="I49" s="19">
        <f t="shared" ref="I49:J49" si="7">I46*I48</f>
        <v>20</v>
      </c>
      <c r="J49" s="19">
        <f t="shared" si="7"/>
        <v>16</v>
      </c>
    </row>
    <row r="50" spans="3:20" x14ac:dyDescent="0.3">
      <c r="C50" s="22" t="s">
        <v>38</v>
      </c>
      <c r="D50" s="19">
        <f t="shared" ref="D50:D54" si="8">SUM(F50:T50)</f>
        <v>40.1239358960826</v>
      </c>
      <c r="G50" s="19">
        <f>G49/(1+$D$3)^G42</f>
        <v>16.528925619834709</v>
      </c>
      <c r="H50" s="19"/>
      <c r="I50" s="19">
        <f>I49/(1+$D$3)^I42</f>
        <v>13.66026910730141</v>
      </c>
      <c r="J50" s="19">
        <f>J49/(1+$D$3)^J42</f>
        <v>9.9347411689464789</v>
      </c>
    </row>
    <row r="51" spans="3:20" x14ac:dyDescent="0.3">
      <c r="C51" t="s">
        <v>39</v>
      </c>
      <c r="D51" s="19"/>
      <c r="K51" s="19">
        <f>SUM(K52:K53)*$J$48</f>
        <v>5</v>
      </c>
      <c r="L51" s="19">
        <f t="shared" ref="L51:T51" si="9">SUM(L52:L53)*$J$48</f>
        <v>5</v>
      </c>
      <c r="M51" s="19">
        <f t="shared" si="9"/>
        <v>5</v>
      </c>
      <c r="N51" s="19">
        <f t="shared" si="9"/>
        <v>5</v>
      </c>
      <c r="O51" s="19">
        <f t="shared" si="9"/>
        <v>5</v>
      </c>
      <c r="P51" s="19">
        <f t="shared" si="9"/>
        <v>5</v>
      </c>
      <c r="Q51" s="19">
        <f t="shared" si="9"/>
        <v>5</v>
      </c>
      <c r="R51" s="19">
        <f t="shared" si="9"/>
        <v>5</v>
      </c>
      <c r="S51" s="19">
        <f t="shared" si="9"/>
        <v>5</v>
      </c>
      <c r="T51" s="19">
        <f t="shared" si="9"/>
        <v>5</v>
      </c>
    </row>
    <row r="52" spans="3:20" x14ac:dyDescent="0.3">
      <c r="C52" s="33" t="s">
        <v>25</v>
      </c>
      <c r="D52" s="19"/>
      <c r="K52" s="19">
        <f>K37*$D$8</f>
        <v>20</v>
      </c>
      <c r="L52" s="19">
        <f t="shared" ref="L52:T52" si="10">L37*$D$8</f>
        <v>20</v>
      </c>
      <c r="M52" s="19">
        <f t="shared" si="10"/>
        <v>20</v>
      </c>
      <c r="N52" s="19">
        <f t="shared" si="10"/>
        <v>20</v>
      </c>
      <c r="O52" s="19">
        <f t="shared" si="10"/>
        <v>20</v>
      </c>
      <c r="P52" s="19">
        <f t="shared" si="10"/>
        <v>20</v>
      </c>
      <c r="Q52" s="19">
        <f t="shared" si="10"/>
        <v>20</v>
      </c>
      <c r="R52" s="19">
        <f t="shared" si="10"/>
        <v>20</v>
      </c>
      <c r="S52" s="19">
        <f t="shared" si="10"/>
        <v>20</v>
      </c>
      <c r="T52" s="19">
        <f t="shared" si="10"/>
        <v>20</v>
      </c>
    </row>
    <row r="53" spans="3:20" x14ac:dyDescent="0.3">
      <c r="C53" s="33" t="s">
        <v>26</v>
      </c>
      <c r="D53" s="19"/>
      <c r="K53" s="19">
        <f>K31*$D$9</f>
        <v>5</v>
      </c>
      <c r="L53" s="19">
        <f t="shared" ref="L53:T53" si="11">L31*$D$9</f>
        <v>5</v>
      </c>
      <c r="M53" s="19">
        <f t="shared" si="11"/>
        <v>5</v>
      </c>
      <c r="N53" s="19">
        <f t="shared" si="11"/>
        <v>5</v>
      </c>
      <c r="O53" s="19">
        <f t="shared" si="11"/>
        <v>5</v>
      </c>
      <c r="P53" s="19">
        <f t="shared" si="11"/>
        <v>5</v>
      </c>
      <c r="Q53" s="19">
        <f t="shared" si="11"/>
        <v>5</v>
      </c>
      <c r="R53" s="19">
        <f t="shared" si="11"/>
        <v>5</v>
      </c>
      <c r="S53" s="19">
        <f t="shared" si="11"/>
        <v>5</v>
      </c>
      <c r="T53" s="19">
        <f t="shared" si="11"/>
        <v>5</v>
      </c>
    </row>
    <row r="54" spans="3:20" x14ac:dyDescent="0.3">
      <c r="C54" t="s">
        <v>40</v>
      </c>
      <c r="D54" s="19">
        <f t="shared" si="8"/>
        <v>19.076463684499561</v>
      </c>
      <c r="K54" s="19">
        <f>K51/(1+$D$3)^K42</f>
        <v>2.822369650268886</v>
      </c>
      <c r="L54" s="19">
        <f t="shared" ref="L54:T54" si="12">L51/(1+$D$3)^L42</f>
        <v>2.5657905911535321</v>
      </c>
      <c r="M54" s="19">
        <f t="shared" si="12"/>
        <v>2.3325369010486661</v>
      </c>
      <c r="N54" s="19">
        <f t="shared" si="12"/>
        <v>2.1204880918624234</v>
      </c>
      <c r="O54" s="19">
        <f t="shared" si="12"/>
        <v>1.9277164471476573</v>
      </c>
      <c r="P54" s="19">
        <f t="shared" si="12"/>
        <v>1.752469497406961</v>
      </c>
      <c r="Q54" s="19">
        <f t="shared" si="12"/>
        <v>1.5931540885517828</v>
      </c>
      <c r="R54" s="19">
        <f t="shared" si="12"/>
        <v>1.4483218986834387</v>
      </c>
      <c r="S54" s="19">
        <f t="shared" si="12"/>
        <v>1.3166562715303987</v>
      </c>
      <c r="T54" s="19">
        <f t="shared" si="12"/>
        <v>1.1969602468458169</v>
      </c>
    </row>
    <row r="55" spans="3:20" x14ac:dyDescent="0.3">
      <c r="C55" t="s">
        <v>41</v>
      </c>
      <c r="D55" s="19">
        <f>SUM(D43:D54)</f>
        <v>206.41727498030028</v>
      </c>
    </row>
    <row r="59" spans="3:20" x14ac:dyDescent="0.3">
      <c r="C59" s="2" t="s">
        <v>42</v>
      </c>
      <c r="F59" s="25">
        <v>2008</v>
      </c>
      <c r="G59" s="25">
        <f t="shared" ref="G59:T59" si="13">F59+1</f>
        <v>2009</v>
      </c>
      <c r="H59" s="25">
        <f t="shared" si="13"/>
        <v>2010</v>
      </c>
      <c r="I59" s="25">
        <f t="shared" si="13"/>
        <v>2011</v>
      </c>
      <c r="J59" s="25">
        <f t="shared" si="13"/>
        <v>2012</v>
      </c>
      <c r="K59" s="25">
        <f t="shared" si="13"/>
        <v>2013</v>
      </c>
      <c r="L59" s="25">
        <f t="shared" si="13"/>
        <v>2014</v>
      </c>
      <c r="M59" s="25">
        <f t="shared" si="13"/>
        <v>2015</v>
      </c>
      <c r="N59" s="25">
        <f t="shared" si="13"/>
        <v>2016</v>
      </c>
      <c r="O59" s="25">
        <f t="shared" si="13"/>
        <v>2017</v>
      </c>
      <c r="P59" s="25">
        <f t="shared" si="13"/>
        <v>2018</v>
      </c>
      <c r="Q59" s="25">
        <f t="shared" si="13"/>
        <v>2019</v>
      </c>
      <c r="R59" s="25">
        <f t="shared" si="13"/>
        <v>2020</v>
      </c>
      <c r="S59" s="25">
        <f t="shared" si="13"/>
        <v>2021</v>
      </c>
      <c r="T59" s="25">
        <f t="shared" si="13"/>
        <v>2022</v>
      </c>
    </row>
    <row r="60" spans="3:20" x14ac:dyDescent="0.3">
      <c r="D60" s="29" t="s">
        <v>30</v>
      </c>
      <c r="E60" s="29">
        <v>0</v>
      </c>
      <c r="F60" s="29">
        <f t="shared" ref="F60:T60" si="14">E60+1</f>
        <v>1</v>
      </c>
      <c r="G60" s="29">
        <f t="shared" si="14"/>
        <v>2</v>
      </c>
      <c r="H60" s="29">
        <f t="shared" si="14"/>
        <v>3</v>
      </c>
      <c r="I60" s="29">
        <f t="shared" si="14"/>
        <v>4</v>
      </c>
      <c r="J60" s="29">
        <f t="shared" si="14"/>
        <v>5</v>
      </c>
      <c r="K60" s="29">
        <f t="shared" si="14"/>
        <v>6</v>
      </c>
      <c r="L60" s="29">
        <f t="shared" si="14"/>
        <v>7</v>
      </c>
      <c r="M60" s="29">
        <f t="shared" si="14"/>
        <v>8</v>
      </c>
      <c r="N60" s="29">
        <f t="shared" si="14"/>
        <v>9</v>
      </c>
      <c r="O60" s="29">
        <f t="shared" si="14"/>
        <v>10</v>
      </c>
      <c r="P60" s="29">
        <f t="shared" si="14"/>
        <v>11</v>
      </c>
      <c r="Q60" s="29">
        <f t="shared" si="14"/>
        <v>12</v>
      </c>
      <c r="R60" s="29">
        <f t="shared" si="14"/>
        <v>13</v>
      </c>
      <c r="S60" s="29">
        <f t="shared" si="14"/>
        <v>14</v>
      </c>
      <c r="T60" s="29">
        <f t="shared" si="14"/>
        <v>15</v>
      </c>
    </row>
    <row r="61" spans="3:20" x14ac:dyDescent="0.3">
      <c r="C61" t="s">
        <v>31</v>
      </c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3:20" x14ac:dyDescent="0.3">
      <c r="C62" s="16" t="s">
        <v>32</v>
      </c>
      <c r="D62" s="19"/>
      <c r="E62" s="19"/>
      <c r="F62" s="34">
        <f>20</f>
        <v>20</v>
      </c>
      <c r="G62" s="34">
        <f>20</f>
        <v>20</v>
      </c>
      <c r="H62" s="34">
        <f>20</f>
        <v>20</v>
      </c>
      <c r="I62" s="34">
        <f>20</f>
        <v>20</v>
      </c>
      <c r="J62" s="34">
        <f>20</f>
        <v>20</v>
      </c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3:20" x14ac:dyDescent="0.3">
      <c r="C63" s="16" t="s">
        <v>35</v>
      </c>
      <c r="D63" s="19"/>
      <c r="E63" s="19"/>
      <c r="F63" s="19"/>
      <c r="G63" s="35">
        <f>F19</f>
        <v>0.59575390673604922</v>
      </c>
      <c r="H63" s="35"/>
      <c r="I63" s="35">
        <f>F20</f>
        <v>0.59575390673604922</v>
      </c>
      <c r="J63" s="35">
        <f>F21</f>
        <v>0.89575390673604927</v>
      </c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3:20" x14ac:dyDescent="0.3">
      <c r="C64" s="16" t="s">
        <v>36</v>
      </c>
      <c r="D64" s="19"/>
      <c r="E64" s="19"/>
      <c r="F64" s="19"/>
      <c r="G64" s="35">
        <f>G63</f>
        <v>0.59575390673604922</v>
      </c>
      <c r="H64" s="19"/>
      <c r="I64" s="35">
        <f>G64*I63</f>
        <v>0.35492271739126524</v>
      </c>
      <c r="J64" s="35">
        <f>I64*J63</f>
        <v>0.31792341069260055</v>
      </c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3:20" x14ac:dyDescent="0.3">
      <c r="C65" s="16" t="s">
        <v>43</v>
      </c>
      <c r="D65" s="19"/>
      <c r="E65" s="19"/>
      <c r="F65" s="19"/>
      <c r="G65" s="19">
        <v>20</v>
      </c>
      <c r="H65" s="19"/>
      <c r="I65" s="19">
        <v>20</v>
      </c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3:20" x14ac:dyDescent="0.3">
      <c r="C66" s="16" t="s">
        <v>44</v>
      </c>
      <c r="D66" s="19"/>
      <c r="E66" s="19"/>
      <c r="F66" s="19"/>
      <c r="G66" s="19">
        <f>G65*G64</f>
        <v>11.915078134720984</v>
      </c>
      <c r="H66" s="19"/>
      <c r="I66" s="19">
        <f t="shared" ref="I66" si="15">I65*I64</f>
        <v>7.0984543478253048</v>
      </c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3:20" x14ac:dyDescent="0.3">
      <c r="C67" s="16" t="s">
        <v>45</v>
      </c>
      <c r="D67" s="19"/>
      <c r="E67" s="19"/>
      <c r="F67" s="19">
        <f>F62+F66</f>
        <v>20</v>
      </c>
      <c r="G67" s="19">
        <f t="shared" ref="G67:J67" si="16">G62+G66</f>
        <v>31.915078134720986</v>
      </c>
      <c r="H67" s="19">
        <f t="shared" si="16"/>
        <v>20</v>
      </c>
      <c r="I67" s="19">
        <f t="shared" si="16"/>
        <v>27.098454347825303</v>
      </c>
      <c r="J67" s="19">
        <f t="shared" si="16"/>
        <v>20</v>
      </c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3:20" x14ac:dyDescent="0.3">
      <c r="C68" t="s">
        <v>46</v>
      </c>
      <c r="D68" s="19">
        <f>SUM(E68:T68)</f>
        <v>90.511247232194435</v>
      </c>
      <c r="F68" s="19">
        <f>F67/(1+$D$3)^F60</f>
        <v>18.18181818181818</v>
      </c>
      <c r="G68" s="19">
        <f t="shared" ref="G68:J68" si="17">G67/(1+$D$3)^G60</f>
        <v>26.37609763200081</v>
      </c>
      <c r="H68" s="19">
        <f t="shared" si="17"/>
        <v>15.02629601803155</v>
      </c>
      <c r="I68" s="19">
        <f t="shared" si="17"/>
        <v>18.50860893916078</v>
      </c>
      <c r="J68" s="19">
        <f t="shared" si="17"/>
        <v>12.418426461183099</v>
      </c>
    </row>
    <row r="69" spans="3:20" x14ac:dyDescent="0.3">
      <c r="C69" s="16" t="s">
        <v>34</v>
      </c>
      <c r="D69" s="19"/>
      <c r="G69">
        <v>50</v>
      </c>
      <c r="I69">
        <v>100</v>
      </c>
      <c r="J69">
        <v>100</v>
      </c>
    </row>
    <row r="70" spans="3:20" x14ac:dyDescent="0.3">
      <c r="C70" s="16" t="s">
        <v>37</v>
      </c>
      <c r="D70" s="19"/>
      <c r="G70" s="19">
        <f>G69*G64</f>
        <v>29.787695336802461</v>
      </c>
      <c r="H70" s="19"/>
      <c r="I70" s="19">
        <f t="shared" ref="I70:J70" si="18">I69*I64</f>
        <v>35.492271739126522</v>
      </c>
      <c r="J70" s="19">
        <f t="shared" si="18"/>
        <v>31.792341069260054</v>
      </c>
    </row>
    <row r="71" spans="3:20" x14ac:dyDescent="0.3">
      <c r="C71" s="22" t="s">
        <v>38</v>
      </c>
      <c r="D71" s="19">
        <f t="shared" ref="D71:D75" si="19">SUM(E71:T71)</f>
        <v>68.600171669584952</v>
      </c>
      <c r="G71" s="19">
        <f t="shared" ref="G71:J71" si="20">G70/(1+$D$3)^G60</f>
        <v>24.617930030415252</v>
      </c>
      <c r="H71" s="19"/>
      <c r="I71" s="19">
        <f t="shared" si="20"/>
        <v>24.241699159296846</v>
      </c>
      <c r="J71" s="19">
        <f t="shared" si="20"/>
        <v>19.740542479872861</v>
      </c>
    </row>
    <row r="72" spans="3:20" x14ac:dyDescent="0.3">
      <c r="C72" t="s">
        <v>39</v>
      </c>
      <c r="D72" s="19"/>
      <c r="K72" s="19">
        <f>(K73+K74)*$J$64</f>
        <v>12.399013017011422</v>
      </c>
      <c r="L72" s="19">
        <f t="shared" ref="L72:T72" si="21">(L73+L74)*$J$64</f>
        <v>12.399013017011422</v>
      </c>
      <c r="M72" s="19">
        <f t="shared" si="21"/>
        <v>12.399013017011422</v>
      </c>
      <c r="N72" s="19">
        <f t="shared" si="21"/>
        <v>12.399013017011422</v>
      </c>
      <c r="O72" s="19">
        <f t="shared" si="21"/>
        <v>12.399013017011422</v>
      </c>
      <c r="P72" s="19">
        <f t="shared" si="21"/>
        <v>12.399013017011422</v>
      </c>
      <c r="Q72" s="19">
        <f t="shared" si="21"/>
        <v>12.399013017011422</v>
      </c>
      <c r="R72" s="19">
        <f t="shared" si="21"/>
        <v>12.399013017011422</v>
      </c>
      <c r="S72" s="19">
        <f t="shared" si="21"/>
        <v>12.399013017011422</v>
      </c>
      <c r="T72" s="19">
        <f t="shared" si="21"/>
        <v>12.399013017011422</v>
      </c>
    </row>
    <row r="73" spans="3:20" x14ac:dyDescent="0.3">
      <c r="C73" s="33" t="s">
        <v>25</v>
      </c>
      <c r="D73" s="19"/>
      <c r="K73" s="19">
        <f>(K30-10)*$J$8</f>
        <v>27</v>
      </c>
      <c r="L73" s="19">
        <f t="shared" ref="L73:T73" si="22">(L30-10)*$J$8</f>
        <v>27</v>
      </c>
      <c r="M73" s="19">
        <f t="shared" si="22"/>
        <v>27</v>
      </c>
      <c r="N73" s="19">
        <f t="shared" si="22"/>
        <v>27</v>
      </c>
      <c r="O73" s="19">
        <f t="shared" si="22"/>
        <v>27</v>
      </c>
      <c r="P73" s="19">
        <f t="shared" si="22"/>
        <v>27</v>
      </c>
      <c r="Q73" s="19">
        <f t="shared" si="22"/>
        <v>27</v>
      </c>
      <c r="R73" s="19">
        <f t="shared" si="22"/>
        <v>27</v>
      </c>
      <c r="S73" s="19">
        <f t="shared" si="22"/>
        <v>27</v>
      </c>
      <c r="T73" s="19">
        <f t="shared" si="22"/>
        <v>27</v>
      </c>
    </row>
    <row r="74" spans="3:20" x14ac:dyDescent="0.3">
      <c r="C74" s="33" t="s">
        <v>26</v>
      </c>
      <c r="D74" s="19"/>
      <c r="K74" s="19">
        <f>(K31-10)*$J$9</f>
        <v>12</v>
      </c>
      <c r="L74" s="19">
        <f t="shared" ref="L74:T74" si="23">(L31-10)*$J$9</f>
        <v>12</v>
      </c>
      <c r="M74" s="19">
        <f t="shared" si="23"/>
        <v>12</v>
      </c>
      <c r="N74" s="19">
        <f t="shared" si="23"/>
        <v>12</v>
      </c>
      <c r="O74" s="19">
        <f t="shared" si="23"/>
        <v>12</v>
      </c>
      <c r="P74" s="19">
        <f t="shared" si="23"/>
        <v>12</v>
      </c>
      <c r="Q74" s="19">
        <f t="shared" si="23"/>
        <v>12</v>
      </c>
      <c r="R74" s="19">
        <f t="shared" si="23"/>
        <v>12</v>
      </c>
      <c r="S74" s="19">
        <f t="shared" si="23"/>
        <v>12</v>
      </c>
      <c r="T74" s="19">
        <f t="shared" si="23"/>
        <v>12</v>
      </c>
    </row>
    <row r="75" spans="3:20" x14ac:dyDescent="0.3">
      <c r="C75" t="s">
        <v>40</v>
      </c>
      <c r="D75" s="19">
        <f t="shared" si="19"/>
        <v>47.305864308531149</v>
      </c>
      <c r="K75" s="19">
        <f>(K72)/(1+$D$3)^K60</f>
        <v>6.9989196065003778</v>
      </c>
      <c r="L75" s="19">
        <f t="shared" ref="L75:T75" si="24">(L72)/(1+$D$3)^L60</f>
        <v>6.3626541877276157</v>
      </c>
      <c r="M75" s="19">
        <f t="shared" si="24"/>
        <v>5.7842310797523782</v>
      </c>
      <c r="N75" s="19">
        <f t="shared" si="24"/>
        <v>5.2583918906839795</v>
      </c>
      <c r="O75" s="19">
        <f t="shared" si="24"/>
        <v>4.7803562642581632</v>
      </c>
      <c r="P75" s="19">
        <f t="shared" si="24"/>
        <v>4.3457784220528746</v>
      </c>
      <c r="Q75" s="19">
        <f t="shared" si="24"/>
        <v>3.9507076564117045</v>
      </c>
      <c r="R75" s="19">
        <f t="shared" si="24"/>
        <v>3.5915524149197311</v>
      </c>
      <c r="S75" s="19">
        <f t="shared" si="24"/>
        <v>3.2650476499270278</v>
      </c>
      <c r="T75" s="19">
        <f t="shared" si="24"/>
        <v>2.9682251362972978</v>
      </c>
    </row>
    <row r="76" spans="3:20" x14ac:dyDescent="0.3">
      <c r="C76" t="s">
        <v>41</v>
      </c>
      <c r="D76" s="19">
        <f>SUM(D61:D75)</f>
        <v>206.41728321031053</v>
      </c>
    </row>
    <row r="80" spans="3:20" x14ac:dyDescent="0.3">
      <c r="C80" t="s">
        <v>47</v>
      </c>
      <c r="D80" s="19">
        <f>D55</f>
        <v>206.41727498030028</v>
      </c>
      <c r="F80" t="s">
        <v>48</v>
      </c>
    </row>
    <row r="81" spans="2:7" x14ac:dyDescent="0.3">
      <c r="C81" t="s">
        <v>49</v>
      </c>
      <c r="D81" s="19">
        <f>D76</f>
        <v>206.41728321031053</v>
      </c>
      <c r="G81" s="19">
        <f>D80-D81</f>
        <v>-8.230010251963904E-6</v>
      </c>
    </row>
    <row r="84" spans="2:7" x14ac:dyDescent="0.3">
      <c r="B84" t="s">
        <v>50</v>
      </c>
      <c r="C84" t="s">
        <v>51</v>
      </c>
      <c r="D84" s="35">
        <v>9.5753906736049207E-2</v>
      </c>
    </row>
    <row r="86" spans="2:7" x14ac:dyDescent="0.3">
      <c r="C86" t="s">
        <v>52</v>
      </c>
      <c r="D86" s="19">
        <f>D80-D81</f>
        <v>-8.230010251963904E-6</v>
      </c>
      <c r="E86" s="51" t="s">
        <v>53</v>
      </c>
    </row>
    <row r="89" spans="2:7" x14ac:dyDescent="0.3">
      <c r="B89" t="s">
        <v>54</v>
      </c>
      <c r="C89" s="2" t="s">
        <v>55</v>
      </c>
    </row>
    <row r="90" spans="2:7" x14ac:dyDescent="0.3">
      <c r="C90" s="22" t="s">
        <v>56</v>
      </c>
      <c r="D90" s="19">
        <f>E43+SUM(F44:J44)</f>
        <v>175</v>
      </c>
    </row>
    <row r="91" spans="2:7" x14ac:dyDescent="0.3">
      <c r="C91" t="s">
        <v>57</v>
      </c>
      <c r="D91">
        <f>SUM(G46:J46)</f>
        <v>200</v>
      </c>
    </row>
    <row r="92" spans="2:7" x14ac:dyDescent="0.3">
      <c r="C92" t="s">
        <v>58</v>
      </c>
      <c r="D92" s="19">
        <f>SUM(G49:J49)</f>
        <v>56</v>
      </c>
    </row>
    <row r="95" spans="2:7" x14ac:dyDescent="0.3">
      <c r="C95" s="2" t="s">
        <v>3</v>
      </c>
    </row>
    <row r="96" spans="2:7" x14ac:dyDescent="0.3">
      <c r="C96" s="22" t="s">
        <v>56</v>
      </c>
      <c r="D96" s="19">
        <f>SUM(F62:J62)</f>
        <v>100</v>
      </c>
    </row>
    <row r="97" spans="2:6" x14ac:dyDescent="0.3">
      <c r="C97" t="s">
        <v>57</v>
      </c>
      <c r="D97" s="19">
        <f>SUM(G65:I65)+SUM(G69:J69)</f>
        <v>290</v>
      </c>
    </row>
    <row r="98" spans="2:6" x14ac:dyDescent="0.3">
      <c r="C98" t="s">
        <v>58</v>
      </c>
      <c r="D98" s="19">
        <f>SUM(G66:I66)+SUM(G70:J70)</f>
        <v>116.08584062773531</v>
      </c>
    </row>
    <row r="100" spans="2:6" ht="14.25" customHeight="1" x14ac:dyDescent="0.3">
      <c r="B100" s="22" t="s">
        <v>59</v>
      </c>
      <c r="C100" s="22"/>
    </row>
    <row r="101" spans="2:6" ht="44.25" customHeight="1" x14ac:dyDescent="0.3">
      <c r="C101" s="52" t="s">
        <v>60</v>
      </c>
      <c r="D101" s="52"/>
      <c r="F101" t="s">
        <v>61</v>
      </c>
    </row>
    <row r="102" spans="2:6" ht="75.75" customHeight="1" x14ac:dyDescent="0.3">
      <c r="C102" s="53" t="s">
        <v>62</v>
      </c>
      <c r="D102" s="53"/>
    </row>
    <row r="103" spans="2:6" ht="77.25" customHeight="1" x14ac:dyDescent="0.3">
      <c r="C103" s="53" t="s">
        <v>63</v>
      </c>
      <c r="D103" s="53"/>
    </row>
    <row r="104" spans="2:6" ht="78.75" customHeight="1" x14ac:dyDescent="0.3">
      <c r="C104" s="53" t="s">
        <v>64</v>
      </c>
      <c r="D104" s="53"/>
    </row>
    <row r="105" spans="2:6" ht="201.75" customHeight="1" x14ac:dyDescent="0.3">
      <c r="C105" s="53" t="s">
        <v>65</v>
      </c>
      <c r="D105" s="53"/>
    </row>
  </sheetData>
  <mergeCells count="5">
    <mergeCell ref="C101:D101"/>
    <mergeCell ref="C102:D102"/>
    <mergeCell ref="C103:D103"/>
    <mergeCell ref="C104:D104"/>
    <mergeCell ref="C105:D105"/>
  </mergeCells>
  <pageMargins left="0.7" right="0.7" top="0.75" bottom="0.75" header="0.3" footer="0.3"/>
  <pageSetup orientation="portrait"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F253EA3E-84FD-4F13-A424-61A8DC0E6B93}">
          <xm:f>#REF!</xm:f>
        </x15:webExtension>
        <x15:webExtension appRef="{62985E20-67DB-493D-842F-939B15109843}">
          <xm:f>#REF!</xm:f>
        </x15:webExtension>
        <x15:webExtension appRef="{73DF81B0-A3D6-41A7-B4B6-A8C55C79D013}">
          <xm:f>#REF!</xm:f>
        </x15:webExtension>
        <x15:webExtension appRef="{ADC32915-D52E-4F0E-8AA5-08858FDDC4F4}">
          <xm:f>#REF!</xm:f>
        </x15:webExtension>
        <x15:webExtension appRef="{E23C9512-1BBA-4F1D-A0D6-4D47CF37B5DD}">
          <xm:f>#REF!</xm:f>
        </x15:webExtension>
        <x15:webExtension appRef="{09618773-5FF6-4815-838E-18397883F64D}">
          <xm:f>#REF!</xm:f>
        </x15:webExtension>
        <x15:webExtension appRef="{B1032D34-9B5C-48A1-ACEC-AE6C51B7CB35}">
          <xm:f>#REF!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BF855-511A-084A-83D5-8B589A2A9DDF}">
  <dimension ref="B2:E32"/>
  <sheetViews>
    <sheetView tabSelected="1" zoomScaleNormal="150" zoomScaleSheetLayoutView="100" workbookViewId="0">
      <selection sqref="A1:XFD1"/>
    </sheetView>
  </sheetViews>
  <sheetFormatPr defaultRowHeight="14.4" x14ac:dyDescent="0.3"/>
  <cols>
    <col min="2" max="2" width="33.44140625" bestFit="1" customWidth="1"/>
    <col min="3" max="3" width="34.44140625" bestFit="1" customWidth="1"/>
    <col min="4" max="4" width="26" customWidth="1"/>
  </cols>
  <sheetData>
    <row r="2" spans="2:3" x14ac:dyDescent="0.3">
      <c r="B2" s="37" t="s">
        <v>66</v>
      </c>
      <c r="C2" s="38" t="s">
        <v>67</v>
      </c>
    </row>
    <row r="3" spans="2:3" x14ac:dyDescent="0.3">
      <c r="B3" s="57" t="s">
        <v>68</v>
      </c>
      <c r="C3" s="58"/>
    </row>
    <row r="4" spans="2:3" ht="28.8" x14ac:dyDescent="0.3">
      <c r="B4" s="5" t="s">
        <v>69</v>
      </c>
      <c r="C4" s="6" t="s">
        <v>70</v>
      </c>
    </row>
    <row r="5" spans="2:3" x14ac:dyDescent="0.3">
      <c r="B5" s="5" t="s">
        <v>71</v>
      </c>
      <c r="C5" s="6" t="s">
        <v>72</v>
      </c>
    </row>
    <row r="6" spans="2:3" ht="28.8" x14ac:dyDescent="0.3">
      <c r="B6" s="5" t="s">
        <v>73</v>
      </c>
    </row>
    <row r="7" spans="2:3" x14ac:dyDescent="0.3">
      <c r="B7" s="6" t="s">
        <v>74</v>
      </c>
      <c r="C7" s="15"/>
    </row>
    <row r="8" spans="2:3" x14ac:dyDescent="0.3">
      <c r="B8" s="57" t="s">
        <v>75</v>
      </c>
      <c r="C8" s="58"/>
    </row>
    <row r="9" spans="2:3" ht="28.8" x14ac:dyDescent="0.3">
      <c r="B9" s="7" t="s">
        <v>76</v>
      </c>
      <c r="C9" s="8" t="s">
        <v>77</v>
      </c>
    </row>
    <row r="10" spans="2:3" x14ac:dyDescent="0.3">
      <c r="B10" s="9" t="s">
        <v>78</v>
      </c>
      <c r="C10" s="10" t="s">
        <v>79</v>
      </c>
    </row>
    <row r="11" spans="2:3" ht="28.8" x14ac:dyDescent="0.3">
      <c r="C11" s="11" t="s">
        <v>80</v>
      </c>
    </row>
    <row r="12" spans="2:3" x14ac:dyDescent="0.3">
      <c r="B12" s="57" t="s">
        <v>81</v>
      </c>
      <c r="C12" s="58"/>
    </row>
    <row r="13" spans="2:3" x14ac:dyDescent="0.3">
      <c r="B13" s="7" t="s">
        <v>82</v>
      </c>
      <c r="C13" s="8" t="s">
        <v>83</v>
      </c>
    </row>
    <row r="14" spans="2:3" ht="28.8" x14ac:dyDescent="0.3">
      <c r="B14" s="9" t="s">
        <v>84</v>
      </c>
      <c r="C14" s="10" t="s">
        <v>85</v>
      </c>
    </row>
    <row r="15" spans="2:3" x14ac:dyDescent="0.3">
      <c r="B15" s="12" t="s">
        <v>86</v>
      </c>
      <c r="C15" s="13"/>
    </row>
    <row r="16" spans="2:3" x14ac:dyDescent="0.3">
      <c r="B16" s="4" t="s">
        <v>86</v>
      </c>
      <c r="C16" s="14"/>
    </row>
    <row r="18" spans="2:5" x14ac:dyDescent="0.3">
      <c r="B18" s="61" t="s">
        <v>87</v>
      </c>
      <c r="C18" s="62"/>
      <c r="E18" s="20"/>
    </row>
    <row r="19" spans="2:5" x14ac:dyDescent="0.3">
      <c r="B19" s="44" t="s">
        <v>88</v>
      </c>
      <c r="C19" s="45">
        <v>3</v>
      </c>
    </row>
    <row r="20" spans="2:5" x14ac:dyDescent="0.3">
      <c r="B20" s="46" t="s">
        <v>89</v>
      </c>
      <c r="C20" s="47">
        <v>2</v>
      </c>
    </row>
    <row r="21" spans="2:5" x14ac:dyDescent="0.3">
      <c r="B21" s="48" t="s">
        <v>90</v>
      </c>
      <c r="C21" s="49">
        <v>1</v>
      </c>
    </row>
    <row r="23" spans="2:5" ht="43.2" x14ac:dyDescent="0.3">
      <c r="B23" s="50" t="s">
        <v>91</v>
      </c>
      <c r="C23" s="39" t="s">
        <v>92</v>
      </c>
      <c r="D23" s="59" t="s">
        <v>93</v>
      </c>
    </row>
    <row r="24" spans="2:5" ht="28.8" x14ac:dyDescent="0.3">
      <c r="B24" s="40"/>
      <c r="C24" s="41" t="s">
        <v>94</v>
      </c>
      <c r="D24" s="60"/>
    </row>
    <row r="25" spans="2:5" ht="15" thickBot="1" x14ac:dyDescent="0.35"/>
    <row r="26" spans="2:5" ht="72" x14ac:dyDescent="0.3">
      <c r="B26" s="43" t="s">
        <v>95</v>
      </c>
      <c r="C26" s="39" t="s">
        <v>96</v>
      </c>
      <c r="D26" s="63" t="s">
        <v>97</v>
      </c>
    </row>
    <row r="27" spans="2:5" ht="43.2" x14ac:dyDescent="0.3">
      <c r="B27" s="42"/>
      <c r="C27" s="14" t="s">
        <v>98</v>
      </c>
      <c r="D27" s="64"/>
    </row>
    <row r="28" spans="2:5" ht="29.4" thickBot="1" x14ac:dyDescent="0.35">
      <c r="B28" s="40"/>
      <c r="C28" s="41" t="s">
        <v>99</v>
      </c>
      <c r="D28" s="65"/>
    </row>
    <row r="29" spans="2:5" ht="15" thickBot="1" x14ac:dyDescent="0.35"/>
    <row r="30" spans="2:5" ht="14.25" customHeight="1" x14ac:dyDescent="0.3">
      <c r="B30" s="43" t="s">
        <v>100</v>
      </c>
      <c r="C30" s="39" t="s">
        <v>101</v>
      </c>
      <c r="D30" s="54" t="s">
        <v>102</v>
      </c>
    </row>
    <row r="31" spans="2:5" ht="14.25" customHeight="1" x14ac:dyDescent="0.3">
      <c r="B31" s="42"/>
      <c r="C31" t="s">
        <v>103</v>
      </c>
      <c r="D31" s="55"/>
    </row>
    <row r="32" spans="2:5" ht="14.25" customHeight="1" x14ac:dyDescent="0.3">
      <c r="B32" s="40"/>
      <c r="C32" s="41" t="s">
        <v>104</v>
      </c>
      <c r="D32" s="56"/>
    </row>
  </sheetData>
  <mergeCells count="7">
    <mergeCell ref="D30:D32"/>
    <mergeCell ref="B3:C3"/>
    <mergeCell ref="B8:C8"/>
    <mergeCell ref="B12:C12"/>
    <mergeCell ref="D26:D28"/>
    <mergeCell ref="D23:D24"/>
    <mergeCell ref="B18:C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Multi-Offer Comparision</vt:lpstr>
      <vt:lpstr>Strategic Alliance over VC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AITHEPALLI Chohan</cp:lastModifiedBy>
  <cp:revision/>
  <dcterms:created xsi:type="dcterms:W3CDTF">2024-04-01T15:18:10Z</dcterms:created>
  <dcterms:modified xsi:type="dcterms:W3CDTF">2025-04-29T11:42:26Z</dcterms:modified>
  <cp:category/>
  <cp:contentStatus/>
</cp:coreProperties>
</file>