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autoCompressPictures="0"/>
  <mc:AlternateContent xmlns:mc="http://schemas.openxmlformats.org/markup-compatibility/2006">
    <mc:Choice Requires="x15">
      <x15ac:absPath xmlns:x15ac="http://schemas.microsoft.com/office/spreadsheetml/2010/11/ac" url="C:\Users\mcollins\Downloads\"/>
    </mc:Choice>
  </mc:AlternateContent>
  <xr:revisionPtr revIDLastSave="0" documentId="8_{59479D27-42DC-4026-9FBF-71BA3EFB3EFC}" xr6:coauthVersionLast="41" xr6:coauthVersionMax="41" xr10:uidLastSave="{00000000-0000-0000-0000-000000000000}"/>
  <bookViews>
    <workbookView xWindow="7155" yWindow="3300" windowWidth="21495" windowHeight="11835" tabRatio="924" xr2:uid="{00000000-000D-0000-FFFF-FFFF00000000}"/>
  </bookViews>
  <sheets>
    <sheet name="Instructions" sheetId="14" r:id="rId1"/>
    <sheet name="Associate's Summary" sheetId="7" r:id="rId2"/>
    <sheet name="Bachelor's Summary" sheetId="8" r:id="rId3"/>
    <sheet name="Master's Summary" sheetId="9" r:id="rId4"/>
    <sheet name="Ph.D. Summary" sheetId="10" r:id="rId5"/>
    <sheet name="Program Data Associate's" sheetId="2" r:id="rId6"/>
    <sheet name="Program Data - Bachelor's" sheetId="11" r:id="rId7"/>
    <sheet name="Program Data - Master's" sheetId="12" r:id="rId8"/>
    <sheet name="Program Data - Doctoral" sheetId="13" r:id="rId9"/>
    <sheet name="Definitions" sheetId="6" r:id="rId10"/>
    <sheet name="CIP Codes" sheetId="15"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03" i="15" l="1"/>
  <c r="A1803" i="15"/>
  <c r="B1802" i="15"/>
  <c r="A1802" i="15"/>
  <c r="B1801" i="15"/>
  <c r="A1801" i="15"/>
  <c r="B1800" i="15"/>
  <c r="A1800" i="15"/>
  <c r="B1799" i="15"/>
  <c r="A1799" i="15"/>
  <c r="B1798" i="15"/>
  <c r="A1798" i="15"/>
  <c r="B1797" i="15"/>
  <c r="A1797" i="15"/>
  <c r="B1796" i="15"/>
  <c r="A1796" i="15"/>
  <c r="B1795" i="15"/>
  <c r="A1795" i="15"/>
  <c r="B1794" i="15"/>
  <c r="A1794" i="15"/>
  <c r="B1793" i="15"/>
  <c r="A1793" i="15"/>
  <c r="B1792" i="15"/>
  <c r="A1792" i="15"/>
  <c r="B1791" i="15"/>
  <c r="A1791" i="15"/>
  <c r="B1790" i="15"/>
  <c r="A1790" i="15"/>
  <c r="B1789" i="15"/>
  <c r="A1789" i="15"/>
  <c r="B1788" i="15"/>
  <c r="A1788" i="15"/>
  <c r="B1787" i="15"/>
  <c r="A1787" i="15"/>
  <c r="B1786" i="15"/>
  <c r="A1786" i="15"/>
  <c r="B1785" i="15"/>
  <c r="A1785" i="15"/>
  <c r="B1784" i="15"/>
  <c r="A1784" i="15"/>
  <c r="B1783" i="15"/>
  <c r="A1783" i="15"/>
  <c r="B1782" i="15"/>
  <c r="A1782" i="15"/>
  <c r="B1781" i="15"/>
  <c r="A1781" i="15"/>
  <c r="B1780" i="15"/>
  <c r="A1780" i="15"/>
  <c r="B1779" i="15"/>
  <c r="A1779" i="15"/>
  <c r="B1778" i="15"/>
  <c r="A1778" i="15"/>
  <c r="B1777" i="15"/>
  <c r="A1777" i="15"/>
  <c r="B1776" i="15"/>
  <c r="A1776" i="15"/>
  <c r="B1775" i="15"/>
  <c r="A1775" i="15"/>
  <c r="B1774" i="15"/>
  <c r="A1774" i="15"/>
  <c r="B1773" i="15"/>
  <c r="A1773" i="15"/>
  <c r="B1772" i="15"/>
  <c r="A1772" i="15"/>
  <c r="B1771" i="15"/>
  <c r="A1771" i="15"/>
  <c r="B1770" i="15"/>
  <c r="A1770" i="15"/>
  <c r="B1769" i="15"/>
  <c r="A1769" i="15"/>
  <c r="B1768" i="15"/>
  <c r="A1768" i="15"/>
  <c r="B1767" i="15"/>
  <c r="A1767" i="15"/>
  <c r="B1766" i="15"/>
  <c r="A1766" i="15"/>
  <c r="B1765" i="15"/>
  <c r="A1765" i="15"/>
  <c r="B1764" i="15"/>
  <c r="A1764" i="15"/>
  <c r="B1763" i="15"/>
  <c r="A1763" i="15"/>
  <c r="B1762" i="15"/>
  <c r="A1762" i="15"/>
  <c r="B1761" i="15"/>
  <c r="A1761" i="15"/>
  <c r="B1760" i="15"/>
  <c r="A1760" i="15"/>
  <c r="B1759" i="15"/>
  <c r="A1759" i="15"/>
  <c r="B1758" i="15"/>
  <c r="A1758" i="15"/>
  <c r="B1757" i="15"/>
  <c r="A1757" i="15"/>
  <c r="B1756" i="15"/>
  <c r="A1756" i="15"/>
  <c r="B1755" i="15"/>
  <c r="A1755" i="15"/>
  <c r="B1754" i="15"/>
  <c r="A1754" i="15"/>
  <c r="B1753" i="15"/>
  <c r="A1753" i="15"/>
  <c r="B1752" i="15"/>
  <c r="A1752" i="15"/>
  <c r="B1751" i="15"/>
  <c r="A1751" i="15"/>
  <c r="B1750" i="15"/>
  <c r="A1750" i="15"/>
  <c r="B1749" i="15"/>
  <c r="A1749" i="15"/>
  <c r="B1748" i="15"/>
  <c r="A1748" i="15"/>
  <c r="B1747" i="15"/>
  <c r="A1747" i="15"/>
  <c r="B1746" i="15"/>
  <c r="A1746" i="15"/>
  <c r="B1745" i="15"/>
  <c r="A1745" i="15"/>
  <c r="B1744" i="15"/>
  <c r="A1744" i="15"/>
  <c r="B1743" i="15"/>
  <c r="A1743" i="15"/>
  <c r="B1742" i="15"/>
  <c r="A1742" i="15"/>
  <c r="B1741" i="15"/>
  <c r="A1741" i="15"/>
  <c r="B1740" i="15"/>
  <c r="A1740" i="15"/>
  <c r="B1739" i="15"/>
  <c r="A1739" i="15"/>
  <c r="B1738" i="15"/>
  <c r="A1738" i="15"/>
  <c r="B1737" i="15"/>
  <c r="A1737" i="15"/>
  <c r="B1736" i="15"/>
  <c r="A1736" i="15"/>
  <c r="B1735" i="15"/>
  <c r="A1735" i="15"/>
  <c r="B1734" i="15"/>
  <c r="A1734" i="15"/>
  <c r="B1733" i="15"/>
  <c r="A1733" i="15"/>
  <c r="B1732" i="15"/>
  <c r="A1732" i="15"/>
  <c r="B1731" i="15"/>
  <c r="A1731" i="15"/>
  <c r="B1730" i="15"/>
  <c r="A1730" i="15"/>
  <c r="B1729" i="15"/>
  <c r="A1729" i="15"/>
  <c r="B1728" i="15"/>
  <c r="A1728" i="15"/>
  <c r="B1727" i="15"/>
  <c r="A1727" i="15"/>
  <c r="B1726" i="15"/>
  <c r="A1726" i="15"/>
  <c r="B1725" i="15"/>
  <c r="A1725" i="15"/>
  <c r="B1724" i="15"/>
  <c r="A1724" i="15"/>
  <c r="B1723" i="15"/>
  <c r="A1723" i="15"/>
  <c r="B1722" i="15"/>
  <c r="A1722" i="15"/>
  <c r="B1721" i="15"/>
  <c r="A1721" i="15"/>
  <c r="B1720" i="15"/>
  <c r="A1720" i="15"/>
  <c r="B1719" i="15"/>
  <c r="A1719" i="15"/>
  <c r="B1718" i="15"/>
  <c r="A1718" i="15"/>
  <c r="B1717" i="15"/>
  <c r="A1717" i="15"/>
  <c r="B1716" i="15"/>
  <c r="A1716" i="15"/>
  <c r="B1715" i="15"/>
  <c r="A1715" i="15"/>
  <c r="B1714" i="15"/>
  <c r="A1714" i="15"/>
  <c r="B1713" i="15"/>
  <c r="A1713" i="15"/>
  <c r="B1712" i="15"/>
  <c r="A1712" i="15"/>
  <c r="B1711" i="15"/>
  <c r="A1711" i="15"/>
  <c r="B1710" i="15"/>
  <c r="A1710" i="15"/>
  <c r="B1709" i="15"/>
  <c r="A1709" i="15"/>
  <c r="B1708" i="15"/>
  <c r="A1708" i="15"/>
  <c r="B1707" i="15"/>
  <c r="A1707" i="15"/>
  <c r="B1706" i="15"/>
  <c r="A1706" i="15"/>
  <c r="B1705" i="15"/>
  <c r="A1705" i="15"/>
  <c r="B1704" i="15"/>
  <c r="A1704" i="15"/>
  <c r="B1703" i="15"/>
  <c r="A1703" i="15"/>
  <c r="B1702" i="15"/>
  <c r="A1702" i="15"/>
  <c r="B1701" i="15"/>
  <c r="A1701" i="15"/>
  <c r="B1700" i="15"/>
  <c r="A1700" i="15"/>
  <c r="B1699" i="15"/>
  <c r="A1699" i="15"/>
  <c r="B1698" i="15"/>
  <c r="A1698" i="15"/>
  <c r="B1697" i="15"/>
  <c r="A1697" i="15"/>
  <c r="B1696" i="15"/>
  <c r="A1696" i="15"/>
  <c r="B1695" i="15"/>
  <c r="A1695" i="15"/>
  <c r="B1694" i="15"/>
  <c r="A1694" i="15"/>
  <c r="B1693" i="15"/>
  <c r="A1693" i="15"/>
  <c r="B1692" i="15"/>
  <c r="A1692" i="15"/>
  <c r="B1691" i="15"/>
  <c r="A1691" i="15"/>
  <c r="B1690" i="15"/>
  <c r="A1690" i="15"/>
  <c r="B1689" i="15"/>
  <c r="A1689" i="15"/>
  <c r="B1688" i="15"/>
  <c r="A1688" i="15"/>
  <c r="B1687" i="15"/>
  <c r="A1687" i="15"/>
  <c r="B1686" i="15"/>
  <c r="A1686" i="15"/>
  <c r="B1685" i="15"/>
  <c r="A1685" i="15"/>
  <c r="B1684" i="15"/>
  <c r="A1684" i="15"/>
  <c r="B1683" i="15"/>
  <c r="A1683" i="15"/>
  <c r="B1682" i="15"/>
  <c r="A1682" i="15"/>
  <c r="B1681" i="15"/>
  <c r="A1681" i="15"/>
  <c r="B1680" i="15"/>
  <c r="A1680" i="15"/>
  <c r="B1679" i="15"/>
  <c r="A1679" i="15"/>
  <c r="B1678" i="15"/>
  <c r="A1678" i="15"/>
  <c r="B1677" i="15"/>
  <c r="A1677" i="15"/>
  <c r="B1676" i="15"/>
  <c r="A1676" i="15"/>
  <c r="B1675" i="15"/>
  <c r="A1675" i="15"/>
  <c r="B1674" i="15"/>
  <c r="A1674" i="15"/>
  <c r="B1673" i="15"/>
  <c r="A1673" i="15"/>
  <c r="B1672" i="15"/>
  <c r="A1672" i="15"/>
  <c r="B1671" i="15"/>
  <c r="A1671" i="15"/>
  <c r="B1670" i="15"/>
  <c r="A1670" i="15"/>
  <c r="B1669" i="15"/>
  <c r="A1669" i="15"/>
  <c r="B1668" i="15"/>
  <c r="A1668" i="15"/>
  <c r="B1667" i="15"/>
  <c r="A1667" i="15"/>
  <c r="B1666" i="15"/>
  <c r="A1666" i="15"/>
  <c r="B1665" i="15"/>
  <c r="A1665" i="15"/>
  <c r="B1664" i="15"/>
  <c r="A1664" i="15"/>
  <c r="B1663" i="15"/>
  <c r="A1663" i="15"/>
  <c r="B1662" i="15"/>
  <c r="A1662" i="15"/>
  <c r="B1661" i="15"/>
  <c r="A1661" i="15"/>
  <c r="B1660" i="15"/>
  <c r="A1660" i="15"/>
  <c r="B1659" i="15"/>
  <c r="A1659" i="15"/>
  <c r="B1658" i="15"/>
  <c r="A1658" i="15"/>
  <c r="B1657" i="15"/>
  <c r="A1657" i="15"/>
  <c r="B1656" i="15"/>
  <c r="A1656" i="15"/>
  <c r="B1655" i="15"/>
  <c r="A1655" i="15"/>
  <c r="B1654" i="15"/>
  <c r="A1654" i="15"/>
  <c r="B1653" i="15"/>
  <c r="A1653" i="15"/>
  <c r="B1652" i="15"/>
  <c r="A1652" i="15"/>
  <c r="B1651" i="15"/>
  <c r="A1651" i="15"/>
  <c r="B1650" i="15"/>
  <c r="A1650" i="15"/>
  <c r="B1649" i="15"/>
  <c r="A1649" i="15"/>
  <c r="B1648" i="15"/>
  <c r="A1648" i="15"/>
  <c r="B1647" i="15"/>
  <c r="A1647" i="15"/>
  <c r="B1646" i="15"/>
  <c r="A1646" i="15"/>
  <c r="B1645" i="15"/>
  <c r="A1645" i="15"/>
  <c r="B1644" i="15"/>
  <c r="A1644" i="15"/>
  <c r="B1643" i="15"/>
  <c r="A1643" i="15"/>
  <c r="B1642" i="15"/>
  <c r="A1642" i="15"/>
  <c r="B1641" i="15"/>
  <c r="A1641" i="15"/>
  <c r="B1640" i="15"/>
  <c r="A1640" i="15"/>
  <c r="B1639" i="15"/>
  <c r="A1639" i="15"/>
  <c r="B1638" i="15"/>
  <c r="A1638" i="15"/>
  <c r="B1637" i="15"/>
  <c r="A1637" i="15"/>
  <c r="B1636" i="15"/>
  <c r="A1636" i="15"/>
  <c r="B1635" i="15"/>
  <c r="A1635" i="15"/>
  <c r="B1634" i="15"/>
  <c r="A1634" i="15"/>
  <c r="B1633" i="15"/>
  <c r="A1633" i="15"/>
  <c r="B1632" i="15"/>
  <c r="A1632" i="15"/>
  <c r="B1631" i="15"/>
  <c r="A1631" i="15"/>
  <c r="B1630" i="15"/>
  <c r="A1630" i="15"/>
  <c r="B1629" i="15"/>
  <c r="A1629" i="15"/>
  <c r="B1628" i="15"/>
  <c r="A1628" i="15"/>
  <c r="B1627" i="15"/>
  <c r="A1627" i="15"/>
  <c r="B1626" i="15"/>
  <c r="A1626" i="15"/>
  <c r="B1625" i="15"/>
  <c r="A1625" i="15"/>
  <c r="B1624" i="15"/>
  <c r="A1624" i="15"/>
  <c r="B1623" i="15"/>
  <c r="A1623" i="15"/>
  <c r="B1622" i="15"/>
  <c r="A1622" i="15"/>
  <c r="B1621" i="15"/>
  <c r="A1621" i="15"/>
  <c r="B1620" i="15"/>
  <c r="A1620" i="15"/>
  <c r="B1619" i="15"/>
  <c r="A1619" i="15"/>
  <c r="B1618" i="15"/>
  <c r="A1618" i="15"/>
  <c r="B1617" i="15"/>
  <c r="A1617" i="15"/>
  <c r="B1616" i="15"/>
  <c r="A1616" i="15"/>
  <c r="B1615" i="15"/>
  <c r="A1615" i="15"/>
  <c r="B1614" i="15"/>
  <c r="A1614" i="15"/>
  <c r="B1613" i="15"/>
  <c r="A1613" i="15"/>
  <c r="B1612" i="15"/>
  <c r="A1612" i="15"/>
  <c r="B1611" i="15"/>
  <c r="A1611" i="15"/>
  <c r="B1610" i="15"/>
  <c r="A1610" i="15"/>
  <c r="B1609" i="15"/>
  <c r="A1609" i="15"/>
  <c r="B1608" i="15"/>
  <c r="A1608" i="15"/>
  <c r="B1607" i="15"/>
  <c r="A1607" i="15"/>
  <c r="B1606" i="15"/>
  <c r="A1606" i="15"/>
  <c r="B1605" i="15"/>
  <c r="A1605" i="15"/>
  <c r="B1604" i="15"/>
  <c r="A1604" i="15"/>
  <c r="B1603" i="15"/>
  <c r="A1603" i="15"/>
  <c r="B1602" i="15"/>
  <c r="A1602" i="15"/>
  <c r="B1601" i="15"/>
  <c r="A1601" i="15"/>
  <c r="B1600" i="15"/>
  <c r="A1600" i="15"/>
  <c r="B1599" i="15"/>
  <c r="A1599" i="15"/>
  <c r="B1598" i="15"/>
  <c r="A1598" i="15"/>
  <c r="B1597" i="15"/>
  <c r="A1597" i="15"/>
  <c r="B1596" i="15"/>
  <c r="A1596" i="15"/>
  <c r="B1595" i="15"/>
  <c r="A1595" i="15"/>
  <c r="B1594" i="15"/>
  <c r="A1594" i="15"/>
  <c r="B1593" i="15"/>
  <c r="A1593" i="15"/>
  <c r="B1592" i="15"/>
  <c r="A1592" i="15"/>
  <c r="B1591" i="15"/>
  <c r="A1591" i="15"/>
  <c r="B1590" i="15"/>
  <c r="A1590" i="15"/>
  <c r="B1589" i="15"/>
  <c r="A1589" i="15"/>
  <c r="B1588" i="15"/>
  <c r="A1588" i="15"/>
  <c r="B1587" i="15"/>
  <c r="A1587" i="15"/>
  <c r="B1586" i="15"/>
  <c r="A1586" i="15"/>
  <c r="B1585" i="15"/>
  <c r="A1585" i="15"/>
  <c r="B1584" i="15"/>
  <c r="A1584" i="15"/>
  <c r="B1583" i="15"/>
  <c r="A1583" i="15"/>
  <c r="B1582" i="15"/>
  <c r="A1582" i="15"/>
  <c r="B1581" i="15"/>
  <c r="A1581" i="15"/>
  <c r="B1580" i="15"/>
  <c r="A1580" i="15"/>
  <c r="B1579" i="15"/>
  <c r="A1579" i="15"/>
  <c r="B1578" i="15"/>
  <c r="A1578" i="15"/>
  <c r="B1577" i="15"/>
  <c r="A1577" i="15"/>
  <c r="B1576" i="15"/>
  <c r="A1576" i="15"/>
  <c r="B1575" i="15"/>
  <c r="A1575" i="15"/>
  <c r="B1574" i="15"/>
  <c r="A1574" i="15"/>
  <c r="B1573" i="15"/>
  <c r="A1573" i="15"/>
  <c r="B1572" i="15"/>
  <c r="A1572" i="15"/>
  <c r="B1571" i="15"/>
  <c r="A1571" i="15"/>
  <c r="B1570" i="15"/>
  <c r="A1570" i="15"/>
  <c r="B1569" i="15"/>
  <c r="A1569" i="15"/>
  <c r="B1568" i="15"/>
  <c r="A1568" i="15"/>
  <c r="B1567" i="15"/>
  <c r="A1567" i="15"/>
  <c r="B1566" i="15"/>
  <c r="A1566" i="15"/>
  <c r="B1565" i="15"/>
  <c r="A1565" i="15"/>
  <c r="B1564" i="15"/>
  <c r="A1564" i="15"/>
  <c r="B1563" i="15"/>
  <c r="A1563" i="15"/>
  <c r="B1562" i="15"/>
  <c r="A1562" i="15"/>
  <c r="B1561" i="15"/>
  <c r="A1561" i="15"/>
  <c r="B1560" i="15"/>
  <c r="A1560" i="15"/>
  <c r="B1559" i="15"/>
  <c r="A1559" i="15"/>
  <c r="B1558" i="15"/>
  <c r="A1558" i="15"/>
  <c r="B1557" i="15"/>
  <c r="A1557" i="15"/>
  <c r="B1556" i="15"/>
  <c r="A1556" i="15"/>
  <c r="B1555" i="15"/>
  <c r="A1555" i="15"/>
  <c r="B1554" i="15"/>
  <c r="A1554" i="15"/>
  <c r="B1553" i="15"/>
  <c r="A1553" i="15"/>
  <c r="B1552" i="15"/>
  <c r="A1552" i="15"/>
  <c r="B1551" i="15"/>
  <c r="A1551" i="15"/>
  <c r="B1550" i="15"/>
  <c r="A1550" i="15"/>
  <c r="B1549" i="15"/>
  <c r="A1549" i="15"/>
  <c r="B1548" i="15"/>
  <c r="A1548" i="15"/>
  <c r="B1547" i="15"/>
  <c r="A1547" i="15"/>
  <c r="B1546" i="15"/>
  <c r="A1546" i="15"/>
  <c r="B1545" i="15"/>
  <c r="A1545" i="15"/>
  <c r="B1544" i="15"/>
  <c r="A1544" i="15"/>
  <c r="B1543" i="15"/>
  <c r="A1543" i="15"/>
  <c r="B1542" i="15"/>
  <c r="A1542" i="15"/>
  <c r="B1541" i="15"/>
  <c r="A1541" i="15"/>
  <c r="B1540" i="15"/>
  <c r="A1540" i="15"/>
  <c r="B1539" i="15"/>
  <c r="A1539" i="15"/>
  <c r="B1538" i="15"/>
  <c r="A1538" i="15"/>
  <c r="B1537" i="15"/>
  <c r="A1537" i="15"/>
  <c r="B1536" i="15"/>
  <c r="A1536" i="15"/>
  <c r="B1535" i="15"/>
  <c r="A1535" i="15"/>
  <c r="B1534" i="15"/>
  <c r="A1534" i="15"/>
  <c r="B1533" i="15"/>
  <c r="A1533" i="15"/>
  <c r="B1532" i="15"/>
  <c r="A1532" i="15"/>
  <c r="B1531" i="15"/>
  <c r="A1531" i="15"/>
  <c r="B1530" i="15"/>
  <c r="A1530" i="15"/>
  <c r="B1529" i="15"/>
  <c r="A1529" i="15"/>
  <c r="B1528" i="15"/>
  <c r="A1528" i="15"/>
  <c r="B1527" i="15"/>
  <c r="A1527" i="15"/>
  <c r="B1526" i="15"/>
  <c r="A1526" i="15"/>
  <c r="B1525" i="15"/>
  <c r="A1525" i="15"/>
  <c r="B1524" i="15"/>
  <c r="A1524" i="15"/>
  <c r="B1523" i="15"/>
  <c r="A1523" i="15"/>
  <c r="B1522" i="15"/>
  <c r="A1522" i="15"/>
  <c r="B1521" i="15"/>
  <c r="A1521" i="15"/>
  <c r="B1520" i="15"/>
  <c r="A1520" i="15"/>
  <c r="B1519" i="15"/>
  <c r="A1519" i="15"/>
  <c r="B1518" i="15"/>
  <c r="A1518" i="15"/>
  <c r="B1517" i="15"/>
  <c r="A1517" i="15"/>
  <c r="B1516" i="15"/>
  <c r="A1516" i="15"/>
  <c r="B1515" i="15"/>
  <c r="A1515" i="15"/>
  <c r="B1514" i="15"/>
  <c r="A1514" i="15"/>
  <c r="B1513" i="15"/>
  <c r="A1513" i="15"/>
  <c r="B1512" i="15"/>
  <c r="A1512" i="15"/>
  <c r="B1511" i="15"/>
  <c r="A1511" i="15"/>
  <c r="B1510" i="15"/>
  <c r="A1510" i="15"/>
  <c r="B1509" i="15"/>
  <c r="A1509" i="15"/>
  <c r="B1508" i="15"/>
  <c r="A1508" i="15"/>
  <c r="B1507" i="15"/>
  <c r="A1507" i="15"/>
  <c r="B1506" i="15"/>
  <c r="A1506" i="15"/>
  <c r="B1505" i="15"/>
  <c r="A1505" i="15"/>
  <c r="B1504" i="15"/>
  <c r="A1504" i="15"/>
  <c r="B1503" i="15"/>
  <c r="A1503" i="15"/>
  <c r="B1502" i="15"/>
  <c r="A1502" i="15"/>
  <c r="B1501" i="15"/>
  <c r="A1501" i="15"/>
  <c r="B1500" i="15"/>
  <c r="A1500" i="15"/>
  <c r="B1499" i="15"/>
  <c r="A1499" i="15"/>
  <c r="B1498" i="15"/>
  <c r="A1498" i="15"/>
  <c r="B1497" i="15"/>
  <c r="A1497" i="15"/>
  <c r="B1496" i="15"/>
  <c r="A1496" i="15"/>
  <c r="B1495" i="15"/>
  <c r="A1495" i="15"/>
  <c r="B1494" i="15"/>
  <c r="A1494" i="15"/>
  <c r="B1493" i="15"/>
  <c r="A1493" i="15"/>
  <c r="B1492" i="15"/>
  <c r="A1492" i="15"/>
  <c r="B1491" i="15"/>
  <c r="A1491" i="15"/>
  <c r="B1490" i="15"/>
  <c r="A1490" i="15"/>
  <c r="B1489" i="15"/>
  <c r="A1489" i="15"/>
  <c r="B1488" i="15"/>
  <c r="A1488" i="15"/>
  <c r="B1487" i="15"/>
  <c r="A1487" i="15"/>
  <c r="B1486" i="15"/>
  <c r="A1486" i="15"/>
  <c r="B1485" i="15"/>
  <c r="A1485" i="15"/>
  <c r="B1484" i="15"/>
  <c r="A1484" i="15"/>
  <c r="B1483" i="15"/>
  <c r="A1483" i="15"/>
  <c r="B1482" i="15"/>
  <c r="A1482" i="15"/>
  <c r="B1481" i="15"/>
  <c r="A1481" i="15"/>
  <c r="B1480" i="15"/>
  <c r="A1480" i="15"/>
  <c r="B1479" i="15"/>
  <c r="A1479" i="15"/>
  <c r="B1478" i="15"/>
  <c r="A1478" i="15"/>
  <c r="B1477" i="15"/>
  <c r="A1477" i="15"/>
  <c r="B1476" i="15"/>
  <c r="A1476" i="15"/>
  <c r="B1475" i="15"/>
  <c r="A1475" i="15"/>
  <c r="B1474" i="15"/>
  <c r="A1474" i="15"/>
  <c r="B1473" i="15"/>
  <c r="A1473" i="15"/>
  <c r="B1472" i="15"/>
  <c r="A1472" i="15"/>
  <c r="B1471" i="15"/>
  <c r="A1471" i="15"/>
  <c r="B1470" i="15"/>
  <c r="A1470" i="15"/>
  <c r="B1469" i="15"/>
  <c r="A1469" i="15"/>
  <c r="B1468" i="15"/>
  <c r="A1468" i="15"/>
  <c r="B1467" i="15"/>
  <c r="A1467" i="15"/>
  <c r="B1466" i="15"/>
  <c r="A1466" i="15"/>
  <c r="B1465" i="15"/>
  <c r="A1465" i="15"/>
  <c r="B1464" i="15"/>
  <c r="A1464" i="15"/>
  <c r="B1463" i="15"/>
  <c r="A1463" i="15"/>
  <c r="B1462" i="15"/>
  <c r="A1462" i="15"/>
  <c r="B1461" i="15"/>
  <c r="A1461" i="15"/>
  <c r="B1460" i="15"/>
  <c r="A1460" i="15"/>
  <c r="B1459" i="15"/>
  <c r="A1459" i="15"/>
  <c r="B1458" i="15"/>
  <c r="A1458" i="15"/>
  <c r="B1457" i="15"/>
  <c r="A1457" i="15"/>
  <c r="B1456" i="15"/>
  <c r="A1456" i="15"/>
  <c r="B1455" i="15"/>
  <c r="A1455" i="15"/>
  <c r="B1454" i="15"/>
  <c r="A1454" i="15"/>
  <c r="B1453" i="15"/>
  <c r="A1453" i="15"/>
  <c r="B1452" i="15"/>
  <c r="A1452" i="15"/>
  <c r="B1451" i="15"/>
  <c r="A1451" i="15"/>
  <c r="B1450" i="15"/>
  <c r="A1450" i="15"/>
  <c r="B1449" i="15"/>
  <c r="A1449" i="15"/>
  <c r="B1448" i="15"/>
  <c r="A1448" i="15"/>
  <c r="B1447" i="15"/>
  <c r="A1447" i="15"/>
  <c r="B1446" i="15"/>
  <c r="A1446" i="15"/>
  <c r="B1445" i="15"/>
  <c r="A1445" i="15"/>
  <c r="B1444" i="15"/>
  <c r="A1444" i="15"/>
  <c r="B1443" i="15"/>
  <c r="A1443" i="15"/>
  <c r="B1442" i="15"/>
  <c r="A1442" i="15"/>
  <c r="B1441" i="15"/>
  <c r="A1441" i="15"/>
  <c r="B1440" i="15"/>
  <c r="A1440" i="15"/>
  <c r="B1439" i="15"/>
  <c r="A1439" i="15"/>
  <c r="B1438" i="15"/>
  <c r="A1438" i="15"/>
  <c r="B1437" i="15"/>
  <c r="A1437" i="15"/>
  <c r="B1436" i="15"/>
  <c r="A1436" i="15"/>
  <c r="B1435" i="15"/>
  <c r="A1435" i="15"/>
  <c r="B1434" i="15"/>
  <c r="A1434" i="15"/>
  <c r="B1433" i="15"/>
  <c r="A1433" i="15"/>
  <c r="B1432" i="15"/>
  <c r="A1432" i="15"/>
  <c r="B1431" i="15"/>
  <c r="A1431" i="15"/>
  <c r="B1430" i="15"/>
  <c r="A1430" i="15"/>
  <c r="B1429" i="15"/>
  <c r="A1429" i="15"/>
  <c r="B1428" i="15"/>
  <c r="A1428" i="15"/>
  <c r="B1427" i="15"/>
  <c r="A1427" i="15"/>
  <c r="B1426" i="15"/>
  <c r="A1426" i="15"/>
  <c r="B1425" i="15"/>
  <c r="A1425" i="15"/>
  <c r="B1424" i="15"/>
  <c r="A1424" i="15"/>
  <c r="B1423" i="15"/>
  <c r="A1423" i="15"/>
  <c r="B1422" i="15"/>
  <c r="A1422" i="15"/>
  <c r="B1421" i="15"/>
  <c r="A1421" i="15"/>
  <c r="B1420" i="15"/>
  <c r="A1420" i="15"/>
  <c r="B1419" i="15"/>
  <c r="A1419" i="15"/>
  <c r="B1418" i="15"/>
  <c r="A1418" i="15"/>
  <c r="B1417" i="15"/>
  <c r="A1417" i="15"/>
  <c r="B1416" i="15"/>
  <c r="A1416" i="15"/>
  <c r="B1415" i="15"/>
  <c r="A1415" i="15"/>
  <c r="B1414" i="15"/>
  <c r="A1414" i="15"/>
  <c r="B1413" i="15"/>
  <c r="A1413" i="15"/>
  <c r="B1412" i="15"/>
  <c r="A1412" i="15"/>
  <c r="B1411" i="15"/>
  <c r="A1411" i="15"/>
  <c r="B1410" i="15"/>
  <c r="A1410" i="15"/>
  <c r="B1409" i="15"/>
  <c r="A1409" i="15"/>
  <c r="B1408" i="15"/>
  <c r="A1408" i="15"/>
  <c r="B1407" i="15"/>
  <c r="A1407" i="15"/>
  <c r="B1406" i="15"/>
  <c r="A1406" i="15"/>
  <c r="B1405" i="15"/>
  <c r="A1405" i="15"/>
  <c r="B1404" i="15"/>
  <c r="A1404" i="15"/>
  <c r="B1403" i="15"/>
  <c r="A1403" i="15"/>
  <c r="B1402" i="15"/>
  <c r="A1402" i="15"/>
  <c r="B1401" i="15"/>
  <c r="A1401" i="15"/>
  <c r="B1400" i="15"/>
  <c r="A1400" i="15"/>
  <c r="B1399" i="15"/>
  <c r="A1399" i="15"/>
  <c r="B1398" i="15"/>
  <c r="A1398" i="15"/>
  <c r="B1397" i="15"/>
  <c r="A1397" i="15"/>
  <c r="B1396" i="15"/>
  <c r="A1396" i="15"/>
  <c r="B1395" i="15"/>
  <c r="A1395" i="15"/>
  <c r="B1394" i="15"/>
  <c r="A1394" i="15"/>
  <c r="B1393" i="15"/>
  <c r="A1393" i="15"/>
  <c r="B1392" i="15"/>
  <c r="A1392" i="15"/>
  <c r="B1391" i="15"/>
  <c r="A1391" i="15"/>
  <c r="B1390" i="15"/>
  <c r="A1390" i="15"/>
  <c r="B1389" i="15"/>
  <c r="A1389" i="15"/>
  <c r="B1388" i="15"/>
  <c r="A1388" i="15"/>
  <c r="B1387" i="15"/>
  <c r="A1387" i="15"/>
  <c r="B1386" i="15"/>
  <c r="A1386" i="15"/>
  <c r="B1385" i="15"/>
  <c r="A1385" i="15"/>
  <c r="B1384" i="15"/>
  <c r="A1384" i="15"/>
  <c r="B1383" i="15"/>
  <c r="A1383" i="15"/>
  <c r="B1382" i="15"/>
  <c r="A1382" i="15"/>
  <c r="B1381" i="15"/>
  <c r="A1381" i="15"/>
  <c r="B1380" i="15"/>
  <c r="A1380" i="15"/>
  <c r="B1379" i="15"/>
  <c r="A1379" i="15"/>
  <c r="B1378" i="15"/>
  <c r="A1378" i="15"/>
  <c r="B1377" i="15"/>
  <c r="A1377" i="15"/>
  <c r="B1376" i="15"/>
  <c r="A1376" i="15"/>
  <c r="B1375" i="15"/>
  <c r="A1375" i="15"/>
  <c r="B1374" i="15"/>
  <c r="A1374" i="15"/>
  <c r="B1373" i="15"/>
  <c r="A1373" i="15"/>
  <c r="B1372" i="15"/>
  <c r="A1372" i="15"/>
  <c r="B1371" i="15"/>
  <c r="A1371" i="15"/>
  <c r="B1370" i="15"/>
  <c r="A1370" i="15"/>
  <c r="B1369" i="15"/>
  <c r="A1369" i="15"/>
  <c r="B1368" i="15"/>
  <c r="A1368" i="15"/>
  <c r="B1367" i="15"/>
  <c r="A1367" i="15"/>
  <c r="B1366" i="15"/>
  <c r="A1366" i="15"/>
  <c r="B1365" i="15"/>
  <c r="A1365" i="15"/>
  <c r="B1364" i="15"/>
  <c r="A1364" i="15"/>
  <c r="B1363" i="15"/>
  <c r="A1363" i="15"/>
  <c r="B1362" i="15"/>
  <c r="A1362" i="15"/>
  <c r="B1361" i="15"/>
  <c r="A1361" i="15"/>
  <c r="B1360" i="15"/>
  <c r="A1360" i="15"/>
  <c r="B1359" i="15"/>
  <c r="A1359" i="15"/>
  <c r="B1358" i="15"/>
  <c r="A1358" i="15"/>
  <c r="B1357" i="15"/>
  <c r="A1357" i="15"/>
  <c r="B1356" i="15"/>
  <c r="A1356" i="15"/>
  <c r="B1355" i="15"/>
  <c r="A1355" i="15"/>
  <c r="B1354" i="15"/>
  <c r="A1354" i="15"/>
  <c r="B1353" i="15"/>
  <c r="A1353" i="15"/>
  <c r="B1352" i="15"/>
  <c r="A1352" i="15"/>
  <c r="B1351" i="15"/>
  <c r="A1351" i="15"/>
  <c r="B1350" i="15"/>
  <c r="A1350" i="15"/>
  <c r="B1349" i="15"/>
  <c r="A1349" i="15"/>
  <c r="B1348" i="15"/>
  <c r="A1348" i="15"/>
  <c r="B1347" i="15"/>
  <c r="A1347" i="15"/>
  <c r="B1346" i="15"/>
  <c r="A1346" i="15"/>
  <c r="B1345" i="15"/>
  <c r="A1345" i="15"/>
  <c r="B1344" i="15"/>
  <c r="A1344" i="15"/>
  <c r="B1343" i="15"/>
  <c r="A1343" i="15"/>
  <c r="B1342" i="15"/>
  <c r="A1342" i="15"/>
  <c r="B1341" i="15"/>
  <c r="A1341" i="15"/>
  <c r="B1340" i="15"/>
  <c r="A1340" i="15"/>
  <c r="B1339" i="15"/>
  <c r="A1339" i="15"/>
  <c r="B1338" i="15"/>
  <c r="A1338" i="15"/>
  <c r="B1337" i="15"/>
  <c r="A1337" i="15"/>
  <c r="B1336" i="15"/>
  <c r="A1336" i="15"/>
  <c r="B1335" i="15"/>
  <c r="A1335" i="15"/>
  <c r="B1334" i="15"/>
  <c r="A1334" i="15"/>
  <c r="B1333" i="15"/>
  <c r="A1333" i="15"/>
  <c r="B1332" i="15"/>
  <c r="A1332" i="15"/>
  <c r="B1331" i="15"/>
  <c r="A1331" i="15"/>
  <c r="B1330" i="15"/>
  <c r="A1330" i="15"/>
  <c r="B1329" i="15"/>
  <c r="A1329" i="15"/>
  <c r="B1328" i="15"/>
  <c r="A1328" i="15"/>
  <c r="B1327" i="15"/>
  <c r="A1327" i="15"/>
  <c r="B1326" i="15"/>
  <c r="A1326" i="15"/>
  <c r="B1325" i="15"/>
  <c r="A1325" i="15"/>
  <c r="B1324" i="15"/>
  <c r="A1324" i="15"/>
  <c r="B1323" i="15"/>
  <c r="A1323" i="15"/>
  <c r="B1322" i="15"/>
  <c r="A1322" i="15"/>
  <c r="B1321" i="15"/>
  <c r="A1321" i="15"/>
  <c r="B1320" i="15"/>
  <c r="A1320" i="15"/>
  <c r="B1319" i="15"/>
  <c r="A1319" i="15"/>
  <c r="B1318" i="15"/>
  <c r="A1318" i="15"/>
  <c r="B1317" i="15"/>
  <c r="A1317" i="15"/>
  <c r="B1316" i="15"/>
  <c r="A1316" i="15"/>
  <c r="B1315" i="15"/>
  <c r="A1315" i="15"/>
  <c r="B1314" i="15"/>
  <c r="A1314" i="15"/>
  <c r="B1313" i="15"/>
  <c r="A1313" i="15"/>
  <c r="B1312" i="15"/>
  <c r="A1312" i="15"/>
  <c r="B1311" i="15"/>
  <c r="A1311" i="15"/>
  <c r="B1310" i="15"/>
  <c r="A1310" i="15"/>
  <c r="B1309" i="15"/>
  <c r="A1309" i="15"/>
  <c r="B1308" i="15"/>
  <c r="A1308" i="15"/>
  <c r="B1307" i="15"/>
  <c r="A1307" i="15"/>
  <c r="B1306" i="15"/>
  <c r="A1306" i="15"/>
  <c r="B1305" i="15"/>
  <c r="A1305" i="15"/>
  <c r="B1304" i="15"/>
  <c r="A1304" i="15"/>
  <c r="B1303" i="15"/>
  <c r="A1303" i="15"/>
  <c r="B1302" i="15"/>
  <c r="A1302" i="15"/>
  <c r="B1301" i="15"/>
  <c r="A1301" i="15"/>
  <c r="B1300" i="15"/>
  <c r="A1300" i="15"/>
  <c r="B1299" i="15"/>
  <c r="A1299" i="15"/>
  <c r="B1298" i="15"/>
  <c r="A1298" i="15"/>
  <c r="B1297" i="15"/>
  <c r="A1297" i="15"/>
  <c r="B1296" i="15"/>
  <c r="A1296" i="15"/>
  <c r="B1295" i="15"/>
  <c r="A1295" i="15"/>
  <c r="B1294" i="15"/>
  <c r="A1294" i="15"/>
  <c r="B1293" i="15"/>
  <c r="A1293" i="15"/>
  <c r="B1292" i="15"/>
  <c r="A1292" i="15"/>
  <c r="B1291" i="15"/>
  <c r="A1291" i="15"/>
  <c r="B1290" i="15"/>
  <c r="A1290" i="15"/>
  <c r="B1289" i="15"/>
  <c r="A1289" i="15"/>
  <c r="B1288" i="15"/>
  <c r="A1288" i="15"/>
  <c r="B1287" i="15"/>
  <c r="A1287" i="15"/>
  <c r="B1286" i="15"/>
  <c r="A1286" i="15"/>
  <c r="B1285" i="15"/>
  <c r="A1285" i="15"/>
  <c r="B1284" i="15"/>
  <c r="A1284" i="15"/>
  <c r="B1283" i="15"/>
  <c r="A1283" i="15"/>
  <c r="B1282" i="15"/>
  <c r="A1282" i="15"/>
  <c r="B1281" i="15"/>
  <c r="A1281" i="15"/>
  <c r="B1280" i="15"/>
  <c r="A1280" i="15"/>
  <c r="B1279" i="15"/>
  <c r="A1279" i="15"/>
  <c r="B1278" i="15"/>
  <c r="A1278" i="15"/>
  <c r="B1277" i="15"/>
  <c r="A1277" i="15"/>
  <c r="B1276" i="15"/>
  <c r="A1276" i="15"/>
  <c r="B1275" i="15"/>
  <c r="A1275" i="15"/>
  <c r="B1274" i="15"/>
  <c r="A1274" i="15"/>
  <c r="B1273" i="15"/>
  <c r="A1273" i="15"/>
  <c r="B1272" i="15"/>
  <c r="A1272" i="15"/>
  <c r="B1271" i="15"/>
  <c r="A1271" i="15"/>
  <c r="B1270" i="15"/>
  <c r="A1270" i="15"/>
  <c r="B1269" i="15"/>
  <c r="A1269" i="15"/>
  <c r="B1268" i="15"/>
  <c r="A1268" i="15"/>
  <c r="B1267" i="15"/>
  <c r="A1267" i="15"/>
  <c r="B1266" i="15"/>
  <c r="A1266" i="15"/>
  <c r="B1265" i="15"/>
  <c r="A1265" i="15"/>
  <c r="B1264" i="15"/>
  <c r="A1264" i="15"/>
  <c r="B1263" i="15"/>
  <c r="A1263" i="15"/>
  <c r="B1262" i="15"/>
  <c r="A1262" i="15"/>
  <c r="B1261" i="15"/>
  <c r="A1261" i="15"/>
  <c r="B1260" i="15"/>
  <c r="A1260" i="15"/>
  <c r="B1259" i="15"/>
  <c r="A1259" i="15"/>
  <c r="B1258" i="15"/>
  <c r="A1258" i="15"/>
  <c r="B1257" i="15"/>
  <c r="A1257" i="15"/>
  <c r="B1256" i="15"/>
  <c r="A1256" i="15"/>
  <c r="B1255" i="15"/>
  <c r="A1255" i="15"/>
  <c r="B1254" i="15"/>
  <c r="A1254" i="15"/>
  <c r="B1253" i="15"/>
  <c r="A1253" i="15"/>
  <c r="B1252" i="15"/>
  <c r="A1252" i="15"/>
  <c r="B1251" i="15"/>
  <c r="A1251" i="15"/>
  <c r="B1250" i="15"/>
  <c r="A1250" i="15"/>
  <c r="B1249" i="15"/>
  <c r="A1249" i="15"/>
  <c r="B1248" i="15"/>
  <c r="A1248" i="15"/>
  <c r="B1247" i="15"/>
  <c r="A1247" i="15"/>
  <c r="B1246" i="15"/>
  <c r="A1246" i="15"/>
  <c r="B1245" i="15"/>
  <c r="A1245" i="15"/>
  <c r="B1244" i="15"/>
  <c r="A1244" i="15"/>
  <c r="B1243" i="15"/>
  <c r="A1243" i="15"/>
  <c r="B1242" i="15"/>
  <c r="A1242" i="15"/>
  <c r="B1241" i="15"/>
  <c r="A1241" i="15"/>
  <c r="B1240" i="15"/>
  <c r="A1240" i="15"/>
  <c r="B1239" i="15"/>
  <c r="A1239" i="15"/>
  <c r="B1238" i="15"/>
  <c r="A1238" i="15"/>
  <c r="B1237" i="15"/>
  <c r="A1237" i="15"/>
  <c r="B1236" i="15"/>
  <c r="A1236" i="15"/>
  <c r="B1235" i="15"/>
  <c r="A1235" i="15"/>
  <c r="B1234" i="15"/>
  <c r="A1234" i="15"/>
  <c r="B1233" i="15"/>
  <c r="A1233" i="15"/>
  <c r="B1232" i="15"/>
  <c r="A1232" i="15"/>
  <c r="B1231" i="15"/>
  <c r="A1231" i="15"/>
  <c r="B1230" i="15"/>
  <c r="A1230" i="15"/>
  <c r="B1229" i="15"/>
  <c r="A1229" i="15"/>
  <c r="B1228" i="15"/>
  <c r="A1228" i="15"/>
  <c r="B1227" i="15"/>
  <c r="A1227" i="15"/>
  <c r="B1226" i="15"/>
  <c r="A1226" i="15"/>
  <c r="B1225" i="15"/>
  <c r="A1225" i="15"/>
  <c r="B1224" i="15"/>
  <c r="A1224" i="15"/>
  <c r="B1223" i="15"/>
  <c r="A1223" i="15"/>
  <c r="B1222" i="15"/>
  <c r="A1222" i="15"/>
  <c r="B1221" i="15"/>
  <c r="A1221" i="15"/>
  <c r="B1220" i="15"/>
  <c r="A1220" i="15"/>
  <c r="B1219" i="15"/>
  <c r="A1219" i="15"/>
  <c r="B1218" i="15"/>
  <c r="A1218" i="15"/>
  <c r="B1217" i="15"/>
  <c r="A1217" i="15"/>
  <c r="B1216" i="15"/>
  <c r="A1216" i="15"/>
  <c r="B1215" i="15"/>
  <c r="A1215" i="15"/>
  <c r="B1214" i="15"/>
  <c r="A1214" i="15"/>
  <c r="B1213" i="15"/>
  <c r="A1213" i="15"/>
  <c r="B1212" i="15"/>
  <c r="A1212" i="15"/>
  <c r="B1211" i="15"/>
  <c r="A1211" i="15"/>
  <c r="B1210" i="15"/>
  <c r="A1210" i="15"/>
  <c r="B1209" i="15"/>
  <c r="A1209" i="15"/>
  <c r="B1208" i="15"/>
  <c r="A1208" i="15"/>
  <c r="B1207" i="15"/>
  <c r="A1207" i="15"/>
  <c r="B1206" i="15"/>
  <c r="A1206" i="15"/>
  <c r="B1205" i="15"/>
  <c r="A1205" i="15"/>
  <c r="B1204" i="15"/>
  <c r="A1204" i="15"/>
  <c r="B1203" i="15"/>
  <c r="A1203" i="15"/>
  <c r="B1202" i="15"/>
  <c r="A1202" i="15"/>
  <c r="B1201" i="15"/>
  <c r="A1201" i="15"/>
  <c r="B1200" i="15"/>
  <c r="A1200" i="15"/>
  <c r="B1199" i="15"/>
  <c r="A1199" i="15"/>
  <c r="B1198" i="15"/>
  <c r="A1198" i="15"/>
  <c r="B1197" i="15"/>
  <c r="A1197" i="15"/>
  <c r="B1196" i="15"/>
  <c r="A1196" i="15"/>
  <c r="B1195" i="15"/>
  <c r="A1195" i="15"/>
  <c r="B1194" i="15"/>
  <c r="A1194" i="15"/>
  <c r="B1193" i="15"/>
  <c r="A1193" i="15"/>
  <c r="B1192" i="15"/>
  <c r="A1192" i="15"/>
  <c r="B1191" i="15"/>
  <c r="A1191" i="15"/>
  <c r="B1190" i="15"/>
  <c r="A1190" i="15"/>
  <c r="B1189" i="15"/>
  <c r="A1189" i="15"/>
  <c r="B1188" i="15"/>
  <c r="A1188" i="15"/>
  <c r="B1187" i="15"/>
  <c r="A1187" i="15"/>
  <c r="B1186" i="15"/>
  <c r="A1186" i="15"/>
  <c r="B1185" i="15"/>
  <c r="A1185" i="15"/>
  <c r="B1184" i="15"/>
  <c r="A1184" i="15"/>
  <c r="B1183" i="15"/>
  <c r="A1183" i="15"/>
  <c r="B1182" i="15"/>
  <c r="A1182" i="15"/>
  <c r="B1181" i="15"/>
  <c r="A1181" i="15"/>
  <c r="B1180" i="15"/>
  <c r="A1180" i="15"/>
  <c r="B1179" i="15"/>
  <c r="A1179" i="15"/>
  <c r="B1178" i="15"/>
  <c r="A1178" i="15"/>
  <c r="B1177" i="15"/>
  <c r="A1177" i="15"/>
  <c r="B1176" i="15"/>
  <c r="A1176" i="15"/>
  <c r="B1175" i="15"/>
  <c r="A1175" i="15"/>
  <c r="B1174" i="15"/>
  <c r="A1174" i="15"/>
  <c r="B1173" i="15"/>
  <c r="A1173" i="15"/>
  <c r="B1172" i="15"/>
  <c r="A1172" i="15"/>
  <c r="B1171" i="15"/>
  <c r="A1171" i="15"/>
  <c r="B1170" i="15"/>
  <c r="A1170" i="15"/>
  <c r="B1169" i="15"/>
  <c r="A1169" i="15"/>
  <c r="B1168" i="15"/>
  <c r="A1168" i="15"/>
  <c r="B1167" i="15"/>
  <c r="A1167" i="15"/>
  <c r="B1166" i="15"/>
  <c r="A1166" i="15"/>
  <c r="B1165" i="15"/>
  <c r="A1165" i="15"/>
  <c r="B1164" i="15"/>
  <c r="A1164" i="15"/>
  <c r="B1163" i="15"/>
  <c r="A1163" i="15"/>
  <c r="B1162" i="15"/>
  <c r="A1162" i="15"/>
  <c r="B1161" i="15"/>
  <c r="A1161" i="15"/>
  <c r="B1160" i="15"/>
  <c r="A1160" i="15"/>
  <c r="B1159" i="15"/>
  <c r="A1159" i="15"/>
  <c r="B1158" i="15"/>
  <c r="A1158" i="15"/>
  <c r="B1157" i="15"/>
  <c r="A1157" i="15"/>
  <c r="B1156" i="15"/>
  <c r="A1156" i="15"/>
  <c r="B1155" i="15"/>
  <c r="A1155" i="15"/>
  <c r="B1154" i="15"/>
  <c r="A1154" i="15"/>
  <c r="B1153" i="15"/>
  <c r="A1153" i="15"/>
  <c r="B1152" i="15"/>
  <c r="A1152" i="15"/>
  <c r="B1151" i="15"/>
  <c r="A1151" i="15"/>
  <c r="B1150" i="15"/>
  <c r="A1150" i="15"/>
  <c r="B1149" i="15"/>
  <c r="A1149" i="15"/>
  <c r="B1148" i="15"/>
  <c r="A1148" i="15"/>
  <c r="B1147" i="15"/>
  <c r="A1147" i="15"/>
  <c r="B1146" i="15"/>
  <c r="A1146" i="15"/>
  <c r="B1145" i="15"/>
  <c r="A1145" i="15"/>
  <c r="B1144" i="15"/>
  <c r="A1144" i="15"/>
  <c r="B1143" i="15"/>
  <c r="A1143" i="15"/>
  <c r="B1142" i="15"/>
  <c r="A1142" i="15"/>
  <c r="B1141" i="15"/>
  <c r="A1141" i="15"/>
  <c r="B1140" i="15"/>
  <c r="A1140" i="15"/>
  <c r="B1139" i="15"/>
  <c r="A1139" i="15"/>
  <c r="B1138" i="15"/>
  <c r="A1138" i="15"/>
  <c r="B1137" i="15"/>
  <c r="A1137" i="15"/>
  <c r="B1136" i="15"/>
  <c r="A1136" i="15"/>
  <c r="B1135" i="15"/>
  <c r="A1135" i="15"/>
  <c r="B1134" i="15"/>
  <c r="A1134" i="15"/>
  <c r="B1133" i="15"/>
  <c r="A1133" i="15"/>
  <c r="B1132" i="15"/>
  <c r="A1132" i="15"/>
  <c r="B1131" i="15"/>
  <c r="A1131" i="15"/>
  <c r="B1130" i="15"/>
  <c r="A1130" i="15"/>
  <c r="B1129" i="15"/>
  <c r="A1129" i="15"/>
  <c r="B1128" i="15"/>
  <c r="A1128" i="15"/>
  <c r="B1127" i="15"/>
  <c r="A1127" i="15"/>
  <c r="B1126" i="15"/>
  <c r="A1126" i="15"/>
  <c r="B1125" i="15"/>
  <c r="A1125" i="15"/>
  <c r="B1124" i="15"/>
  <c r="A1124" i="15"/>
  <c r="B1123" i="15"/>
  <c r="A1123" i="15"/>
  <c r="B1122" i="15"/>
  <c r="A1122" i="15"/>
  <c r="B1121" i="15"/>
  <c r="A1121" i="15"/>
  <c r="B1120" i="15"/>
  <c r="A1120" i="15"/>
  <c r="B1119" i="15"/>
  <c r="A1119" i="15"/>
  <c r="B1118" i="15"/>
  <c r="A1118" i="15"/>
  <c r="B1117" i="15"/>
  <c r="A1117" i="15"/>
  <c r="B1116" i="15"/>
  <c r="A1116" i="15"/>
  <c r="B1115" i="15"/>
  <c r="A1115" i="15"/>
  <c r="B1114" i="15"/>
  <c r="A1114" i="15"/>
  <c r="B1113" i="15"/>
  <c r="A1113" i="15"/>
  <c r="B1112" i="15"/>
  <c r="A1112" i="15"/>
  <c r="B1111" i="15"/>
  <c r="A1111" i="15"/>
  <c r="B1110" i="15"/>
  <c r="A1110" i="15"/>
  <c r="B1109" i="15"/>
  <c r="A1109" i="15"/>
  <c r="B1108" i="15"/>
  <c r="A1108" i="15"/>
  <c r="B1107" i="15"/>
  <c r="A1107" i="15"/>
  <c r="B1106" i="15"/>
  <c r="A1106" i="15"/>
  <c r="B1105" i="15"/>
  <c r="A1105" i="15"/>
  <c r="B1104" i="15"/>
  <c r="A1104" i="15"/>
  <c r="B1103" i="15"/>
  <c r="A1103" i="15"/>
  <c r="B1102" i="15"/>
  <c r="A1102" i="15"/>
  <c r="B1101" i="15"/>
  <c r="A1101" i="15"/>
  <c r="B1100" i="15"/>
  <c r="A1100" i="15"/>
  <c r="B1099" i="15"/>
  <c r="A1099" i="15"/>
  <c r="B1098" i="15"/>
  <c r="A1098" i="15"/>
  <c r="B1097" i="15"/>
  <c r="A1097" i="15"/>
  <c r="B1096" i="15"/>
  <c r="A1096" i="15"/>
  <c r="B1095" i="15"/>
  <c r="A1095" i="15"/>
  <c r="B1094" i="15"/>
  <c r="A1094" i="15"/>
  <c r="B1093" i="15"/>
  <c r="A1093" i="15"/>
  <c r="B1092" i="15"/>
  <c r="A1092" i="15"/>
  <c r="B1091" i="15"/>
  <c r="A1091" i="15"/>
  <c r="B1090" i="15"/>
  <c r="A1090" i="15"/>
  <c r="B1089" i="15"/>
  <c r="A1089" i="15"/>
  <c r="B1088" i="15"/>
  <c r="A1088" i="15"/>
  <c r="B1087" i="15"/>
  <c r="A1087" i="15"/>
  <c r="B1086" i="15"/>
  <c r="A1086" i="15"/>
  <c r="B1085" i="15"/>
  <c r="A1085" i="15"/>
  <c r="B1084" i="15"/>
  <c r="A1084" i="15"/>
  <c r="B1083" i="15"/>
  <c r="A1083" i="15"/>
  <c r="B1082" i="15"/>
  <c r="A1082" i="15"/>
  <c r="B1081" i="15"/>
  <c r="A1081" i="15"/>
  <c r="B1080" i="15"/>
  <c r="A1080" i="15"/>
  <c r="B1079" i="15"/>
  <c r="A1079" i="15"/>
  <c r="B1078" i="15"/>
  <c r="A1078" i="15"/>
  <c r="B1077" i="15"/>
  <c r="A1077" i="15"/>
  <c r="B1076" i="15"/>
  <c r="A1076" i="15"/>
  <c r="B1075" i="15"/>
  <c r="A1075" i="15"/>
  <c r="B1074" i="15"/>
  <c r="A1074" i="15"/>
  <c r="B1073" i="15"/>
  <c r="A1073" i="15"/>
  <c r="B1072" i="15"/>
  <c r="A1072" i="15"/>
  <c r="B1071" i="15"/>
  <c r="A1071" i="15"/>
  <c r="B1070" i="15"/>
  <c r="A1070" i="15"/>
  <c r="B1069" i="15"/>
  <c r="A1069" i="15"/>
  <c r="B1068" i="15"/>
  <c r="A1068" i="15"/>
  <c r="B1067" i="15"/>
  <c r="A1067" i="15"/>
  <c r="B1066" i="15"/>
  <c r="A1066" i="15"/>
  <c r="B1065" i="15"/>
  <c r="A1065" i="15"/>
  <c r="B1064" i="15"/>
  <c r="A1064" i="15"/>
  <c r="B1063" i="15"/>
  <c r="A1063" i="15"/>
  <c r="B1062" i="15"/>
  <c r="A1062" i="15"/>
  <c r="B1061" i="15"/>
  <c r="A1061" i="15"/>
  <c r="B1060" i="15"/>
  <c r="A1060" i="15"/>
  <c r="B1059" i="15"/>
  <c r="A1059" i="15"/>
  <c r="B1058" i="15"/>
  <c r="A1058" i="15"/>
  <c r="B1057" i="15"/>
  <c r="A1057" i="15"/>
  <c r="B1056" i="15"/>
  <c r="A1056" i="15"/>
  <c r="B1055" i="15"/>
  <c r="A1055" i="15"/>
  <c r="B1054" i="15"/>
  <c r="A1054" i="15"/>
  <c r="B1053" i="15"/>
  <c r="A1053" i="15"/>
  <c r="B1052" i="15"/>
  <c r="A1052" i="15"/>
  <c r="B1051" i="15"/>
  <c r="A1051" i="15"/>
  <c r="B1050" i="15"/>
  <c r="A1050" i="15"/>
  <c r="B1049" i="15"/>
  <c r="A1049" i="15"/>
  <c r="B1048" i="15"/>
  <c r="A1048" i="15"/>
  <c r="B1047" i="15"/>
  <c r="A1047" i="15"/>
  <c r="B1046" i="15"/>
  <c r="A1046" i="15"/>
  <c r="B1045" i="15"/>
  <c r="A1045" i="15"/>
  <c r="B1044" i="15"/>
  <c r="A1044" i="15"/>
  <c r="B1043" i="15"/>
  <c r="A1043" i="15"/>
  <c r="B1042" i="15"/>
  <c r="A1042" i="15"/>
  <c r="B1041" i="15"/>
  <c r="A1041" i="15"/>
  <c r="B1040" i="15"/>
  <c r="A1040" i="15"/>
  <c r="B1039" i="15"/>
  <c r="A1039" i="15"/>
  <c r="B1038" i="15"/>
  <c r="A1038" i="15"/>
  <c r="B1037" i="15"/>
  <c r="A1037" i="15"/>
  <c r="B1036" i="15"/>
  <c r="A1036" i="15"/>
  <c r="B1035" i="15"/>
  <c r="A1035" i="15"/>
  <c r="B1034" i="15"/>
  <c r="A1034" i="15"/>
  <c r="B1033" i="15"/>
  <c r="A1033" i="15"/>
  <c r="B1032" i="15"/>
  <c r="A1032" i="15"/>
  <c r="B1031" i="15"/>
  <c r="A1031" i="15"/>
  <c r="B1030" i="15"/>
  <c r="A1030" i="15"/>
  <c r="B1029" i="15"/>
  <c r="A1029" i="15"/>
  <c r="B1028" i="15"/>
  <c r="A1028" i="15"/>
  <c r="B1027" i="15"/>
  <c r="A1027" i="15"/>
  <c r="B1026" i="15"/>
  <c r="A1026" i="15"/>
  <c r="B1025" i="15"/>
  <c r="A1025" i="15"/>
  <c r="B1024" i="15"/>
  <c r="A1024" i="15"/>
  <c r="B1023" i="15"/>
  <c r="A1023" i="15"/>
  <c r="B1022" i="15"/>
  <c r="A1022" i="15"/>
  <c r="B1021" i="15"/>
  <c r="A1021" i="15"/>
  <c r="B1020" i="15"/>
  <c r="A1020" i="15"/>
  <c r="B1019" i="15"/>
  <c r="A1019" i="15"/>
  <c r="B1018" i="15"/>
  <c r="A1018" i="15"/>
  <c r="B1017" i="15"/>
  <c r="A1017" i="15"/>
  <c r="B1016" i="15"/>
  <c r="A1016" i="15"/>
  <c r="B1015" i="15"/>
  <c r="A1015" i="15"/>
  <c r="B1014" i="15"/>
  <c r="A1014" i="15"/>
  <c r="B1013" i="15"/>
  <c r="A1013" i="15"/>
  <c r="B1012" i="15"/>
  <c r="A1012" i="15"/>
  <c r="B1011" i="15"/>
  <c r="A1011" i="15"/>
  <c r="B1010" i="15"/>
  <c r="A1010" i="15"/>
  <c r="B1009" i="15"/>
  <c r="A1009" i="15"/>
  <c r="B1008" i="15"/>
  <c r="A1008" i="15"/>
  <c r="B1007" i="15"/>
  <c r="A1007" i="15"/>
  <c r="B1006" i="15"/>
  <c r="A1006" i="15"/>
  <c r="B1005" i="15"/>
  <c r="A1005" i="15"/>
  <c r="B1004" i="15"/>
  <c r="A1004" i="15"/>
  <c r="B1003" i="15"/>
  <c r="A1003" i="15"/>
  <c r="B1002" i="15"/>
  <c r="A1002" i="15"/>
  <c r="B1001" i="15"/>
  <c r="A1001" i="15"/>
  <c r="B1000" i="15"/>
  <c r="A1000" i="15"/>
  <c r="B999" i="15"/>
  <c r="A999" i="15"/>
  <c r="B998" i="15"/>
  <c r="A998" i="15"/>
  <c r="B997" i="15"/>
  <c r="A997" i="15"/>
  <c r="B996" i="15"/>
  <c r="A996" i="15"/>
  <c r="B995" i="15"/>
  <c r="A995" i="15"/>
  <c r="B994" i="15"/>
  <c r="A994" i="15"/>
  <c r="B993" i="15"/>
  <c r="A993" i="15"/>
  <c r="B992" i="15"/>
  <c r="A992" i="15"/>
  <c r="B991" i="15"/>
  <c r="A991" i="15"/>
  <c r="B990" i="15"/>
  <c r="A990" i="15"/>
  <c r="B989" i="15"/>
  <c r="A989" i="15"/>
  <c r="B988" i="15"/>
  <c r="A988" i="15"/>
  <c r="B987" i="15"/>
  <c r="A987" i="15"/>
  <c r="B986" i="15"/>
  <c r="A986" i="15"/>
  <c r="B985" i="15"/>
  <c r="A985" i="15"/>
  <c r="B984" i="15"/>
  <c r="A984" i="15"/>
  <c r="B983" i="15"/>
  <c r="A983" i="15"/>
  <c r="B982" i="15"/>
  <c r="A982" i="15"/>
  <c r="B981" i="15"/>
  <c r="A981" i="15"/>
  <c r="B980" i="15"/>
  <c r="A980" i="15"/>
  <c r="B979" i="15"/>
  <c r="A979" i="15"/>
  <c r="B978" i="15"/>
  <c r="A978" i="15"/>
  <c r="B977" i="15"/>
  <c r="A977" i="15"/>
  <c r="B976" i="15"/>
  <c r="A976" i="15"/>
  <c r="B975" i="15"/>
  <c r="A975" i="15"/>
  <c r="B974" i="15"/>
  <c r="A974" i="15"/>
  <c r="B973" i="15"/>
  <c r="A973" i="15"/>
  <c r="B972" i="15"/>
  <c r="A972" i="15"/>
  <c r="B971" i="15"/>
  <c r="A971" i="15"/>
  <c r="B970" i="15"/>
  <c r="A970" i="15"/>
  <c r="B969" i="15"/>
  <c r="A969" i="15"/>
  <c r="B968" i="15"/>
  <c r="A968" i="15"/>
  <c r="B967" i="15"/>
  <c r="A967" i="15"/>
  <c r="B966" i="15"/>
  <c r="A966" i="15"/>
  <c r="B965" i="15"/>
  <c r="A965" i="15"/>
  <c r="B964" i="15"/>
  <c r="A964" i="15"/>
  <c r="B963" i="15"/>
  <c r="A963" i="15"/>
  <c r="B962" i="15"/>
  <c r="A962" i="15"/>
  <c r="B961" i="15"/>
  <c r="A961" i="15"/>
  <c r="B960" i="15"/>
  <c r="A960" i="15"/>
  <c r="B959" i="15"/>
  <c r="A959" i="15"/>
  <c r="B958" i="15"/>
  <c r="A958" i="15"/>
  <c r="B957" i="15"/>
  <c r="A957" i="15"/>
  <c r="B956" i="15"/>
  <c r="A956" i="15"/>
  <c r="B955" i="15"/>
  <c r="A955" i="15"/>
  <c r="B954" i="15"/>
  <c r="A954" i="15"/>
  <c r="B953" i="15"/>
  <c r="A953" i="15"/>
  <c r="B952" i="15"/>
  <c r="A952" i="15"/>
  <c r="B951" i="15"/>
  <c r="A951" i="15"/>
  <c r="B950" i="15"/>
  <c r="A950" i="15"/>
  <c r="B949" i="15"/>
  <c r="A949" i="15"/>
  <c r="B948" i="15"/>
  <c r="A948" i="15"/>
  <c r="B947" i="15"/>
  <c r="A947" i="15"/>
  <c r="B946" i="15"/>
  <c r="A946" i="15"/>
  <c r="B945" i="15"/>
  <c r="A945" i="15"/>
  <c r="B944" i="15"/>
  <c r="A944" i="15"/>
  <c r="B943" i="15"/>
  <c r="A943" i="15"/>
  <c r="B942" i="15"/>
  <c r="A942" i="15"/>
  <c r="B941" i="15"/>
  <c r="A941" i="15"/>
  <c r="B940" i="15"/>
  <c r="A940" i="15"/>
  <c r="B939" i="15"/>
  <c r="A939" i="15"/>
  <c r="B938" i="15"/>
  <c r="A938" i="15"/>
  <c r="B937" i="15"/>
  <c r="A937" i="15"/>
  <c r="B936" i="15"/>
  <c r="A936" i="15"/>
  <c r="B935" i="15"/>
  <c r="A935" i="15"/>
  <c r="B934" i="15"/>
  <c r="A934" i="15"/>
  <c r="B933" i="15"/>
  <c r="A933" i="15"/>
  <c r="B932" i="15"/>
  <c r="A932" i="15"/>
  <c r="B931" i="15"/>
  <c r="A931" i="15"/>
  <c r="B930" i="15"/>
  <c r="A930" i="15"/>
  <c r="B929" i="15"/>
  <c r="A929" i="15"/>
  <c r="B928" i="15"/>
  <c r="A928" i="15"/>
  <c r="B927" i="15"/>
  <c r="A927" i="15"/>
  <c r="B926" i="15"/>
  <c r="A926" i="15"/>
  <c r="B925" i="15"/>
  <c r="A925" i="15"/>
  <c r="B924" i="15"/>
  <c r="A924" i="15"/>
  <c r="B923" i="15"/>
  <c r="A923" i="15"/>
  <c r="B922" i="15"/>
  <c r="A922" i="15"/>
  <c r="B921" i="15"/>
  <c r="A921" i="15"/>
  <c r="B920" i="15"/>
  <c r="A920" i="15"/>
  <c r="B919" i="15"/>
  <c r="A919" i="15"/>
  <c r="B918" i="15"/>
  <c r="A918" i="15"/>
  <c r="B917" i="15"/>
  <c r="A917" i="15"/>
  <c r="B916" i="15"/>
  <c r="A916" i="15"/>
  <c r="B915" i="15"/>
  <c r="A915" i="15"/>
  <c r="B914" i="15"/>
  <c r="A914" i="15"/>
  <c r="B913" i="15"/>
  <c r="A913" i="15"/>
  <c r="B912" i="15"/>
  <c r="A912" i="15"/>
  <c r="B911" i="15"/>
  <c r="A911" i="15"/>
  <c r="B910" i="15"/>
  <c r="A910" i="15"/>
  <c r="B909" i="15"/>
  <c r="A909" i="15"/>
  <c r="B908" i="15"/>
  <c r="A908" i="15"/>
  <c r="B907" i="15"/>
  <c r="A907" i="15"/>
  <c r="B906" i="15"/>
  <c r="A906" i="15"/>
  <c r="B905" i="15"/>
  <c r="A905" i="15"/>
  <c r="B904" i="15"/>
  <c r="A904" i="15"/>
  <c r="B903" i="15"/>
  <c r="A903" i="15"/>
  <c r="B902" i="15"/>
  <c r="A902" i="15"/>
  <c r="B901" i="15"/>
  <c r="A901" i="15"/>
  <c r="B900" i="15"/>
  <c r="A900" i="15"/>
  <c r="B899" i="15"/>
  <c r="A899" i="15"/>
  <c r="B898" i="15"/>
  <c r="A898" i="15"/>
  <c r="B897" i="15"/>
  <c r="A897" i="15"/>
  <c r="B896" i="15"/>
  <c r="A896" i="15"/>
  <c r="B895" i="15"/>
  <c r="A895" i="15"/>
  <c r="B894" i="15"/>
  <c r="A894" i="15"/>
  <c r="B893" i="15"/>
  <c r="A893" i="15"/>
  <c r="B892" i="15"/>
  <c r="A892" i="15"/>
  <c r="B891" i="15"/>
  <c r="A891" i="15"/>
  <c r="B890" i="15"/>
  <c r="A890" i="15"/>
  <c r="B889" i="15"/>
  <c r="A889" i="15"/>
  <c r="B888" i="15"/>
  <c r="A888" i="15"/>
  <c r="B887" i="15"/>
  <c r="A887" i="15"/>
  <c r="B886" i="15"/>
  <c r="A886" i="15"/>
  <c r="B885" i="15"/>
  <c r="A885" i="15"/>
  <c r="B884" i="15"/>
  <c r="A884" i="15"/>
  <c r="B883" i="15"/>
  <c r="A883" i="15"/>
  <c r="B882" i="15"/>
  <c r="A882" i="15"/>
  <c r="B881" i="15"/>
  <c r="A881" i="15"/>
  <c r="B880" i="15"/>
  <c r="A880" i="15"/>
  <c r="B879" i="15"/>
  <c r="A879" i="15"/>
  <c r="B878" i="15"/>
  <c r="A878" i="15"/>
  <c r="B877" i="15"/>
  <c r="A877" i="15"/>
  <c r="B876" i="15"/>
  <c r="A876" i="15"/>
  <c r="B875" i="15"/>
  <c r="A875" i="15"/>
  <c r="B874" i="15"/>
  <c r="A874" i="15"/>
  <c r="B873" i="15"/>
  <c r="A873" i="15"/>
  <c r="B872" i="15"/>
  <c r="A872" i="15"/>
  <c r="B871" i="15"/>
  <c r="A871" i="15"/>
  <c r="B870" i="15"/>
  <c r="A870" i="15"/>
  <c r="B869" i="15"/>
  <c r="A869" i="15"/>
  <c r="B868" i="15"/>
  <c r="A868" i="15"/>
  <c r="B867" i="15"/>
  <c r="A867" i="15"/>
  <c r="B866" i="15"/>
  <c r="A866" i="15"/>
  <c r="B865" i="15"/>
  <c r="A865" i="15"/>
  <c r="B864" i="15"/>
  <c r="A864" i="15"/>
  <c r="B863" i="15"/>
  <c r="A863" i="15"/>
  <c r="B862" i="15"/>
  <c r="A862" i="15"/>
  <c r="B861" i="15"/>
  <c r="A861" i="15"/>
  <c r="B860" i="15"/>
  <c r="A860" i="15"/>
  <c r="B859" i="15"/>
  <c r="A859" i="15"/>
  <c r="B858" i="15"/>
  <c r="A858" i="15"/>
  <c r="B857" i="15"/>
  <c r="A857" i="15"/>
  <c r="B856" i="15"/>
  <c r="A856" i="15"/>
  <c r="B855" i="15"/>
  <c r="A855" i="15"/>
  <c r="B854" i="15"/>
  <c r="A854" i="15"/>
  <c r="B853" i="15"/>
  <c r="A853" i="15"/>
  <c r="B852" i="15"/>
  <c r="A852" i="15"/>
  <c r="B851" i="15"/>
  <c r="A851" i="15"/>
  <c r="B850" i="15"/>
  <c r="A850" i="15"/>
  <c r="B849" i="15"/>
  <c r="A849" i="15"/>
  <c r="B848" i="15"/>
  <c r="A848" i="15"/>
  <c r="B847" i="15"/>
  <c r="A847" i="15"/>
  <c r="B846" i="15"/>
  <c r="A846" i="15"/>
  <c r="B845" i="15"/>
  <c r="A845" i="15"/>
  <c r="B844" i="15"/>
  <c r="A844" i="15"/>
  <c r="B843" i="15"/>
  <c r="A843" i="15"/>
  <c r="B842" i="15"/>
  <c r="A842" i="15"/>
  <c r="B841" i="15"/>
  <c r="A841" i="15"/>
  <c r="B840" i="15"/>
  <c r="A840" i="15"/>
  <c r="B839" i="15"/>
  <c r="A839" i="15"/>
  <c r="B838" i="15"/>
  <c r="A838" i="15"/>
  <c r="B837" i="15"/>
  <c r="A837" i="15"/>
  <c r="B836" i="15"/>
  <c r="A836" i="15"/>
  <c r="B835" i="15"/>
  <c r="A835" i="15"/>
  <c r="B834" i="15"/>
  <c r="A834" i="15"/>
  <c r="B833" i="15"/>
  <c r="A833" i="15"/>
  <c r="B832" i="15"/>
  <c r="A832" i="15"/>
  <c r="B831" i="15"/>
  <c r="A831" i="15"/>
  <c r="B830" i="15"/>
  <c r="A830" i="15"/>
  <c r="B829" i="15"/>
  <c r="A829" i="15"/>
  <c r="B828" i="15"/>
  <c r="A828" i="15"/>
  <c r="B827" i="15"/>
  <c r="A827" i="15"/>
  <c r="B826" i="15"/>
  <c r="A826" i="15"/>
  <c r="B825" i="15"/>
  <c r="A825" i="15"/>
  <c r="B824" i="15"/>
  <c r="A824" i="15"/>
  <c r="B823" i="15"/>
  <c r="A823" i="15"/>
  <c r="B822" i="15"/>
  <c r="A822" i="15"/>
  <c r="B821" i="15"/>
  <c r="A821" i="15"/>
  <c r="B820" i="15"/>
  <c r="A820" i="15"/>
  <c r="B819" i="15"/>
  <c r="A819" i="15"/>
  <c r="B818" i="15"/>
  <c r="A818" i="15"/>
  <c r="B817" i="15"/>
  <c r="A817" i="15"/>
  <c r="B816" i="15"/>
  <c r="A816" i="15"/>
  <c r="B815" i="15"/>
  <c r="A815" i="15"/>
  <c r="B814" i="15"/>
  <c r="A814" i="15"/>
  <c r="B813" i="15"/>
  <c r="A813" i="15"/>
  <c r="B812" i="15"/>
  <c r="A812" i="15"/>
  <c r="B811" i="15"/>
  <c r="A811" i="15"/>
  <c r="B810" i="15"/>
  <c r="A810" i="15"/>
  <c r="B809" i="15"/>
  <c r="A809" i="15"/>
  <c r="B808" i="15"/>
  <c r="A808" i="15"/>
  <c r="B807" i="15"/>
  <c r="A807" i="15"/>
  <c r="B806" i="15"/>
  <c r="A806" i="15"/>
  <c r="B805" i="15"/>
  <c r="A805" i="15"/>
  <c r="B804" i="15"/>
  <c r="A804" i="15"/>
  <c r="B803" i="15"/>
  <c r="A803" i="15"/>
  <c r="B802" i="15"/>
  <c r="A802" i="15"/>
  <c r="B801" i="15"/>
  <c r="A801" i="15"/>
  <c r="B800" i="15"/>
  <c r="A800" i="15"/>
  <c r="B799" i="15"/>
  <c r="A799" i="15"/>
  <c r="B798" i="15"/>
  <c r="A798" i="15"/>
  <c r="B797" i="15"/>
  <c r="A797" i="15"/>
  <c r="B796" i="15"/>
  <c r="A796" i="15"/>
  <c r="B795" i="15"/>
  <c r="A795" i="15"/>
  <c r="B794" i="15"/>
  <c r="A794" i="15"/>
  <c r="B793" i="15"/>
  <c r="A793" i="15"/>
  <c r="B792" i="15"/>
  <c r="A792" i="15"/>
  <c r="B791" i="15"/>
  <c r="A791" i="15"/>
  <c r="B790" i="15"/>
  <c r="A790" i="15"/>
  <c r="B789" i="15"/>
  <c r="A789" i="15"/>
  <c r="B788" i="15"/>
  <c r="A788" i="15"/>
  <c r="B787" i="15"/>
  <c r="A787" i="15"/>
  <c r="B786" i="15"/>
  <c r="A786" i="15"/>
  <c r="B785" i="15"/>
  <c r="A785" i="15"/>
  <c r="B784" i="15"/>
  <c r="A784" i="15"/>
  <c r="B783" i="15"/>
  <c r="A783" i="15"/>
  <c r="B782" i="15"/>
  <c r="A782" i="15"/>
  <c r="B781" i="15"/>
  <c r="A781" i="15"/>
  <c r="B780" i="15"/>
  <c r="A780" i="15"/>
  <c r="B779" i="15"/>
  <c r="A779" i="15"/>
  <c r="B778" i="15"/>
  <c r="A778" i="15"/>
  <c r="B777" i="15"/>
  <c r="A777" i="15"/>
  <c r="B776" i="15"/>
  <c r="A776" i="15"/>
  <c r="B775" i="15"/>
  <c r="A775" i="15"/>
  <c r="B774" i="15"/>
  <c r="A774" i="15"/>
  <c r="B773" i="15"/>
  <c r="A773" i="15"/>
  <c r="B772" i="15"/>
  <c r="A772" i="15"/>
  <c r="B771" i="15"/>
  <c r="A771" i="15"/>
  <c r="B770" i="15"/>
  <c r="A770" i="15"/>
  <c r="B769" i="15"/>
  <c r="A769" i="15"/>
  <c r="B768" i="15"/>
  <c r="A768" i="15"/>
  <c r="B767" i="15"/>
  <c r="A767" i="15"/>
  <c r="B766" i="15"/>
  <c r="A766" i="15"/>
  <c r="B765" i="15"/>
  <c r="A765" i="15"/>
  <c r="B764" i="15"/>
  <c r="A764" i="15"/>
  <c r="B763" i="15"/>
  <c r="A763" i="15"/>
  <c r="B762" i="15"/>
  <c r="A762" i="15"/>
  <c r="B761" i="15"/>
  <c r="A761" i="15"/>
  <c r="B760" i="15"/>
  <c r="A760" i="15"/>
  <c r="B759" i="15"/>
  <c r="A759" i="15"/>
  <c r="B758" i="15"/>
  <c r="A758" i="15"/>
  <c r="B757" i="15"/>
  <c r="A757" i="15"/>
  <c r="B756" i="15"/>
  <c r="A756" i="15"/>
  <c r="B755" i="15"/>
  <c r="A755" i="15"/>
  <c r="B754" i="15"/>
  <c r="A754" i="15"/>
  <c r="B753" i="15"/>
  <c r="A753" i="15"/>
  <c r="B752" i="15"/>
  <c r="A752" i="15"/>
  <c r="B751" i="15"/>
  <c r="A751" i="15"/>
  <c r="B750" i="15"/>
  <c r="A750" i="15"/>
  <c r="B749" i="15"/>
  <c r="A749" i="15"/>
  <c r="B748" i="15"/>
  <c r="A748" i="15"/>
  <c r="B747" i="15"/>
  <c r="A747" i="15"/>
  <c r="B746" i="15"/>
  <c r="A746" i="15"/>
  <c r="B745" i="15"/>
  <c r="A745" i="15"/>
  <c r="B744" i="15"/>
  <c r="A744" i="15"/>
  <c r="B743" i="15"/>
  <c r="A743" i="15"/>
  <c r="B742" i="15"/>
  <c r="A742" i="15"/>
  <c r="B741" i="15"/>
  <c r="A741" i="15"/>
  <c r="B740" i="15"/>
  <c r="A740" i="15"/>
  <c r="B739" i="15"/>
  <c r="A739" i="15"/>
  <c r="B738" i="15"/>
  <c r="A738" i="15"/>
  <c r="B737" i="15"/>
  <c r="A737" i="15"/>
  <c r="B736" i="15"/>
  <c r="A736" i="15"/>
  <c r="B735" i="15"/>
  <c r="A735" i="15"/>
  <c r="B734" i="15"/>
  <c r="A734" i="15"/>
  <c r="B733" i="15"/>
  <c r="A733" i="15"/>
  <c r="B732" i="15"/>
  <c r="A732" i="15"/>
  <c r="B731" i="15"/>
  <c r="A731" i="15"/>
  <c r="B730" i="15"/>
  <c r="A730" i="15"/>
  <c r="B729" i="15"/>
  <c r="A729" i="15"/>
  <c r="B728" i="15"/>
  <c r="A728" i="15"/>
  <c r="B727" i="15"/>
  <c r="A727" i="15"/>
  <c r="B726" i="15"/>
  <c r="A726" i="15"/>
  <c r="B725" i="15"/>
  <c r="A725" i="15"/>
  <c r="B724" i="15"/>
  <c r="A724" i="15"/>
  <c r="B723" i="15"/>
  <c r="A723" i="15"/>
  <c r="B722" i="15"/>
  <c r="A722" i="15"/>
  <c r="B721" i="15"/>
  <c r="A721" i="15"/>
  <c r="B720" i="15"/>
  <c r="A720" i="15"/>
  <c r="B719" i="15"/>
  <c r="A719" i="15"/>
  <c r="B718" i="15"/>
  <c r="A718" i="15"/>
  <c r="B717" i="15"/>
  <c r="A717" i="15"/>
  <c r="B716" i="15"/>
  <c r="A716" i="15"/>
  <c r="B715" i="15"/>
  <c r="A715" i="15"/>
  <c r="B714" i="15"/>
  <c r="A714" i="15"/>
  <c r="B713" i="15"/>
  <c r="A713" i="15"/>
  <c r="B712" i="15"/>
  <c r="A712" i="15"/>
  <c r="B711" i="15"/>
  <c r="A711" i="15"/>
  <c r="B710" i="15"/>
  <c r="A710" i="15"/>
  <c r="B709" i="15"/>
  <c r="A709" i="15"/>
  <c r="B708" i="15"/>
  <c r="A708" i="15"/>
  <c r="B707" i="15"/>
  <c r="A707" i="15"/>
  <c r="B706" i="15"/>
  <c r="A706" i="15"/>
  <c r="B705" i="15"/>
  <c r="A705" i="15"/>
  <c r="B704" i="15"/>
  <c r="A704" i="15"/>
  <c r="B703" i="15"/>
  <c r="A703" i="15"/>
  <c r="B702" i="15"/>
  <c r="A702" i="15"/>
  <c r="B701" i="15"/>
  <c r="A701" i="15"/>
  <c r="B700" i="15"/>
  <c r="A700" i="15"/>
  <c r="B699" i="15"/>
  <c r="A699" i="15"/>
  <c r="B698" i="15"/>
  <c r="A698" i="15"/>
  <c r="B697" i="15"/>
  <c r="A697" i="15"/>
  <c r="B696" i="15"/>
  <c r="A696" i="15"/>
  <c r="B695" i="15"/>
  <c r="A695" i="15"/>
  <c r="B694" i="15"/>
  <c r="A694" i="15"/>
  <c r="B693" i="15"/>
  <c r="A693" i="15"/>
  <c r="B692" i="15"/>
  <c r="A692" i="15"/>
  <c r="B691" i="15"/>
  <c r="A691" i="15"/>
  <c r="B690" i="15"/>
  <c r="A690" i="15"/>
  <c r="B689" i="15"/>
  <c r="A689" i="15"/>
  <c r="B688" i="15"/>
  <c r="A688" i="15"/>
  <c r="B687" i="15"/>
  <c r="A687" i="15"/>
  <c r="B686" i="15"/>
  <c r="A686" i="15"/>
  <c r="B685" i="15"/>
  <c r="A685" i="15"/>
  <c r="B684" i="15"/>
  <c r="A684" i="15"/>
  <c r="B683" i="15"/>
  <c r="A683" i="15"/>
  <c r="B682" i="15"/>
  <c r="A682" i="15"/>
  <c r="B681" i="15"/>
  <c r="A681" i="15"/>
  <c r="B680" i="15"/>
  <c r="A680" i="15"/>
  <c r="B679" i="15"/>
  <c r="A679" i="15"/>
  <c r="B678" i="15"/>
  <c r="A678" i="15"/>
  <c r="B677" i="15"/>
  <c r="A677" i="15"/>
  <c r="B676" i="15"/>
  <c r="A676" i="15"/>
  <c r="B675" i="15"/>
  <c r="A675" i="15"/>
  <c r="B674" i="15"/>
  <c r="A674" i="15"/>
  <c r="B673" i="15"/>
  <c r="A673" i="15"/>
  <c r="B672" i="15"/>
  <c r="A672" i="15"/>
  <c r="B671" i="15"/>
  <c r="A671" i="15"/>
  <c r="B670" i="15"/>
  <c r="A670" i="15"/>
  <c r="B669" i="15"/>
  <c r="A669" i="15"/>
  <c r="B668" i="15"/>
  <c r="A668" i="15"/>
  <c r="B667" i="15"/>
  <c r="A667" i="15"/>
  <c r="B666" i="15"/>
  <c r="A666" i="15"/>
  <c r="B665" i="15"/>
  <c r="A665" i="15"/>
  <c r="B664" i="15"/>
  <c r="A664" i="15"/>
  <c r="B663" i="15"/>
  <c r="A663" i="15"/>
  <c r="B662" i="15"/>
  <c r="A662" i="15"/>
  <c r="B661" i="15"/>
  <c r="A661" i="15"/>
  <c r="B660" i="15"/>
  <c r="A660" i="15"/>
  <c r="B659" i="15"/>
  <c r="A659" i="15"/>
  <c r="B658" i="15"/>
  <c r="A658" i="15"/>
  <c r="B657" i="15"/>
  <c r="A657" i="15"/>
  <c r="B656" i="15"/>
  <c r="A656" i="15"/>
  <c r="B655" i="15"/>
  <c r="A655" i="15"/>
  <c r="B654" i="15"/>
  <c r="A654" i="15"/>
  <c r="B653" i="15"/>
  <c r="A653" i="15"/>
  <c r="B652" i="15"/>
  <c r="A652" i="15"/>
  <c r="B651" i="15"/>
  <c r="A651" i="15"/>
  <c r="B650" i="15"/>
  <c r="A650" i="15"/>
  <c r="B649" i="15"/>
  <c r="A649" i="15"/>
  <c r="B648" i="15"/>
  <c r="A648" i="15"/>
  <c r="B647" i="15"/>
  <c r="A647" i="15"/>
  <c r="B646" i="15"/>
  <c r="A646" i="15"/>
  <c r="B645" i="15"/>
  <c r="A645" i="15"/>
  <c r="B644" i="15"/>
  <c r="A644" i="15"/>
  <c r="B643" i="15"/>
  <c r="A643" i="15"/>
  <c r="B642" i="15"/>
  <c r="A642" i="15"/>
  <c r="B641" i="15"/>
  <c r="A641" i="15"/>
  <c r="B640" i="15"/>
  <c r="A640" i="15"/>
  <c r="B639" i="15"/>
  <c r="A639" i="15"/>
  <c r="B638" i="15"/>
  <c r="A638" i="15"/>
  <c r="B637" i="15"/>
  <c r="A637" i="15"/>
  <c r="B636" i="15"/>
  <c r="A636" i="15"/>
  <c r="B635" i="15"/>
  <c r="A635" i="15"/>
  <c r="B634" i="15"/>
  <c r="A634" i="15"/>
  <c r="B633" i="15"/>
  <c r="A633" i="15"/>
  <c r="B632" i="15"/>
  <c r="A632" i="15"/>
  <c r="B631" i="15"/>
  <c r="A631" i="15"/>
  <c r="B630" i="15"/>
  <c r="A630" i="15"/>
  <c r="B629" i="15"/>
  <c r="A629" i="15"/>
  <c r="B628" i="15"/>
  <c r="A628" i="15"/>
  <c r="B627" i="15"/>
  <c r="A627" i="15"/>
  <c r="B626" i="15"/>
  <c r="A626" i="15"/>
  <c r="B625" i="15"/>
  <c r="A625" i="15"/>
  <c r="B624" i="15"/>
  <c r="A624" i="15"/>
  <c r="B623" i="15"/>
  <c r="A623" i="15"/>
  <c r="B622" i="15"/>
  <c r="A622" i="15"/>
  <c r="B621" i="15"/>
  <c r="A621" i="15"/>
  <c r="B620" i="15"/>
  <c r="A620" i="15"/>
  <c r="B619" i="15"/>
  <c r="A619" i="15"/>
  <c r="B618" i="15"/>
  <c r="A618" i="15"/>
  <c r="B617" i="15"/>
  <c r="A617" i="15"/>
  <c r="B616" i="15"/>
  <c r="A616" i="15"/>
  <c r="B615" i="15"/>
  <c r="A615" i="15"/>
  <c r="B614" i="15"/>
  <c r="A614" i="15"/>
  <c r="B613" i="15"/>
  <c r="A613" i="15"/>
  <c r="B612" i="15"/>
  <c r="A612" i="15"/>
  <c r="B611" i="15"/>
  <c r="A611" i="15"/>
  <c r="B610" i="15"/>
  <c r="A610" i="15"/>
  <c r="B609" i="15"/>
  <c r="A609" i="15"/>
  <c r="B608" i="15"/>
  <c r="A608" i="15"/>
  <c r="B607" i="15"/>
  <c r="A607" i="15"/>
  <c r="B606" i="15"/>
  <c r="A606" i="15"/>
  <c r="B605" i="15"/>
  <c r="A605" i="15"/>
  <c r="B604" i="15"/>
  <c r="A604" i="15"/>
  <c r="B603" i="15"/>
  <c r="A603" i="15"/>
  <c r="B602" i="15"/>
  <c r="A602" i="15"/>
  <c r="B601" i="15"/>
  <c r="A601" i="15"/>
  <c r="B600" i="15"/>
  <c r="A600" i="15"/>
  <c r="B599" i="15"/>
  <c r="A599" i="15"/>
  <c r="B598" i="15"/>
  <c r="A598" i="15"/>
  <c r="B597" i="15"/>
  <c r="A597" i="15"/>
  <c r="B596" i="15"/>
  <c r="A596" i="15"/>
  <c r="B595" i="15"/>
  <c r="A595" i="15"/>
  <c r="B594" i="15"/>
  <c r="A594" i="15"/>
  <c r="B593" i="15"/>
  <c r="A593" i="15"/>
  <c r="B592" i="15"/>
  <c r="A592" i="15"/>
  <c r="B591" i="15"/>
  <c r="A591" i="15"/>
  <c r="B590" i="15"/>
  <c r="A590" i="15"/>
  <c r="B589" i="15"/>
  <c r="A589" i="15"/>
  <c r="B588" i="15"/>
  <c r="A588" i="15"/>
  <c r="B587" i="15"/>
  <c r="A587" i="15"/>
  <c r="B586" i="15"/>
  <c r="A586" i="15"/>
  <c r="B585" i="15"/>
  <c r="A585" i="15"/>
  <c r="B584" i="15"/>
  <c r="A584" i="15"/>
  <c r="B583" i="15"/>
  <c r="A583" i="15"/>
  <c r="B582" i="15"/>
  <c r="A582" i="15"/>
  <c r="B581" i="15"/>
  <c r="A581" i="15"/>
  <c r="B580" i="15"/>
  <c r="A580" i="15"/>
  <c r="B579" i="15"/>
  <c r="A579" i="15"/>
  <c r="B578" i="15"/>
  <c r="A578" i="15"/>
  <c r="B577" i="15"/>
  <c r="A577" i="15"/>
  <c r="B576" i="15"/>
  <c r="A576" i="15"/>
  <c r="B575" i="15"/>
  <c r="A575" i="15"/>
  <c r="B574" i="15"/>
  <c r="A574" i="15"/>
  <c r="B573" i="15"/>
  <c r="A573" i="15"/>
  <c r="B572" i="15"/>
  <c r="A572" i="15"/>
  <c r="B571" i="15"/>
  <c r="A571" i="15"/>
  <c r="B570" i="15"/>
  <c r="A570" i="15"/>
  <c r="B569" i="15"/>
  <c r="A569" i="15"/>
  <c r="B568" i="15"/>
  <c r="A568" i="15"/>
  <c r="B567" i="15"/>
  <c r="A567" i="15"/>
  <c r="B566" i="15"/>
  <c r="A566" i="15"/>
  <c r="B565" i="15"/>
  <c r="A565" i="15"/>
  <c r="B564" i="15"/>
  <c r="A564" i="15"/>
  <c r="B563" i="15"/>
  <c r="A563" i="15"/>
  <c r="B562" i="15"/>
  <c r="A562" i="15"/>
  <c r="B561" i="15"/>
  <c r="A561" i="15"/>
  <c r="B560" i="15"/>
  <c r="A560" i="15"/>
  <c r="B559" i="15"/>
  <c r="A559" i="15"/>
  <c r="B558" i="15"/>
  <c r="A558" i="15"/>
  <c r="B557" i="15"/>
  <c r="A557" i="15"/>
  <c r="B556" i="15"/>
  <c r="A556" i="15"/>
  <c r="B555" i="15"/>
  <c r="A555" i="15"/>
  <c r="B554" i="15"/>
  <c r="A554" i="15"/>
  <c r="B553" i="15"/>
  <c r="A553" i="15"/>
  <c r="B552" i="15"/>
  <c r="A552" i="15"/>
  <c r="B551" i="15"/>
  <c r="A551" i="15"/>
  <c r="B550" i="15"/>
  <c r="A550" i="15"/>
  <c r="B549" i="15"/>
  <c r="A549" i="15"/>
  <c r="B548" i="15"/>
  <c r="A548" i="15"/>
  <c r="B547" i="15"/>
  <c r="A547" i="15"/>
  <c r="B546" i="15"/>
  <c r="A546" i="15"/>
  <c r="B545" i="15"/>
  <c r="A545" i="15"/>
  <c r="B544" i="15"/>
  <c r="A544" i="15"/>
  <c r="B543" i="15"/>
  <c r="A543" i="15"/>
  <c r="B542" i="15"/>
  <c r="A542" i="15"/>
  <c r="B541" i="15"/>
  <c r="A541" i="15"/>
  <c r="B540" i="15"/>
  <c r="A540" i="15"/>
  <c r="B539" i="15"/>
  <c r="A539" i="15"/>
  <c r="B538" i="15"/>
  <c r="A538" i="15"/>
  <c r="B537" i="15"/>
  <c r="A537" i="15"/>
  <c r="B536" i="15"/>
  <c r="A536" i="15"/>
  <c r="B535" i="15"/>
  <c r="A535" i="15"/>
  <c r="B534" i="15"/>
  <c r="A534" i="15"/>
  <c r="B533" i="15"/>
  <c r="A533" i="15"/>
  <c r="B532" i="15"/>
  <c r="A532" i="15"/>
  <c r="B531" i="15"/>
  <c r="A531" i="15"/>
  <c r="B530" i="15"/>
  <c r="A530" i="15"/>
  <c r="B529" i="15"/>
  <c r="A529" i="15"/>
  <c r="B528" i="15"/>
  <c r="A528" i="15"/>
  <c r="B527" i="15"/>
  <c r="A527" i="15"/>
  <c r="B526" i="15"/>
  <c r="A526" i="15"/>
  <c r="B525" i="15"/>
  <c r="A525" i="15"/>
  <c r="B524" i="15"/>
  <c r="A524" i="15"/>
  <c r="B523" i="15"/>
  <c r="A523" i="15"/>
  <c r="B522" i="15"/>
  <c r="A522" i="15"/>
  <c r="B521" i="15"/>
  <c r="A521" i="15"/>
  <c r="B520" i="15"/>
  <c r="A520" i="15"/>
  <c r="B519" i="15"/>
  <c r="A519" i="15"/>
  <c r="B518" i="15"/>
  <c r="A518" i="15"/>
  <c r="B517" i="15"/>
  <c r="A517" i="15"/>
  <c r="B516" i="15"/>
  <c r="A516" i="15"/>
  <c r="B515" i="15"/>
  <c r="A515" i="15"/>
  <c r="B514" i="15"/>
  <c r="A514" i="15"/>
  <c r="B513" i="15"/>
  <c r="A513" i="15"/>
  <c r="B512" i="15"/>
  <c r="A512" i="15"/>
  <c r="B511" i="15"/>
  <c r="A511" i="15"/>
  <c r="B510" i="15"/>
  <c r="A510" i="15"/>
  <c r="B509" i="15"/>
  <c r="A509" i="15"/>
  <c r="B508" i="15"/>
  <c r="A508" i="15"/>
  <c r="B507" i="15"/>
  <c r="A507" i="15"/>
  <c r="B506" i="15"/>
  <c r="A506" i="15"/>
  <c r="B505" i="15"/>
  <c r="A505" i="15"/>
  <c r="B504" i="15"/>
  <c r="A504" i="15"/>
  <c r="B503" i="15"/>
  <c r="A503" i="15"/>
  <c r="B502" i="15"/>
  <c r="A502" i="15"/>
  <c r="B501" i="15"/>
  <c r="A501" i="15"/>
  <c r="B500" i="15"/>
  <c r="A500" i="15"/>
  <c r="B499" i="15"/>
  <c r="A499" i="15"/>
  <c r="B498" i="15"/>
  <c r="A498" i="15"/>
  <c r="B497" i="15"/>
  <c r="A497" i="15"/>
  <c r="B496" i="15"/>
  <c r="A496" i="15"/>
  <c r="B495" i="15"/>
  <c r="A495" i="15"/>
  <c r="B494" i="15"/>
  <c r="A494" i="15"/>
  <c r="B493" i="15"/>
  <c r="A493" i="15"/>
  <c r="B492" i="15"/>
  <c r="A492" i="15"/>
  <c r="B491" i="15"/>
  <c r="A491" i="15"/>
  <c r="B490" i="15"/>
  <c r="A490" i="15"/>
  <c r="B489" i="15"/>
  <c r="A489" i="15"/>
  <c r="B488" i="15"/>
  <c r="A488" i="15"/>
  <c r="B487" i="15"/>
  <c r="A487" i="15"/>
  <c r="B486" i="15"/>
  <c r="A486" i="15"/>
  <c r="B485" i="15"/>
  <c r="A485" i="15"/>
  <c r="B484" i="15"/>
  <c r="A484" i="15"/>
  <c r="B483" i="15"/>
  <c r="A483" i="15"/>
  <c r="B482" i="15"/>
  <c r="A482" i="15"/>
  <c r="B481" i="15"/>
  <c r="A481" i="15"/>
  <c r="B480" i="15"/>
  <c r="A480" i="15"/>
  <c r="B479" i="15"/>
  <c r="A479" i="15"/>
  <c r="B478" i="15"/>
  <c r="A478" i="15"/>
  <c r="B477" i="15"/>
  <c r="A477" i="15"/>
  <c r="B476" i="15"/>
  <c r="A476" i="15"/>
  <c r="B475" i="15"/>
  <c r="A475" i="15"/>
  <c r="B474" i="15"/>
  <c r="A474" i="15"/>
  <c r="B473" i="15"/>
  <c r="A473" i="15"/>
  <c r="B472" i="15"/>
  <c r="A472" i="15"/>
  <c r="B471" i="15"/>
  <c r="A471" i="15"/>
  <c r="B470" i="15"/>
  <c r="A470" i="15"/>
  <c r="B469" i="15"/>
  <c r="A469" i="15"/>
  <c r="B468" i="15"/>
  <c r="A468" i="15"/>
  <c r="B467" i="15"/>
  <c r="A467" i="15"/>
  <c r="B466" i="15"/>
  <c r="A466" i="15"/>
  <c r="B465" i="15"/>
  <c r="A465" i="15"/>
  <c r="B464" i="15"/>
  <c r="A464" i="15"/>
  <c r="B463" i="15"/>
  <c r="A463" i="15"/>
  <c r="B462" i="15"/>
  <c r="A462" i="15"/>
  <c r="B461" i="15"/>
  <c r="A461" i="15"/>
  <c r="B460" i="15"/>
  <c r="A460" i="15"/>
  <c r="B459" i="15"/>
  <c r="A459" i="15"/>
  <c r="B458" i="15"/>
  <c r="A458" i="15"/>
  <c r="B457" i="15"/>
  <c r="A457" i="15"/>
  <c r="B456" i="15"/>
  <c r="A456" i="15"/>
  <c r="B455" i="15"/>
  <c r="A455" i="15"/>
  <c r="B454" i="15"/>
  <c r="A454" i="15"/>
  <c r="B453" i="15"/>
  <c r="A453" i="15"/>
  <c r="B452" i="15"/>
  <c r="A452" i="15"/>
  <c r="B451" i="15"/>
  <c r="A451" i="15"/>
  <c r="B450" i="15"/>
  <c r="A450" i="15"/>
  <c r="B449" i="15"/>
  <c r="A449" i="15"/>
  <c r="B448" i="15"/>
  <c r="A448" i="15"/>
  <c r="B447" i="15"/>
  <c r="A447" i="15"/>
  <c r="B446" i="15"/>
  <c r="A446" i="15"/>
  <c r="B445" i="15"/>
  <c r="A445" i="15"/>
  <c r="B444" i="15"/>
  <c r="A444" i="15"/>
  <c r="B443" i="15"/>
  <c r="A443" i="15"/>
  <c r="B442" i="15"/>
  <c r="A442" i="15"/>
  <c r="B441" i="15"/>
  <c r="A441" i="15"/>
  <c r="B440" i="15"/>
  <c r="A440" i="15"/>
  <c r="B439" i="15"/>
  <c r="A439" i="15"/>
  <c r="B438" i="15"/>
  <c r="A438" i="15"/>
  <c r="B437" i="15"/>
  <c r="A437" i="15"/>
  <c r="B436" i="15"/>
  <c r="A436" i="15"/>
  <c r="B435" i="15"/>
  <c r="A435" i="15"/>
  <c r="B434" i="15"/>
  <c r="A434" i="15"/>
  <c r="B433" i="15"/>
  <c r="A433" i="15"/>
  <c r="B432" i="15"/>
  <c r="A432" i="15"/>
  <c r="B431" i="15"/>
  <c r="A431" i="15"/>
  <c r="B430" i="15"/>
  <c r="A430" i="15"/>
  <c r="B429" i="15"/>
  <c r="A429" i="15"/>
  <c r="B428" i="15"/>
  <c r="A428" i="15"/>
  <c r="B427" i="15"/>
  <c r="A427" i="15"/>
  <c r="B426" i="15"/>
  <c r="A426" i="15"/>
  <c r="B425" i="15"/>
  <c r="A425" i="15"/>
  <c r="B424" i="15"/>
  <c r="A424" i="15"/>
  <c r="B423" i="15"/>
  <c r="A423" i="15"/>
  <c r="B422" i="15"/>
  <c r="A422" i="15"/>
  <c r="B421" i="15"/>
  <c r="A421" i="15"/>
  <c r="B420" i="15"/>
  <c r="A420" i="15"/>
  <c r="B419" i="15"/>
  <c r="A419" i="15"/>
  <c r="B418" i="15"/>
  <c r="A418" i="15"/>
  <c r="B417" i="15"/>
  <c r="A417" i="15"/>
  <c r="B416" i="15"/>
  <c r="A416" i="15"/>
  <c r="B415" i="15"/>
  <c r="A415" i="15"/>
  <c r="B414" i="15"/>
  <c r="A414" i="15"/>
  <c r="B413" i="15"/>
  <c r="A413" i="15"/>
  <c r="B412" i="15"/>
  <c r="A412" i="15"/>
  <c r="B411" i="15"/>
  <c r="A411" i="15"/>
  <c r="B410" i="15"/>
  <c r="A410" i="15"/>
  <c r="B409" i="15"/>
  <c r="A409" i="15"/>
  <c r="B408" i="15"/>
  <c r="A408" i="15"/>
  <c r="B407" i="15"/>
  <c r="A407" i="15"/>
  <c r="B406" i="15"/>
  <c r="A406" i="15"/>
  <c r="B405" i="15"/>
  <c r="A405" i="15"/>
  <c r="B404" i="15"/>
  <c r="A404" i="15"/>
  <c r="B403" i="15"/>
  <c r="A403" i="15"/>
  <c r="B402" i="15"/>
  <c r="A402" i="15"/>
  <c r="B401" i="15"/>
  <c r="A401" i="15"/>
  <c r="B400" i="15"/>
  <c r="A400" i="15"/>
  <c r="B399" i="15"/>
  <c r="A399" i="15"/>
  <c r="B398" i="15"/>
  <c r="A398" i="15"/>
  <c r="B397" i="15"/>
  <c r="A397" i="15"/>
  <c r="B396" i="15"/>
  <c r="A396" i="15"/>
  <c r="B395" i="15"/>
  <c r="A395" i="15"/>
  <c r="B394" i="15"/>
  <c r="A394" i="15"/>
  <c r="B393" i="15"/>
  <c r="A393" i="15"/>
  <c r="B392" i="15"/>
  <c r="A392" i="15"/>
  <c r="B391" i="15"/>
  <c r="A391" i="15"/>
  <c r="B390" i="15"/>
  <c r="A390" i="15"/>
  <c r="B389" i="15"/>
  <c r="A389" i="15"/>
  <c r="B388" i="15"/>
  <c r="A388" i="15"/>
  <c r="B387" i="15"/>
  <c r="A387" i="15"/>
  <c r="B386" i="15"/>
  <c r="A386" i="15"/>
  <c r="B385" i="15"/>
  <c r="A385" i="15"/>
  <c r="B384" i="15"/>
  <c r="A384" i="15"/>
  <c r="B383" i="15"/>
  <c r="A383" i="15"/>
  <c r="B382" i="15"/>
  <c r="A382" i="15"/>
  <c r="B381" i="15"/>
  <c r="A381" i="15"/>
  <c r="B380" i="15"/>
  <c r="A380" i="15"/>
  <c r="B379" i="15"/>
  <c r="A379" i="15"/>
  <c r="B378" i="15"/>
  <c r="A378" i="15"/>
  <c r="B377" i="15"/>
  <c r="A377" i="15"/>
  <c r="B376" i="15"/>
  <c r="A376" i="15"/>
  <c r="B375" i="15"/>
  <c r="A375" i="15"/>
  <c r="B374" i="15"/>
  <c r="A374" i="15"/>
  <c r="B373" i="15"/>
  <c r="A373" i="15"/>
  <c r="B372" i="15"/>
  <c r="A372" i="15"/>
  <c r="B371" i="15"/>
  <c r="A371" i="15"/>
  <c r="B370" i="15"/>
  <c r="A370" i="15"/>
  <c r="B369" i="15"/>
  <c r="A369" i="15"/>
  <c r="B368" i="15"/>
  <c r="A368" i="15"/>
  <c r="B367" i="15"/>
  <c r="A367" i="15"/>
  <c r="B366" i="15"/>
  <c r="A366" i="15"/>
  <c r="B365" i="15"/>
  <c r="A365" i="15"/>
  <c r="B364" i="15"/>
  <c r="A364" i="15"/>
  <c r="B363" i="15"/>
  <c r="A363" i="15"/>
  <c r="B362" i="15"/>
  <c r="A362" i="15"/>
  <c r="B361" i="15"/>
  <c r="A361" i="15"/>
  <c r="B360" i="15"/>
  <c r="A360" i="15"/>
  <c r="B359" i="15"/>
  <c r="A359" i="15"/>
  <c r="B358" i="15"/>
  <c r="A358" i="15"/>
  <c r="B357" i="15"/>
  <c r="A357" i="15"/>
  <c r="B356" i="15"/>
  <c r="A356" i="15"/>
  <c r="B355" i="15"/>
  <c r="A355" i="15"/>
  <c r="B354" i="15"/>
  <c r="A354" i="15"/>
  <c r="B353" i="15"/>
  <c r="A353" i="15"/>
  <c r="B352" i="15"/>
  <c r="A352" i="15"/>
  <c r="B351" i="15"/>
  <c r="A351" i="15"/>
  <c r="B350" i="15"/>
  <c r="A350" i="15"/>
  <c r="B349" i="15"/>
  <c r="A349" i="15"/>
  <c r="B348" i="15"/>
  <c r="A348" i="15"/>
  <c r="B347" i="15"/>
  <c r="A347" i="15"/>
  <c r="B346" i="15"/>
  <c r="A346" i="15"/>
  <c r="B345" i="15"/>
  <c r="A345" i="15"/>
  <c r="B344" i="15"/>
  <c r="A344" i="15"/>
  <c r="B343" i="15"/>
  <c r="A343" i="15"/>
  <c r="B342" i="15"/>
  <c r="A342" i="15"/>
  <c r="B341" i="15"/>
  <c r="A341" i="15"/>
  <c r="B340" i="15"/>
  <c r="A340" i="15"/>
  <c r="B339" i="15"/>
  <c r="A339" i="15"/>
  <c r="B338" i="15"/>
  <c r="A338" i="15"/>
  <c r="B337" i="15"/>
  <c r="A337" i="15"/>
  <c r="B336" i="15"/>
  <c r="A336" i="15"/>
  <c r="B335" i="15"/>
  <c r="A335" i="15"/>
  <c r="B334" i="15"/>
  <c r="A334" i="15"/>
  <c r="B333" i="15"/>
  <c r="A333" i="15"/>
  <c r="B332" i="15"/>
  <c r="A332" i="15"/>
  <c r="B331" i="15"/>
  <c r="A331" i="15"/>
  <c r="B330" i="15"/>
  <c r="A330" i="15"/>
  <c r="B329" i="15"/>
  <c r="A329" i="15"/>
  <c r="B328" i="15"/>
  <c r="A328" i="15"/>
  <c r="B327" i="15"/>
  <c r="A327" i="15"/>
  <c r="B326" i="15"/>
  <c r="A326" i="15"/>
  <c r="B325" i="15"/>
  <c r="A325" i="15"/>
  <c r="B324" i="15"/>
  <c r="A324" i="15"/>
  <c r="B323" i="15"/>
  <c r="A323" i="15"/>
  <c r="B322" i="15"/>
  <c r="A322" i="15"/>
  <c r="B321" i="15"/>
  <c r="A321" i="15"/>
  <c r="B320" i="15"/>
  <c r="A320" i="15"/>
  <c r="B319" i="15"/>
  <c r="A319" i="15"/>
  <c r="B318" i="15"/>
  <c r="A318" i="15"/>
  <c r="B317" i="15"/>
  <c r="A317" i="15"/>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B48" i="15"/>
  <c r="A48" i="15"/>
  <c r="B47" i="15"/>
  <c r="A47" i="15"/>
  <c r="B46" i="15"/>
  <c r="A46" i="15"/>
  <c r="B45" i="15"/>
  <c r="A45" i="15"/>
  <c r="B44" i="15"/>
  <c r="A44" i="15"/>
  <c r="B43" i="15"/>
  <c r="A43" i="15"/>
  <c r="B42" i="15"/>
  <c r="A42" i="15"/>
  <c r="B41" i="15"/>
  <c r="A41" i="15"/>
  <c r="B40" i="15"/>
  <c r="A40" i="15"/>
  <c r="B39" i="15"/>
  <c r="A39" i="15"/>
  <c r="B38" i="15"/>
  <c r="A38" i="15"/>
  <c r="B37" i="15"/>
  <c r="A37" i="15"/>
  <c r="B36" i="15"/>
  <c r="A36" i="15"/>
  <c r="B35" i="15"/>
  <c r="A35" i="15"/>
  <c r="B34" i="15"/>
  <c r="A34" i="15"/>
  <c r="B33" i="15"/>
  <c r="A33" i="15"/>
  <c r="B32" i="15"/>
  <c r="A32" i="15"/>
  <c r="B31" i="15"/>
  <c r="A31" i="15"/>
  <c r="B30" i="15"/>
  <c r="A30" i="15"/>
  <c r="B29" i="15"/>
  <c r="A29" i="15"/>
  <c r="B28" i="15"/>
  <c r="A28" i="15"/>
  <c r="B27" i="15"/>
  <c r="A27" i="15"/>
  <c r="B26" i="15"/>
  <c r="A26" i="15"/>
  <c r="B25" i="15"/>
  <c r="A25" i="15"/>
  <c r="B24" i="15"/>
  <c r="A24" i="15"/>
  <c r="B23" i="15"/>
  <c r="A23" i="15"/>
  <c r="B22" i="15"/>
  <c r="A22" i="15"/>
  <c r="B21" i="15"/>
  <c r="A21" i="15"/>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B5" i="15"/>
  <c r="A5" i="15"/>
  <c r="B4" i="15"/>
  <c r="A4" i="15"/>
  <c r="B3" i="15"/>
  <c r="A3" i="15"/>
  <c r="B2" i="15"/>
  <c r="A2" i="15"/>
</calcChain>
</file>

<file path=xl/sharedStrings.xml><?xml version="1.0" encoding="utf-8"?>
<sst xmlns="http://schemas.openxmlformats.org/spreadsheetml/2006/main" count="2127" uniqueCount="1893">
  <si>
    <t># of Graduates</t>
  </si>
  <si>
    <t>Total # Emp FT</t>
  </si>
  <si>
    <t># Not Seek</t>
  </si>
  <si>
    <t># No Info</t>
  </si>
  <si>
    <t>Total # Emp PT</t>
  </si>
  <si>
    <t>Salary Mean</t>
  </si>
  <si>
    <t>Salary Median</t>
  </si>
  <si>
    <t>Bonus Mean</t>
  </si>
  <si>
    <t>Bonus Median</t>
  </si>
  <si>
    <t># of Salaries</t>
  </si>
  <si>
    <t>% of Salaries</t>
  </si>
  <si>
    <t># of Bonuses</t>
  </si>
  <si>
    <t>Column Name</t>
  </si>
  <si>
    <t>Description</t>
  </si>
  <si>
    <t># Not Seeking</t>
  </si>
  <si>
    <t>The number of graduates not seeking employment or continuing education</t>
  </si>
  <si>
    <t># Service</t>
  </si>
  <si>
    <t>The number of graduates serving full-time in military service</t>
  </si>
  <si>
    <t>The number of graduates for whom no information is available</t>
  </si>
  <si>
    <t># Temp/Con FT</t>
  </si>
  <si>
    <t># Post Grad FT</t>
  </si>
  <si>
    <t># Temp/Con PT</t>
  </si>
  <si>
    <t># Post Grad PT</t>
  </si>
  <si>
    <t>Salary Low</t>
  </si>
  <si>
    <t>Salary High</t>
  </si>
  <si>
    <t>Bonus Low</t>
  </si>
  <si>
    <t>Bonus High</t>
  </si>
  <si>
    <t>The total number of know full-time annual salaries</t>
  </si>
  <si>
    <t>The percent of full-time employed graduates for whom the annual salary is known</t>
  </si>
  <si>
    <t>Average Salary of full-time employed graduates receiving a salary</t>
  </si>
  <si>
    <t>The midpoint in the range of full-time salaries (50th percentile of the salary range)</t>
  </si>
  <si>
    <t>The total number of known guarateed bonus compensation for full-time employed graduates</t>
  </si>
  <si>
    <t>Average Bonus of full-time employed graduates receiving a bonus</t>
  </si>
  <si>
    <t>The midpoint in the range of guaranteed bonuses (50th percentile of the bonus range)</t>
  </si>
  <si>
    <t># Entrepreneur FT</t>
  </si>
  <si>
    <t># Entrepreneur PT</t>
  </si>
  <si>
    <t xml:space="preserve"># Service </t>
  </si>
  <si>
    <t>Total Number Graduated</t>
  </si>
  <si>
    <t>Academic Program Name</t>
  </si>
  <si>
    <t>Example: Aeronautical Engineering</t>
  </si>
  <si>
    <t>Example: ABC University</t>
  </si>
  <si>
    <t># Temp/Contract FT</t>
  </si>
  <si>
    <t># Temp/Contract PT</t>
  </si>
  <si>
    <t># Freelance FT</t>
  </si>
  <si>
    <t># Freelance PT</t>
  </si>
  <si>
    <t># Post Grad Fellowship/Internship FT</t>
  </si>
  <si>
    <t># Post Grad Fellowship/Internship PT</t>
  </si>
  <si>
    <t xml:space="preserve"># Military Service </t>
  </si>
  <si>
    <t># Continuing Education</t>
  </si>
  <si>
    <t># Seeking Employment</t>
  </si>
  <si>
    <t>Total # Employed FT</t>
  </si>
  <si>
    <t>Total # Employed PT</t>
  </si>
  <si>
    <t># Seeking Continuing Education</t>
  </si>
  <si>
    <t># of Salaries (Full-time Employed)</t>
  </si>
  <si>
    <t># receiving Bonus</t>
  </si>
  <si>
    <t>The number of graduates receiving a degree at the specified level</t>
  </si>
  <si>
    <t>The number of graduates employed full-time (30 or more hours per week) in a traditional employment setting (work for a corporation or individual; receive regularly scheduled compensation; emplyment relationship does not have a specified end date)</t>
  </si>
  <si>
    <t>The number of graduates employed part-time (less than 30 hours per week) in a traditional employment setting (work for a corporation or individual; receive regularly scheduled compensation; emplyment relationship does not have a specified end date)</t>
  </si>
  <si>
    <t>The number of graduates employed part-time  (less than 30 hours per week) as entrepeneurs - one who has started his own business (store, manufacturer, etc.) and has multiple customers/clients</t>
  </si>
  <si>
    <t>The number of graduates employed full-time (30 or more hours per week) as entrepeneurs - one who has started his own business (store, manufacturer, etc.) and has multiple customers/clients</t>
  </si>
  <si>
    <t>The number of graduates employed part-time (less than 30 hours per week) in temporary/contract work assignments - working for one client but is working on a specific project, which has a limited timeframe after which he/she is not likely to be employed by that client</t>
  </si>
  <si>
    <t>The number of graduates employed full-time (30 or more hours per week) in temporary/contract work assignments - working for one client but is working on a specific project, which has a limited timeframe after which he/she is not likely to be employed by that client</t>
  </si>
  <si>
    <t>The number of graduates employed full-time (30 or more hours per week) as freelance - someone who develops his own project, completes it, and sells it to a client, e.g. an artist or journalist</t>
  </si>
  <si>
    <t>The number of graduates employed part-time (less than 30 hours per week) as freelance - someone who develops his own project, completes it, and sells it to a client, e.g. an artist or journalist</t>
  </si>
  <si>
    <t>The number of graduates employed full-time (30 or more hours per week) in postgraduate internships or fellowships</t>
  </si>
  <si>
    <t>The number of graduates employed full-time (less than 30 hours per week) in postgraduate internships or fellowships</t>
  </si>
  <si>
    <t># Fellowship or Postdoctoral program FT</t>
  </si>
  <si>
    <t># Fellowship or Postdoctoral program PT</t>
  </si>
  <si>
    <t># Faculty Non-Tenure Track</t>
  </si>
  <si>
    <t># Faculty Tenure Track</t>
  </si>
  <si>
    <t>The number of graduates in service programs (e.g. Peace Corps, AmeriCorps, etc.)</t>
  </si>
  <si>
    <t># Military Service</t>
  </si>
  <si>
    <t>The number of graduates enrolled in continuing education (includes certification programs as well as degree programs)</t>
  </si>
  <si>
    <t>The number of graduates seeking employment (should not include any graduate currently employed or enrolled in an educational program)</t>
  </si>
  <si>
    <t>The number of graduates seeking continuing education (should not include any graduate currently employed or enrolled in an educational program)</t>
  </si>
  <si>
    <t xml:space="preserve">Enter aggregated outcomes for graduates in Associate Degree academic programs. </t>
  </si>
  <si>
    <t xml:space="preserve">Enter aggregated outcomes for graduates in Bachelor Degree academic programs. </t>
  </si>
  <si>
    <t xml:space="preserve">Enter aggregated outcomes for graduates in Master's Degree academic programs. </t>
  </si>
  <si>
    <t xml:space="preserve">Enter aggregated outcomes for graduates in Doctoral Degree academic programs. </t>
  </si>
  <si>
    <t>Institution Name</t>
  </si>
  <si>
    <t>Associate's Summary</t>
  </si>
  <si>
    <t>Bachelor's Summary</t>
  </si>
  <si>
    <t>Master's Summary</t>
  </si>
  <si>
    <t>Ph.D. Summary</t>
  </si>
  <si>
    <t>Program Data - Bachelor's</t>
  </si>
  <si>
    <t>Program Data - Associate's</t>
  </si>
  <si>
    <t>Program Data - Master's</t>
  </si>
  <si>
    <t>Program Data - Doctoral</t>
  </si>
  <si>
    <t>Definitions</t>
  </si>
  <si>
    <t>Questions?</t>
  </si>
  <si>
    <r>
      <rPr>
        <sz val="12"/>
        <rFont val="Calibri"/>
        <family val="2"/>
      </rPr>
      <t xml:space="preserve">EMAIL ADDRESS: </t>
    </r>
    <r>
      <rPr>
        <sz val="12"/>
        <color indexed="12"/>
        <rFont val="Calibri"/>
        <family val="2"/>
      </rPr>
      <t>research@naceweb.org</t>
    </r>
  </si>
  <si>
    <r>
      <t xml:space="preserve">SUBJECT LINE: </t>
    </r>
    <r>
      <rPr>
        <sz val="12"/>
        <color indexed="12"/>
        <rFont val="Calibri"/>
        <family val="2"/>
      </rPr>
      <t xml:space="preserve">NACE First-Destination Survey: Data from </t>
    </r>
    <r>
      <rPr>
        <sz val="12"/>
        <color indexed="10"/>
        <rFont val="Calibri"/>
        <family val="2"/>
      </rPr>
      <t>&lt;insert your school name&gt;</t>
    </r>
  </si>
  <si>
    <t>Here is the list of tabs available in this spreadsheet:</t>
  </si>
  <si>
    <t>If you have any questions on the use of this template, please contact NACE Research at:</t>
  </si>
  <si>
    <r>
      <rPr>
        <sz val="12"/>
        <rFont val="Calibri"/>
        <family val="2"/>
      </rPr>
      <t>EMAIL:</t>
    </r>
    <r>
      <rPr>
        <sz val="12"/>
        <color indexed="12"/>
        <rFont val="Calibri"/>
        <family val="2"/>
      </rPr>
      <t xml:space="preserve"> research@naceweb.org</t>
    </r>
  </si>
  <si>
    <r>
      <t xml:space="preserve">PHONE: </t>
    </r>
    <r>
      <rPr>
        <sz val="12"/>
        <color indexed="12"/>
        <rFont val="Calibri"/>
        <family val="2"/>
      </rPr>
      <t>610.625.1025</t>
    </r>
  </si>
  <si>
    <t>To submit your data, email your completed file to:</t>
  </si>
  <si>
    <t>Thank you for participating in this year's First-Destination Survey!</t>
  </si>
  <si>
    <t xml:space="preserve">Please enter aggregated outcomes data for all students receiving an associate’s degree in the class of 2018 (please note: dual or multiple majors should be counted only once on this page). </t>
  </si>
  <si>
    <t xml:space="preserve">Please enter aggregated outcomes data for all students receiving a bachelor's degree in the class of 2018 (please note: dual or multiple majors should be counted only once on this page). </t>
  </si>
  <si>
    <t xml:space="preserve">Please enter aggregated outcomes data for all students receiving a master's degree in the class of 2018 (please note: dual or multiple majors should be counted only once on this page). </t>
  </si>
  <si>
    <t xml:space="preserve">Please enter aggregated outcomes data for all students receiving a doctoral degree in the class of 2018 (please note: dual or multiple majors should be counted only once on this page). </t>
  </si>
  <si>
    <t xml:space="preserve">CIP Code </t>
  </si>
  <si>
    <t>Example: 14.02</t>
  </si>
  <si>
    <t>CIP Code</t>
  </si>
  <si>
    <t>The (CIP) Classification of Instructional Programs is a code system of instructional programs with the purpose to facilitate the organization, collection, and reporting of fields of study and program completions. Most of the CIP titles correspond to academic and occupational instructional programs offered for credit at the postsecondary level. For a current list, go to https://nces.ed.gov/ipeds/cipcode</t>
  </si>
  <si>
    <t>CIPFamily</t>
  </si>
  <si>
    <t>CIPCode</t>
  </si>
  <si>
    <t>CIPTitle</t>
  </si>
  <si>
    <t>AGRICULTURE, AGRICULTURE OPERATIONS, AND RELATED SCIENCES.</t>
  </si>
  <si>
    <t>Agriculture, General.</t>
  </si>
  <si>
    <t>Agricultural Business and Management.</t>
  </si>
  <si>
    <t>Agricultural Business and Management, General.</t>
  </si>
  <si>
    <t>Agribusiness/Agricultural Business Operations.</t>
  </si>
  <si>
    <t>Agricultural Economics.</t>
  </si>
  <si>
    <t>Farm/Farm and Ranch Management.</t>
  </si>
  <si>
    <t>Agricultural/Farm Supplies Retailing and Wholesaling.</t>
  </si>
  <si>
    <t>Agricultural Business Technology.</t>
  </si>
  <si>
    <t>Agricultural Business and Management, Other.</t>
  </si>
  <si>
    <t>Agricultural Mechanization.</t>
  </si>
  <si>
    <t>Agricultural Mechanization, General.</t>
  </si>
  <si>
    <t>Agricultural Power Machinery Operation.</t>
  </si>
  <si>
    <t>Agricultural Mechanics and Equipment/Machine Technology.</t>
  </si>
  <si>
    <t>Agricultural Mechanization, Other.</t>
  </si>
  <si>
    <t>Agricultural Production Operations.</t>
  </si>
  <si>
    <t>Agricultural Production Operations, General.</t>
  </si>
  <si>
    <t>Animal/Livestock Husbandry and Production.</t>
  </si>
  <si>
    <t>Aquaculture.</t>
  </si>
  <si>
    <t>Crop Production.</t>
  </si>
  <si>
    <t>Dairy Husbandry and Production.</t>
  </si>
  <si>
    <t>Horse Husbandry/Equine Science and Management.</t>
  </si>
  <si>
    <t>Agroecology and Sustainable Agriculture.</t>
  </si>
  <si>
    <t>Viticulture and Enology.</t>
  </si>
  <si>
    <t>Agricultural Production Operations, Other.</t>
  </si>
  <si>
    <t>Agricultural and Food Products Processing.</t>
  </si>
  <si>
    <t>Agricultural and Domestic Animal Services.</t>
  </si>
  <si>
    <t>Dog/Pet/Animal Grooming.</t>
  </si>
  <si>
    <t>Animal Training.</t>
  </si>
  <si>
    <t>Equestrian/Equine Studies.</t>
  </si>
  <si>
    <t>Taxidermy/Taxidermist.</t>
  </si>
  <si>
    <t>Agricultural and Domestic Animal Services, Other.</t>
  </si>
  <si>
    <t>Applied Horticulture and Horticultural Business Services.</t>
  </si>
  <si>
    <t>Applied Horticulture/Horticulture Operations, General.</t>
  </si>
  <si>
    <t>Ornamental Horticulture.</t>
  </si>
  <si>
    <t>Greenhouse Operations and Management.</t>
  </si>
  <si>
    <t>Landscaping and Groundskeeping.</t>
  </si>
  <si>
    <t>Plant Nursery Operations and Management.</t>
  </si>
  <si>
    <t>Turf and Turfgrass Management.</t>
  </si>
  <si>
    <t>Floriculture/Floristry Operations and Management.</t>
  </si>
  <si>
    <t>Applied Horticulture/Horticultural Business Services, Other.</t>
  </si>
  <si>
    <t>International Agriculture.</t>
  </si>
  <si>
    <t>Agricultural Public Services.</t>
  </si>
  <si>
    <t>Agricultural and Extension Education Services.</t>
  </si>
  <si>
    <t>Agricultural Communication/Journalism.</t>
  </si>
  <si>
    <t>Agricultural Public Services, Other.</t>
  </si>
  <si>
    <t>Animal Sciences.</t>
  </si>
  <si>
    <t>Animal Sciences, General.</t>
  </si>
  <si>
    <t>Agricultural Animal Breeding.</t>
  </si>
  <si>
    <t>Animal Health.</t>
  </si>
  <si>
    <t>Animal Nutrition.</t>
  </si>
  <si>
    <t>Dairy Science.</t>
  </si>
  <si>
    <t>Livestock Management.</t>
  </si>
  <si>
    <t>Poultry Science.</t>
  </si>
  <si>
    <t>Animal Sciences, Other.</t>
  </si>
  <si>
    <t>Food Science and Technology.</t>
  </si>
  <si>
    <t>Food Science.</t>
  </si>
  <si>
    <t>Food Technology and Processing.</t>
  </si>
  <si>
    <t>Food Science and Technology, Other.</t>
  </si>
  <si>
    <t>Plant Sciences.</t>
  </si>
  <si>
    <t>Plant Sciences, General.</t>
  </si>
  <si>
    <t>Agronomy and Crop Science.</t>
  </si>
  <si>
    <t>Horticultural Science.</t>
  </si>
  <si>
    <t>Agricultural and Horticultural Plant Breeding.</t>
  </si>
  <si>
    <t>Plant Protection and Integrated Pest Management.</t>
  </si>
  <si>
    <t>Range Science and Management.</t>
  </si>
  <si>
    <t>Plant Sciences, Other.</t>
  </si>
  <si>
    <t>Soil Sciences.</t>
  </si>
  <si>
    <t>Soil Science and Agronomy, General.</t>
  </si>
  <si>
    <t>Soil Chemistry and Physics.</t>
  </si>
  <si>
    <t>Soil Microbiology.</t>
  </si>
  <si>
    <t>Soil Sciences, Other.</t>
  </si>
  <si>
    <t>Agriculture, Agriculture Operations, and Related Sciences, Other.</t>
  </si>
  <si>
    <t>NATURAL RESOURCES AND CONSERVATION.</t>
  </si>
  <si>
    <t>Natural Resources Conservation and Research.</t>
  </si>
  <si>
    <t>Natural Resources/Conservation, General.</t>
  </si>
  <si>
    <t>Environmental Studies.</t>
  </si>
  <si>
    <t>Environmental Science.</t>
  </si>
  <si>
    <t>Natural Resources Conservation and Research, Other.</t>
  </si>
  <si>
    <t>Natural Resources Management and Policy.</t>
  </si>
  <si>
    <t>Natural Resource Economics.</t>
  </si>
  <si>
    <t>Water, Wetlands, and Marine Resources Management.</t>
  </si>
  <si>
    <t>Land Use Planning and Management/Development.</t>
  </si>
  <si>
    <t>Natural Resource Recreation and Tourism.</t>
  </si>
  <si>
    <t>Natural Resources Law Enforcement and Protective Services.</t>
  </si>
  <si>
    <t>Natural Resources Management and Policy, Other.</t>
  </si>
  <si>
    <t>Fishing and Fisheries Sciences and Management.</t>
  </si>
  <si>
    <t>Forestry.</t>
  </si>
  <si>
    <t>Forestry, General.</t>
  </si>
  <si>
    <t>Forest Sciences and Biology.</t>
  </si>
  <si>
    <t>Forest Management/Forest Resources Management.</t>
  </si>
  <si>
    <t>Urban Forestry.</t>
  </si>
  <si>
    <t>Wood Science and Wood Products/Pulp and Paper Technology.</t>
  </si>
  <si>
    <t>Forest Resources Production and Management.</t>
  </si>
  <si>
    <t>Forest Technology/Technician.</t>
  </si>
  <si>
    <t>Forestry, Other.</t>
  </si>
  <si>
    <t>Wildlife and Wildlands Science and Management.</t>
  </si>
  <si>
    <t>Natural Resources and Conservation, Other.</t>
  </si>
  <si>
    <t>ARCHITECTURE AND RELATED SERVICES.</t>
  </si>
  <si>
    <t>Architecture.</t>
  </si>
  <si>
    <t>City/Urban, Community and Regional Planning.</t>
  </si>
  <si>
    <t>Environmental Design.</t>
  </si>
  <si>
    <t>Interior Architecture.</t>
  </si>
  <si>
    <t>Landscape Architecture.</t>
  </si>
  <si>
    <t>Architectural History and Criticism.</t>
  </si>
  <si>
    <t>Architectural Sciences and Technology.</t>
  </si>
  <si>
    <t>Architectural Technology/Technician.</t>
  </si>
  <si>
    <t>Architectural and Building Sciences/Technology.</t>
  </si>
  <si>
    <t>Architectural Sciences and Technology, Other.</t>
  </si>
  <si>
    <t>Real Estate Development.</t>
  </si>
  <si>
    <t>Architecture and Related Services, Other.</t>
  </si>
  <si>
    <t>AREA, ETHNIC, CULTURAL, GENDER, AND GROUP STUDIES.</t>
  </si>
  <si>
    <t>Area Studies.</t>
  </si>
  <si>
    <t>African Studies.</t>
  </si>
  <si>
    <t>American/United States Studies/Civilization.</t>
  </si>
  <si>
    <t>Asian Studies/Civilization.</t>
  </si>
  <si>
    <t>East Asian Studies.</t>
  </si>
  <si>
    <t>Russian, Central European, East European and Eurasian Studies.</t>
  </si>
  <si>
    <t>European Studies/Civilization.</t>
  </si>
  <si>
    <t>Latin American Studies.</t>
  </si>
  <si>
    <t>Near and Middle Eastern Studies.</t>
  </si>
  <si>
    <t>Pacific Area/Pacific Rim Studies.</t>
  </si>
  <si>
    <t>Russian Studies.</t>
  </si>
  <si>
    <t>Scandinavian Studies.</t>
  </si>
  <si>
    <t>South Asian Studies.</t>
  </si>
  <si>
    <t>Southeast Asian Studies.</t>
  </si>
  <si>
    <t>Western European Studies.</t>
  </si>
  <si>
    <t>Canadian Studies.</t>
  </si>
  <si>
    <t>Balkans Studies.</t>
  </si>
  <si>
    <t>Baltic Studies.</t>
  </si>
  <si>
    <t>Slavic Studies.</t>
  </si>
  <si>
    <t>Caribbean Studies.</t>
  </si>
  <si>
    <t>Ural-Altaic and Central Asian Studies.</t>
  </si>
  <si>
    <t>Commonwealth Studies.</t>
  </si>
  <si>
    <t>Regional Studies (U.S., Canadian, Foreign)</t>
  </si>
  <si>
    <t>Chinese Studies.</t>
  </si>
  <si>
    <t>French Studies.</t>
  </si>
  <si>
    <t>German Studies.</t>
  </si>
  <si>
    <t>Italian Studies.</t>
  </si>
  <si>
    <t>Japanese Studies.</t>
  </si>
  <si>
    <t>Korean Studies.</t>
  </si>
  <si>
    <t>Polish Studies.</t>
  </si>
  <si>
    <t>Spanish and Iberian Studies.</t>
  </si>
  <si>
    <t>Tibetan Studies.</t>
  </si>
  <si>
    <t>Ukraine Studies.</t>
  </si>
  <si>
    <t>Irish Studies.</t>
  </si>
  <si>
    <t>Latin American and Caribbean Studies.</t>
  </si>
  <si>
    <t>Area Studies, Other.</t>
  </si>
  <si>
    <t>Ethnic, Cultural Minority, Gender, and Group Studies.</t>
  </si>
  <si>
    <t>Ethnic Studies.</t>
  </si>
  <si>
    <t>African-American/Black Studies.</t>
  </si>
  <si>
    <t>American Indian/Native American Studies.</t>
  </si>
  <si>
    <t>Hispanic-American, Puerto Rican, and Mexican-American/Chicano Studies.</t>
  </si>
  <si>
    <t>Asian-American Studies.</t>
  </si>
  <si>
    <t>Women's Studies.</t>
  </si>
  <si>
    <t>Gay/Lesbian Studies.</t>
  </si>
  <si>
    <t>Folklore Studies.</t>
  </si>
  <si>
    <t>Disability Studies.</t>
  </si>
  <si>
    <t>Deaf Studies.</t>
  </si>
  <si>
    <t>Ethnic, Cultural Minority, Gender, and Group Studies, Other.</t>
  </si>
  <si>
    <t>COMMUNICATION, JOURNALISM, AND RELATED PROGRAMS.</t>
  </si>
  <si>
    <t>Communication and Media Studies.</t>
  </si>
  <si>
    <t>Communication, General.</t>
  </si>
  <si>
    <t>Speech Communication and Rhetoric.</t>
  </si>
  <si>
    <t>Mass Communication/Media Studies.</t>
  </si>
  <si>
    <t>Communication and Media Studies, Other.</t>
  </si>
  <si>
    <t>Journalism.</t>
  </si>
  <si>
    <t>Broadcast Journalism.</t>
  </si>
  <si>
    <t>Photojournalism.</t>
  </si>
  <si>
    <t>Journalism, Other.</t>
  </si>
  <si>
    <t>Radio, Television, and Digital Communication.</t>
  </si>
  <si>
    <t>Radio and Television.</t>
  </si>
  <si>
    <t>Digital Communication and Media/Multimedia.</t>
  </si>
  <si>
    <t>Radio, Television, and Digital Communication, Other.</t>
  </si>
  <si>
    <t>Public Relations, Advertising, and Applied Communication.</t>
  </si>
  <si>
    <t>Organizational Communication, General.</t>
  </si>
  <si>
    <t>Public Relations/Image Management.</t>
  </si>
  <si>
    <t>Advertising.</t>
  </si>
  <si>
    <t>Political Communication.</t>
  </si>
  <si>
    <t>Health Communication.</t>
  </si>
  <si>
    <t>Sports Communication.</t>
  </si>
  <si>
    <t>International and Intercultural Communication.</t>
  </si>
  <si>
    <t>Technical and Scientific Communication.</t>
  </si>
  <si>
    <t>Public Relations, Advertising, and Applied Communication, Other</t>
  </si>
  <si>
    <t>Publishing.</t>
  </si>
  <si>
    <t>Communication, Journalism, and Related Programs, Other.</t>
  </si>
  <si>
    <t>COMMUNICATIONS TECHNOLOGIES/TECHNICIANS AND SUPPORT SERVICES.</t>
  </si>
  <si>
    <t>Communications Technology/Technician.</t>
  </si>
  <si>
    <t>Audiovisual Communications Technologies/Technicians.</t>
  </si>
  <si>
    <t>Photographic and Film/Video Technology/Technician and Assistant.</t>
  </si>
  <si>
    <t>Radio and Television Broadcasting Technology/Technician.</t>
  </si>
  <si>
    <t>Recording Arts Technology/Technician.</t>
  </si>
  <si>
    <t>Audiovisual Communications Technologies/Technicians, Other.</t>
  </si>
  <si>
    <t>Graphic Communications.</t>
  </si>
  <si>
    <t>Graphic Communications, General.</t>
  </si>
  <si>
    <t>Printing Management.</t>
  </si>
  <si>
    <t>Prepress/Desktop Publishing and Digital Imaging Design.</t>
  </si>
  <si>
    <t>Animation, Interactive Technology, Video Graphics and Special Effects.</t>
  </si>
  <si>
    <t>Graphic and Printing Equipment Operator, General Production.</t>
  </si>
  <si>
    <t>Platemaker/Imager.</t>
  </si>
  <si>
    <t>Printing Press Operator.</t>
  </si>
  <si>
    <t>Computer Typography and Composition Equipment Operator.</t>
  </si>
  <si>
    <t>Graphic Communications, Other.</t>
  </si>
  <si>
    <t>Communications Technologies/Technicians and Support Services, Other.</t>
  </si>
  <si>
    <t>COMPUTER AND INFORMATION SCIENCES AND SUPPORT SERVICES.</t>
  </si>
  <si>
    <t>Computer and Information Sciences, General.</t>
  </si>
  <si>
    <t>Artificial Intelligence.</t>
  </si>
  <si>
    <t>Information Technology.</t>
  </si>
  <si>
    <t>Informatics.</t>
  </si>
  <si>
    <t>Computer and Information Sciences,  Other.</t>
  </si>
  <si>
    <t>Computer Programming.</t>
  </si>
  <si>
    <t>Computer Programming/Programmer, General.</t>
  </si>
  <si>
    <t>Computer Programming, Specific Applications.</t>
  </si>
  <si>
    <t>Computer Programming, Vendor/Product Certification.</t>
  </si>
  <si>
    <t>Computer Programming, Other.</t>
  </si>
  <si>
    <t>Data Processing.</t>
  </si>
  <si>
    <t>Information Science/Studies.</t>
  </si>
  <si>
    <t>Computer Systems Analysis.</t>
  </si>
  <si>
    <t>Data Entry/Microcomputer Applications.</t>
  </si>
  <si>
    <t>Data Entry/Microcomputer Applications, General.</t>
  </si>
  <si>
    <t>Word Processing.</t>
  </si>
  <si>
    <t>Data Entry/Microcomputer Applications, Other.</t>
  </si>
  <si>
    <t>Computer Science.</t>
  </si>
  <si>
    <t>Computer Software and Media Applications.</t>
  </si>
  <si>
    <t>Web Page, Digital/Multimedia and Information Resources Design.</t>
  </si>
  <si>
    <t>Data Modeling/Warehousing and Database Administration.</t>
  </si>
  <si>
    <t>Computer Graphics.</t>
  </si>
  <si>
    <t>Modeling, Virtual Environments and Simulation.</t>
  </si>
  <si>
    <t>Computer Software and Media Applications, Other.</t>
  </si>
  <si>
    <t>Computer Systems Networking and Telecommunications.</t>
  </si>
  <si>
    <t>Computer/Information Technology Administration and Management.</t>
  </si>
  <si>
    <t>Network and System Administration/Administrator.</t>
  </si>
  <si>
    <t>System, Networking, and LAN/WAN Management/Manager.</t>
  </si>
  <si>
    <t>Computer and Information Systems Security/Information Assurance.</t>
  </si>
  <si>
    <t>Web/Multimedia Management and Webmaster.</t>
  </si>
  <si>
    <t>Information Technology Project Management.</t>
  </si>
  <si>
    <t>Computer Support Specialist.</t>
  </si>
  <si>
    <t>Computer/Information Technology Services Administration and Management, Other.</t>
  </si>
  <si>
    <t>Computer and Information Sciences and Support Services, Other.</t>
  </si>
  <si>
    <t>PERSONAL AND CULINARY SERVICES.</t>
  </si>
  <si>
    <t>Funeral Service and Mortuary Science.</t>
  </si>
  <si>
    <t>Funeral Service and Mortuary Science, General.</t>
  </si>
  <si>
    <t>Funeral Direction/Service.</t>
  </si>
  <si>
    <t>Mortuary Science and Embalming/Embalmer.</t>
  </si>
  <si>
    <t>Funeral Service and Mortuary Science, Other.</t>
  </si>
  <si>
    <t>Cosmetology and Related Personal Grooming Services.</t>
  </si>
  <si>
    <t>Cosmetology/Cosmetologist, General.</t>
  </si>
  <si>
    <t>Barbering/Barber.</t>
  </si>
  <si>
    <t>Electrolysis/Electrology and Electrolysis Technician.</t>
  </si>
  <si>
    <t>Make-Up Artist/Specialist.</t>
  </si>
  <si>
    <t>Hair Styling/Stylist and Hair Design.</t>
  </si>
  <si>
    <t>Facial Treatment Specialist/Facialist.</t>
  </si>
  <si>
    <t>Aesthetician/Esthetician and Skin Care Specialist.</t>
  </si>
  <si>
    <t>Nail Technician/Specialist and Manicurist.</t>
  </si>
  <si>
    <t>Permanent Cosmetics/Makeup and Tattooing.</t>
  </si>
  <si>
    <t>Salon/Beauty Salon Management/Manager.</t>
  </si>
  <si>
    <t>Cosmetology, Barber/Styling, and Nail Instructor.</t>
  </si>
  <si>
    <t>Master Aesthetician/Esthetician.</t>
  </si>
  <si>
    <t>Cosmetology and Related Personal Grooming Arts, Other.</t>
  </si>
  <si>
    <t>Culinary Arts and Related Services.</t>
  </si>
  <si>
    <t>Cooking and Related Culinary Arts, General.</t>
  </si>
  <si>
    <t>Baking and Pastry Arts/Baker/Pastry Chef.</t>
  </si>
  <si>
    <t>Bartending/Bartender.</t>
  </si>
  <si>
    <t>Culinary Arts/Chef Training.</t>
  </si>
  <si>
    <t>Restaurant, Culinary, and Catering Management/Manager.</t>
  </si>
  <si>
    <t>Food Preparation/Professional Cooking/Kitchen Assistant.</t>
  </si>
  <si>
    <t>Meat Cutting/Meat Cutter.</t>
  </si>
  <si>
    <t>Food Service, Waiter/Waitress, and Dining Room Management/Manager.</t>
  </si>
  <si>
    <t>Institutional Food Workers.</t>
  </si>
  <si>
    <t>Culinary Science/Culinology.</t>
  </si>
  <si>
    <t>Wine Steward/Sommelier.</t>
  </si>
  <si>
    <t>Culinary Arts and Related Services, Other.</t>
  </si>
  <si>
    <t>Personal and Culinary Services, Other.</t>
  </si>
  <si>
    <t>EDUCATION.</t>
  </si>
  <si>
    <t>Education, General.</t>
  </si>
  <si>
    <t>Bilingual, Multilingual, and Multicultural Education.</t>
  </si>
  <si>
    <t>Bilingual and Multilingual Education.</t>
  </si>
  <si>
    <t>Multicultural Education.</t>
  </si>
  <si>
    <t>Indian/Native American Education.</t>
  </si>
  <si>
    <t>Bilingual, Multilingual, and Multicultural Education, Other.</t>
  </si>
  <si>
    <t>Curriculum and Instruction.</t>
  </si>
  <si>
    <t>Educational Administration and Supervision.</t>
  </si>
  <si>
    <t>Educational Leadership and Administration, General.</t>
  </si>
  <si>
    <t>Administration of Special Education.</t>
  </si>
  <si>
    <t>Adult and Continuing Education Administration.</t>
  </si>
  <si>
    <t>Educational, Instructional, and Curriculum Supervision.</t>
  </si>
  <si>
    <t>Higher Education/Higher Education Administration.</t>
  </si>
  <si>
    <t>Community College Education.</t>
  </si>
  <si>
    <t>Elementary and Middle School Administration/Principalship.</t>
  </si>
  <si>
    <t>Secondary School Administration/Principalship.</t>
  </si>
  <si>
    <t>Urban Education and Leadership.</t>
  </si>
  <si>
    <t>Superintendency and Educational System Administration.</t>
  </si>
  <si>
    <t>Educational Administration and Supervision, Other.</t>
  </si>
  <si>
    <t>Educational/Instructional Media Design.</t>
  </si>
  <si>
    <t>Educational Assessment, Evaluation, and Research.</t>
  </si>
  <si>
    <t>Educational Evaluation and Research.</t>
  </si>
  <si>
    <t>Educational Statistics and Research Methods.</t>
  </si>
  <si>
    <t>Educational Assessment, Testing, and Measurement.</t>
  </si>
  <si>
    <t>Learning Sciences.</t>
  </si>
  <si>
    <t>Educational Assessment, Evaluation, and Research, Other.</t>
  </si>
  <si>
    <t>International and Comparative Education.</t>
  </si>
  <si>
    <t>Social and Philosophical Foundations of Education.</t>
  </si>
  <si>
    <t>Special Education and Teaching.</t>
  </si>
  <si>
    <t>Special Education and Teaching, General.</t>
  </si>
  <si>
    <t>Education/Teaching of Individuals with Hearing Impairments Including Deafness.</t>
  </si>
  <si>
    <t>Education/Teaching of the Gifted and Talented.</t>
  </si>
  <si>
    <t>Education/Teaching of Individuals with Emotional Disturbances.</t>
  </si>
  <si>
    <t>Education/Teaching of Individuals with Mental Retardation.</t>
  </si>
  <si>
    <t>Education/Teaching of Individuals with Multiple Disabilities.</t>
  </si>
  <si>
    <t>Education/Teaching of Individuals with Orthopedic and Other Physical Health Impairments.</t>
  </si>
  <si>
    <t>Education/Teaching of Individuals with Vision Impairments Including Blindness.</t>
  </si>
  <si>
    <t>Education/Teaching of Individuals with Specific Learning Disabilities.</t>
  </si>
  <si>
    <t>Education/Teaching of Individuals with Speech or Language Impairments.</t>
  </si>
  <si>
    <t>Education/Teaching of Individuals with Autism.</t>
  </si>
  <si>
    <t>Education/Teaching of Individuals Who are Developmentally Delayed.</t>
  </si>
  <si>
    <t>Education/Teaching of Individuals in Early Childhood Special Education Programs.</t>
  </si>
  <si>
    <t>Education/Teaching of Individuals with Traumatic Brain Injuries.</t>
  </si>
  <si>
    <t>Education/Teaching of Individuals in Elementary Special Education Programs.</t>
  </si>
  <si>
    <t>Education/Teaching of Individuals in Junior High/Middle School Special Education Programs.</t>
  </si>
  <si>
    <t>Education/Teaching of Individuals in Secondary Special Education Programs.</t>
  </si>
  <si>
    <t>Special Education and Teaching, Other.</t>
  </si>
  <si>
    <t>Student Counseling and Personnel Services.</t>
  </si>
  <si>
    <t>Counselor Education/School Counseling and Guidance Services.</t>
  </si>
  <si>
    <t>College Student Counseling and Personnel Services.</t>
  </si>
  <si>
    <t>Student Counseling and Personnel Services, Other.</t>
  </si>
  <si>
    <t>Teacher Education and Professional Development, Specific Levels and Methods.</t>
  </si>
  <si>
    <t>Adult and Continuing Education and Teaching.</t>
  </si>
  <si>
    <t>Elementary Education and Teaching.</t>
  </si>
  <si>
    <t>Junior High/Intermediate/Middle School Education and Teaching.</t>
  </si>
  <si>
    <t>Secondary Education and Teaching.</t>
  </si>
  <si>
    <t>Teacher Education, Multiple Levels.</t>
  </si>
  <si>
    <t>Montessori Teacher Education.</t>
  </si>
  <si>
    <t>Waldorf/Steiner Teacher Education.</t>
  </si>
  <si>
    <t>Kindergarten/Preschool Education and Teaching.</t>
  </si>
  <si>
    <t>Early Childhood Education and Teaching.</t>
  </si>
  <si>
    <t>Teacher Education and Professional Development, Specific Levels and Methods, Other.</t>
  </si>
  <si>
    <t>Teacher Education and Professional Development, Specific Subject Areas.</t>
  </si>
  <si>
    <t>Agricultural Teacher Education.</t>
  </si>
  <si>
    <t>Art Teacher Education.</t>
  </si>
  <si>
    <t>Business Teacher Education.</t>
  </si>
  <si>
    <t>Driver and Safety Teacher Education.</t>
  </si>
  <si>
    <t>English/Language Arts Teacher Education.</t>
  </si>
  <si>
    <t>Foreign Language Teacher  Education.</t>
  </si>
  <si>
    <t>Health Teacher Education.</t>
  </si>
  <si>
    <t>Family and Consumer Sciences/Home Economics Teacher Education.</t>
  </si>
  <si>
    <t>Technology Teacher Education/Industrial Arts Teacher Education.</t>
  </si>
  <si>
    <t>Sales and Marketing Operations/Marketing and Distribution   Teacher Education.</t>
  </si>
  <si>
    <t>Mathematics Teacher Education.</t>
  </si>
  <si>
    <t>Music Teacher Education.</t>
  </si>
  <si>
    <t>Physical Education Teaching and Coaching.</t>
  </si>
  <si>
    <t>Reading Teacher Education.</t>
  </si>
  <si>
    <t>Science Teacher Education/General Science Teacher Education.</t>
  </si>
  <si>
    <t>Social Science Teacher Education.</t>
  </si>
  <si>
    <t>Social Studies Teacher Education.</t>
  </si>
  <si>
    <t>Technical Teacher Education.</t>
  </si>
  <si>
    <t>Trade and Industrial Teacher Education.</t>
  </si>
  <si>
    <t>Computer Teacher Education.</t>
  </si>
  <si>
    <t>Biology Teacher Education.</t>
  </si>
  <si>
    <t>Chemistry Teacher Education.</t>
  </si>
  <si>
    <t>Drama and Dance Teacher Education.</t>
  </si>
  <si>
    <t>French Language Teacher Education.</t>
  </si>
  <si>
    <t>German Language Teacher Education.</t>
  </si>
  <si>
    <t>Health Occupations Teacher Education.</t>
  </si>
  <si>
    <t>History Teacher Education.</t>
  </si>
  <si>
    <t>Physics Teacher Education.</t>
  </si>
  <si>
    <t>Spanish Language Teacher Education.</t>
  </si>
  <si>
    <t>Speech Teacher Education.</t>
  </si>
  <si>
    <t>Geography Teacher Education.</t>
  </si>
  <si>
    <t>Latin Teacher Education.</t>
  </si>
  <si>
    <t>School Librarian/School Library Media Specialist.</t>
  </si>
  <si>
    <t>Psychology Teacher Education.</t>
  </si>
  <si>
    <t>Earth Science Teacher Education.</t>
  </si>
  <si>
    <t>Environmental Education.</t>
  </si>
  <si>
    <t>Teacher Education and Professional Development, Specific Subject Areas, Other.</t>
  </si>
  <si>
    <t>Teaching English or French as a Second or Foreign Language.</t>
  </si>
  <si>
    <t>Teaching English as a Second or Foreign Language/ESL Language Instructor.</t>
  </si>
  <si>
    <t>Teaching French as a Second or Foreign Language.</t>
  </si>
  <si>
    <t>Teaching English or French as a Second or Foreign Language, Other.</t>
  </si>
  <si>
    <t>Teaching Assistants/Aides.</t>
  </si>
  <si>
    <t>Teacher Assistant/Aide.</t>
  </si>
  <si>
    <t>Adult Literacy Tutor/Instructor.</t>
  </si>
  <si>
    <t>Teaching Assistants/Aides, Other.</t>
  </si>
  <si>
    <t>Education, Other.</t>
  </si>
  <si>
    <t>ENGINEERING.</t>
  </si>
  <si>
    <t>Engineering, General.</t>
  </si>
  <si>
    <t>Pre-Engineering.</t>
  </si>
  <si>
    <t>Aerospace, Aeronautical and Astronautical Engineering.</t>
  </si>
  <si>
    <t>Agricultural Engineering.</t>
  </si>
  <si>
    <t>Architectural Engineering.</t>
  </si>
  <si>
    <t>Biomedical/Medical Engineering.</t>
  </si>
  <si>
    <t>Ceramic Sciences and Engineering.</t>
  </si>
  <si>
    <t>Chemical Engineering.</t>
  </si>
  <si>
    <t>Chemical and Biomolecular Engineering.</t>
  </si>
  <si>
    <t>Chemical Engineering, Other.</t>
  </si>
  <si>
    <t>Civil Engineering.</t>
  </si>
  <si>
    <t>Civil Engineering, General.</t>
  </si>
  <si>
    <t>Geotechnical and Geoenvironmental Engineering.</t>
  </si>
  <si>
    <t>Structural Engineering.</t>
  </si>
  <si>
    <t>Transportation and Highway Engineering.</t>
  </si>
  <si>
    <t>Water Resources Engineering.</t>
  </si>
  <si>
    <t>Civil Engineering, Other.</t>
  </si>
  <si>
    <t>Computer Engineering.</t>
  </si>
  <si>
    <t>Computer Engineering, General.</t>
  </si>
  <si>
    <t>Computer Hardware Engineering.</t>
  </si>
  <si>
    <t>Computer Software Engineering.</t>
  </si>
  <si>
    <t>Computer Engineering, Other.</t>
  </si>
  <si>
    <t>Electrical, Electronics and Communications Engineering.</t>
  </si>
  <si>
    <t>Electrical and Electronics Engineering</t>
  </si>
  <si>
    <t>Laser and Optical Engineering.</t>
  </si>
  <si>
    <t>Telecommunications Engineering.</t>
  </si>
  <si>
    <t>Electrical, Electronics and Communications Engineering, Other.</t>
  </si>
  <si>
    <t>Engineering Mechanics.</t>
  </si>
  <si>
    <t>Engineering Physics.</t>
  </si>
  <si>
    <t>Engineering Science.</t>
  </si>
  <si>
    <t>Environmental/Environmental Health Engineering.</t>
  </si>
  <si>
    <t>Materials Engineering</t>
  </si>
  <si>
    <t>Mechanical Engineering.</t>
  </si>
  <si>
    <t>Metallurgical Engineering.</t>
  </si>
  <si>
    <t>Mining and Mineral Engineering.</t>
  </si>
  <si>
    <t>Naval Architecture and Marine Engineering.</t>
  </si>
  <si>
    <t>Nuclear Engineering.</t>
  </si>
  <si>
    <t>Ocean Engineering.</t>
  </si>
  <si>
    <t>Petroleum Engineering.</t>
  </si>
  <si>
    <t>Systems Engineering.</t>
  </si>
  <si>
    <t>Textile Sciences and Engineering.</t>
  </si>
  <si>
    <t>Materials Science.</t>
  </si>
  <si>
    <t>Polymer/Plastics Engineering.</t>
  </si>
  <si>
    <t>Construction Engineering.</t>
  </si>
  <si>
    <t>Forest Engineering.</t>
  </si>
  <si>
    <t>Industrial Engineering.</t>
  </si>
  <si>
    <t>Manufacturing Engineering.</t>
  </si>
  <si>
    <t>Operations Research.</t>
  </si>
  <si>
    <t>Surveying Engineering.</t>
  </si>
  <si>
    <t>Geological/Geophysical Engineering.</t>
  </si>
  <si>
    <t>Paper Science and Engineering.</t>
  </si>
  <si>
    <t>Electromechanical Engineering.</t>
  </si>
  <si>
    <t>Mechatronics, Robotics, and Automation Engineering.</t>
  </si>
  <si>
    <t>Biochemical Engineering.</t>
  </si>
  <si>
    <t>Engineering Chemistry.</t>
  </si>
  <si>
    <t>Biological/Biosystems Engineering.</t>
  </si>
  <si>
    <t>Engineering, Other.</t>
  </si>
  <si>
    <t>ENGINEERING TECHNOLOGIES AND ENGINEERING-RELATED FIELDS.</t>
  </si>
  <si>
    <t>Engineering Technology, General.</t>
  </si>
  <si>
    <t>Architectural Engineering Technologies/Technicians.</t>
  </si>
  <si>
    <t>Civil Engineering Technologies/Technicians.</t>
  </si>
  <si>
    <t>Electrical Engineering Technologies/Technicians.</t>
  </si>
  <si>
    <t>Electrical, Electronic and Communications Engineering Technology/Technician.</t>
  </si>
  <si>
    <t>Laser and Optical Technology/Technician.</t>
  </si>
  <si>
    <t>Telecommunications Technology/Technician.</t>
  </si>
  <si>
    <t>Integrated Circuit Design.</t>
  </si>
  <si>
    <t>Electrical and Electronic Engineering Technologies/Technicians, Other.</t>
  </si>
  <si>
    <t>Electromechanical Instrumentation and Maintenance Technologies/Technicians.</t>
  </si>
  <si>
    <t>Biomedical Technology/Technician.</t>
  </si>
  <si>
    <t>Electromechanical Technology/Electromechanical Engineering Technology.</t>
  </si>
  <si>
    <t>Instrumentation Technology/Technician.</t>
  </si>
  <si>
    <t>Robotics Technology/Technician.</t>
  </si>
  <si>
    <t>Automation Engineer Technology/Technician.</t>
  </si>
  <si>
    <t>Electromechanical and Instrumentation and Maintenance Technologies/Technicians, Other.</t>
  </si>
  <si>
    <t>Environmental Control Technologies/Technicians.</t>
  </si>
  <si>
    <t>Heating, Ventilation, Air Conditioning and Refrigeration Engineering Technology/Technician.</t>
  </si>
  <si>
    <t>Energy Management and Systems Technology/Technician.</t>
  </si>
  <si>
    <t>Solar Energy Technology/Technician.</t>
  </si>
  <si>
    <t>Water Quality and Wastewater Treatment Management and Recycling Technology/Technician.</t>
  </si>
  <si>
    <t>Environmental Engineering Technology/Environmental Technology.</t>
  </si>
  <si>
    <t>Hazardous Materials Management and Waste Technology/Technician.</t>
  </si>
  <si>
    <t>Environmental Control Technologies/Technicians, Other.</t>
  </si>
  <si>
    <t>Industrial Production Technologies/Technicians.</t>
  </si>
  <si>
    <t>Plastics and Polymer Engineering Technology/Technician.</t>
  </si>
  <si>
    <t>Metallurgical Technology/Technician.</t>
  </si>
  <si>
    <t>Industrial Technology/Technician.</t>
  </si>
  <si>
    <t>Manufacturing Engineering Technology/Technician.</t>
  </si>
  <si>
    <t>Welding Engineering Technology/Technician.</t>
  </si>
  <si>
    <t>Chemical Engineering Technology/Technician.</t>
  </si>
  <si>
    <t>Semiconductor Manufacturing Technology.</t>
  </si>
  <si>
    <t>Industrial Production Technologies/Technicians, Other.</t>
  </si>
  <si>
    <t>Quality Control and Safety Technologies/Technicians.</t>
  </si>
  <si>
    <t>Occupational Safety and Health Technology/Technician.</t>
  </si>
  <si>
    <t>Quality Control Technology/Technician.</t>
  </si>
  <si>
    <t>Industrial Safety Technology/Technician.</t>
  </si>
  <si>
    <t>Hazardous Materials Information Systems Technology/Technician.</t>
  </si>
  <si>
    <t>Quality Control and Safety Technologies/Technicians, Other.</t>
  </si>
  <si>
    <t>Mechanical Engineering Related Technologies/Technicians.</t>
  </si>
  <si>
    <t>Aeronautical/Aerospace Engineering Technology/Technician.</t>
  </si>
  <si>
    <t>Automotive Engineering Technology/Technician.</t>
  </si>
  <si>
    <t>Mechanical Engineering/Mechanical Technology/Technician.</t>
  </si>
  <si>
    <t>Mechanical Engineering Related Technologies/Technicians, Other.</t>
  </si>
  <si>
    <t>Mining and Petroleum Technologies/Technicians.</t>
  </si>
  <si>
    <t>Mining Technology/Technician.</t>
  </si>
  <si>
    <t>Petroleum Technology/Technician.</t>
  </si>
  <si>
    <t>Mining and Petroleum Technologies/Technicians, Other.</t>
  </si>
  <si>
    <t>Construction Engineering Technologies.</t>
  </si>
  <si>
    <t>Engineering-Related Technologies.</t>
  </si>
  <si>
    <t>Surveying Technology/Surveying.</t>
  </si>
  <si>
    <t>Hydraulics and Fluid Power Technology/Technician.</t>
  </si>
  <si>
    <t>Engineering-Related Technologies, Other.</t>
  </si>
  <si>
    <t>Computer Engineering Technologies/Technicians.</t>
  </si>
  <si>
    <t>Computer Engineering Technology/Technician.</t>
  </si>
  <si>
    <t>Computer Technology/Computer Systems Technology.</t>
  </si>
  <si>
    <t>Computer Hardware Technology/Technician.</t>
  </si>
  <si>
    <t>Computer Software Technology/Technician.</t>
  </si>
  <si>
    <t>Computer Engineering Technologies/Technicians, Other.</t>
  </si>
  <si>
    <t>Drafting/Design Engineering Technologies/Technicians.</t>
  </si>
  <si>
    <t>Drafting and Design Technology/Technician, General.</t>
  </si>
  <si>
    <t>CAD/CADD Drafting and/or Design Technology/Technician.</t>
  </si>
  <si>
    <t>Architectural Drafting and Architectural CAD/CADD.</t>
  </si>
  <si>
    <t>Civil Drafting and Civil Engineering CAD/CADD.</t>
  </si>
  <si>
    <t>Electrical/Electronics Drafting and Electrical/Electronics CAD/CADD.</t>
  </si>
  <si>
    <t>Mechanical Drafting and Mechanical Drafting CAD/CADD.</t>
  </si>
  <si>
    <t>Drafting/Design Engineering Technologies/Technicians, Other.</t>
  </si>
  <si>
    <t>Nuclear Engineering Technologies/Technicians.</t>
  </si>
  <si>
    <t>Engineering-Related Fields.</t>
  </si>
  <si>
    <t>Engineering/Industrial Management.</t>
  </si>
  <si>
    <t>Engineering Design.</t>
  </si>
  <si>
    <t>Packaging Science.</t>
  </si>
  <si>
    <t>Engineering-Related Fields, Other.</t>
  </si>
  <si>
    <t>Nanotechnology.</t>
  </si>
  <si>
    <t>Engineering Technologies/Technicians, Other.</t>
  </si>
  <si>
    <t>FOREIGN LANGUAGES, LITERATURES, AND LINGUISTICS.</t>
  </si>
  <si>
    <t>Linguistic, Comparative, and Related Language Studies and Services.</t>
  </si>
  <si>
    <t>Foreign Languages and Literatures, General.</t>
  </si>
  <si>
    <t>Linguistics.</t>
  </si>
  <si>
    <t>Language Interpretation and Translation.</t>
  </si>
  <si>
    <t>Comparative Literature.</t>
  </si>
  <si>
    <t>Applied Linguistics.</t>
  </si>
  <si>
    <t>Linguistic, Comparative, and Related Language Studies and Services, Other.</t>
  </si>
  <si>
    <t>African Languages, Literatures, and Linguistics.</t>
  </si>
  <si>
    <t>East Asian Languages, Literatures, and Linguistics.</t>
  </si>
  <si>
    <t>East Asian Languages, Literatures, and Linguistics, General.</t>
  </si>
  <si>
    <t>Chinese Language and Literature.</t>
  </si>
  <si>
    <t>Japanese Language and Literature.</t>
  </si>
  <si>
    <t>Korean Language and Literature.</t>
  </si>
  <si>
    <t>Tibetan Language and Literature.</t>
  </si>
  <si>
    <t>East Asian Languages, Literatures, and Linguistics, Other.</t>
  </si>
  <si>
    <t>Slavic, Baltic and Albanian Languages, Literatures, and Linguistics.</t>
  </si>
  <si>
    <t>Slavic Languages, Literatures, and Linguistics, General.</t>
  </si>
  <si>
    <t>Baltic Languages, Literatures, and Linguistics.</t>
  </si>
  <si>
    <t>Russian Language and Literature.</t>
  </si>
  <si>
    <t>Albanian Language and Literature.</t>
  </si>
  <si>
    <t>Bulgarian Language and Literature.</t>
  </si>
  <si>
    <t>Czech Language and Literature.</t>
  </si>
  <si>
    <t>Polish Language and Literature.</t>
  </si>
  <si>
    <t>Bosnian, Serbian, and Croatian Languages and Literatures.</t>
  </si>
  <si>
    <t>Slovak Language and Literature.</t>
  </si>
  <si>
    <t>Ukrainian Language and Literature.</t>
  </si>
  <si>
    <t>Slavic, Baltic, and Albanian Languages, Literatures, and Linguistics, Other.</t>
  </si>
  <si>
    <t>Germanic Languages, Literatures, and Linguistics.</t>
  </si>
  <si>
    <t>Germanic Languages, Literatures, and Linguistics, General.</t>
  </si>
  <si>
    <t>German Language and Literature.</t>
  </si>
  <si>
    <t>Scandinavian Languages, Literatures, and Linguistics.</t>
  </si>
  <si>
    <t>Danish Language and Literature.</t>
  </si>
  <si>
    <t>Dutch/Flemish Language and Literature.</t>
  </si>
  <si>
    <t>Norwegian Language and Literature.</t>
  </si>
  <si>
    <t>Swedish Language and Literature.</t>
  </si>
  <si>
    <t>Germanic Languages, Literatures, and Linguistics, Other.</t>
  </si>
  <si>
    <t>Modern Greek Language and Literature.</t>
  </si>
  <si>
    <t>South Asian Languages, Literatures, and Linguistics.</t>
  </si>
  <si>
    <t>South Asian Languages, Literatures, and Linguistics, General.</t>
  </si>
  <si>
    <t>Hindi Language and Literature.</t>
  </si>
  <si>
    <t>Sanskrit and Classical Indian Languages, Literatures, and Linguistics.</t>
  </si>
  <si>
    <t>Bengali Language and Literature.</t>
  </si>
  <si>
    <t>Punjabi Language and Literature.</t>
  </si>
  <si>
    <t>Tamil Language and Literature.</t>
  </si>
  <si>
    <t>Urdu Language and Literature.</t>
  </si>
  <si>
    <t>South Asian Languages, Literatures, and Linguistics, Other.</t>
  </si>
  <si>
    <t>Iranian/Persian Languages, Literatures, and Linguistics.</t>
  </si>
  <si>
    <t>Romance Languages, Literatures, and Linguistics.</t>
  </si>
  <si>
    <t>Romance Languages, Literatures, and Linguistics, General.</t>
  </si>
  <si>
    <t>French Language and Literature.</t>
  </si>
  <si>
    <t>Italian Language and Literature.</t>
  </si>
  <si>
    <t>Portuguese Language and Literature.</t>
  </si>
  <si>
    <t>Spanish Language and Literature.</t>
  </si>
  <si>
    <t>Romanian Language and Literature.</t>
  </si>
  <si>
    <t>Catalan Language and Literature.</t>
  </si>
  <si>
    <t>Hispanic and Latin American Languages, Literatures, and Linguistics, General.</t>
  </si>
  <si>
    <t>Romance Languages, Literatures, and Linguistics, Other.</t>
  </si>
  <si>
    <t>American Indian/Native American Languages, Literatures, and Linguistics.</t>
  </si>
  <si>
    <t>Middle/Near Eastern and Semitic Languages, Literatures, and Linguistics.</t>
  </si>
  <si>
    <t>Middle/Near Eastern and Semitic Languages, Literatures, and Linguistics, General.</t>
  </si>
  <si>
    <t>Arabic Language and Literature.</t>
  </si>
  <si>
    <t>Hebrew Language and Literature.</t>
  </si>
  <si>
    <t>Ancient Near Eastern and Biblical Languages, Literatures, and Linguistics.</t>
  </si>
  <si>
    <t>Middle/Near Eastern and Semitic Languages, Literatures, and Linguistics, Other.</t>
  </si>
  <si>
    <t>Classics and Classical Languages, Literatures, and Linguistics.</t>
  </si>
  <si>
    <t>Classics and Classical Languages, Literatures, and Linguistics, General.</t>
  </si>
  <si>
    <t>Ancient/Classical Greek Language and Literature.</t>
  </si>
  <si>
    <t>Latin Language and Literature.</t>
  </si>
  <si>
    <t>Classics and Classical Languages, Literatures, and Linguistics, Other.</t>
  </si>
  <si>
    <t>Celtic Languages, Literatures, and Linguistics.</t>
  </si>
  <si>
    <t>Southeast Asian and Australasian/Pacific Languages, Literatures, and Linguistics.</t>
  </si>
  <si>
    <t>Southeast Asian Languages, Literatures, and Linguistics, General.</t>
  </si>
  <si>
    <t>Australian/Oceanic/Pacific Languages, Literatures, and Linguistics.</t>
  </si>
  <si>
    <t>Indonesian/Malay Languages and Literatures.</t>
  </si>
  <si>
    <t>Burmese Language and Literature.</t>
  </si>
  <si>
    <t>Filipino/Tagalog Language and Literature.</t>
  </si>
  <si>
    <t>Khmer/Cambodian Language and Literature.</t>
  </si>
  <si>
    <t>Lao Language and Literature.</t>
  </si>
  <si>
    <t>Thai Language and Literature.</t>
  </si>
  <si>
    <t>Vietnamese Language and Literature.</t>
  </si>
  <si>
    <t>Southeast Asian and Australasian/Pacific Languages, Literatures, and Linguistics, Other.</t>
  </si>
  <si>
    <t>Turkic, Uralic-Altaic, Caucasian, and Central Asian Languages, Literatures, and Linguistics.</t>
  </si>
  <si>
    <t>Turkish Language and Literature.</t>
  </si>
  <si>
    <t>Uralic Languages, Literatures, and Linguistics.</t>
  </si>
  <si>
    <t>Hungarian/Magyar Language and Literature.</t>
  </si>
  <si>
    <t>Mongolian Language and Literature.</t>
  </si>
  <si>
    <t>Turkic, Uralic-Altaic, Caucasian, and Central Asian Languages, Literatures, and Linguistics, Other.</t>
  </si>
  <si>
    <t>American Sign Language.</t>
  </si>
  <si>
    <t>American Sign Language (ASL).</t>
  </si>
  <si>
    <t>Linguistics of ASL and Other Sign Languages.</t>
  </si>
  <si>
    <t>Sign Language Interpretation and Translation.</t>
  </si>
  <si>
    <t>American Sign Language, Other.</t>
  </si>
  <si>
    <t>Foreign Languages, Literatures, and Linguistics, Other.</t>
  </si>
  <si>
    <t>FAMILY AND CONSUMER SCIENCES/HUMAN SCIENCES.</t>
  </si>
  <si>
    <t>Work and Family Studies.</t>
  </si>
  <si>
    <t>Family and Consumer Sciences/Human Sciences, General.</t>
  </si>
  <si>
    <t>Family and Consumer Sciences/Human Sciences Business Services.</t>
  </si>
  <si>
    <t>Business Family and Consumer Sciences/Human Sciences.</t>
  </si>
  <si>
    <t>Family and Consumer Sciences/Human Sciences Communication.</t>
  </si>
  <si>
    <t>Consumer Merchandising/Retailing Management.</t>
  </si>
  <si>
    <t>Family and Consumer Sciences/Human Sciences Business Services, Other.</t>
  </si>
  <si>
    <t>Family and Consumer Economics and Related Studies.</t>
  </si>
  <si>
    <t>Family Resource Management Studies, General.</t>
  </si>
  <si>
    <t>Consumer Economics.</t>
  </si>
  <si>
    <t>Consumer Services and Advocacy.</t>
  </si>
  <si>
    <t>Family and Consumer Economics and Related Services, Other.</t>
  </si>
  <si>
    <t>Foods, Nutrition, and Related Services.</t>
  </si>
  <si>
    <t>Foods, Nutrition, and Wellness Studies, General.</t>
  </si>
  <si>
    <t>Human Nutrition.</t>
  </si>
  <si>
    <t>Foodservice Systems Administration/Management.</t>
  </si>
  <si>
    <t>Foods, Nutrition, and Related Services, Other.</t>
  </si>
  <si>
    <t>Housing and Human Environments.</t>
  </si>
  <si>
    <t>Housing and Human Environments, General.</t>
  </si>
  <si>
    <t>Facilities Planning and Management.</t>
  </si>
  <si>
    <t>Home Furnishings and Equipment Installers.</t>
  </si>
  <si>
    <t>Housing and Human Environments, Other.</t>
  </si>
  <si>
    <t>Human Development, Family Studies, and Related Services.</t>
  </si>
  <si>
    <t>Human Development and Family Studies, General.</t>
  </si>
  <si>
    <t>Adult Development and Aging.</t>
  </si>
  <si>
    <t>Family Systems.</t>
  </si>
  <si>
    <t>Child Development.</t>
  </si>
  <si>
    <t>Family and Community Services.</t>
  </si>
  <si>
    <t>Child Care and Support Services Management.</t>
  </si>
  <si>
    <t>Child Care Provider/Assistant.</t>
  </si>
  <si>
    <t>Developmental Services Worker.</t>
  </si>
  <si>
    <t>Human Development, Family Studies, and Related Services, Other.</t>
  </si>
  <si>
    <t>Apparel and Textiles.</t>
  </si>
  <si>
    <t>Apparel and Textiles, General.</t>
  </si>
  <si>
    <t>Apparel and Textile Manufacture.</t>
  </si>
  <si>
    <t>Textile Science.</t>
  </si>
  <si>
    <t>Apparel and Textile Marketing Management.</t>
  </si>
  <si>
    <t>Fashion and Fabric Consultant.</t>
  </si>
  <si>
    <t>Apparel and Textiles, Other.</t>
  </si>
  <si>
    <t>Family and Consumer Sciences/Human Sciences, Other.</t>
  </si>
  <si>
    <t>LEGAL PROFESSIONS AND STUDIES.</t>
  </si>
  <si>
    <t>Non-Professional General Legal Studies (Undergraduate).</t>
  </si>
  <si>
    <t>Legal Studies, General.</t>
  </si>
  <si>
    <t>Pre-Law Studies.</t>
  </si>
  <si>
    <t>Law.</t>
  </si>
  <si>
    <t>Legal Research and Advanced Professional Studies.</t>
  </si>
  <si>
    <t>Advanced Legal Research/Studies, General.</t>
  </si>
  <si>
    <t>Programs for Foreign Lawyers.</t>
  </si>
  <si>
    <t>American/U.S. Law/Legal Studies/Jurisprudence.</t>
  </si>
  <si>
    <t>Canadian Law/Legal Studies/Jurisprudence.</t>
  </si>
  <si>
    <t>Banking, Corporate, Finance, and Securities Law.</t>
  </si>
  <si>
    <t>Comparative Law.</t>
  </si>
  <si>
    <t>Energy, Environment, and Natural Resources Law.</t>
  </si>
  <si>
    <t>Health Law.</t>
  </si>
  <si>
    <t>International Law and Legal Studies.</t>
  </si>
  <si>
    <t>International Business, Trade, and Tax Law.</t>
  </si>
  <si>
    <t>Tax Law/Taxation.</t>
  </si>
  <si>
    <t>Intellectual Property Law.</t>
  </si>
  <si>
    <t>Legal Research and Advanced Professional Studies, Other.</t>
  </si>
  <si>
    <t>Legal Support Services.</t>
  </si>
  <si>
    <t>Legal Administrative Assistant/Secretary.</t>
  </si>
  <si>
    <t>Legal Assistant/Paralegal.</t>
  </si>
  <si>
    <t>Court Reporting/Court Reporter.</t>
  </si>
  <si>
    <t>Legal Support Services, Other.</t>
  </si>
  <si>
    <t>Legal Professions and Studies, Other.</t>
  </si>
  <si>
    <t>ENGLISH LANGUAGE AND LITERATURE/LETTERS.</t>
  </si>
  <si>
    <t>English Language and Literature, General.</t>
  </si>
  <si>
    <t>Creative Writing.</t>
  </si>
  <si>
    <t>American Literature (United States).</t>
  </si>
  <si>
    <t>American Literature (Canadian).</t>
  </si>
  <si>
    <t>English Literature (British and Commonwealth).</t>
  </si>
  <si>
    <t>Rhetoric and Composition/Writing Studies.</t>
  </si>
  <si>
    <t>Writing, General.</t>
  </si>
  <si>
    <t>Professional, Technical, Business, and Scientific Writing.</t>
  </si>
  <si>
    <t>Rhetoric and Composition.</t>
  </si>
  <si>
    <t>Rhetoric and Composition/Writing Studies, Other.</t>
  </si>
  <si>
    <t>Literature.</t>
  </si>
  <si>
    <t>General Literature.</t>
  </si>
  <si>
    <t>Children's and Adolescent Literature.</t>
  </si>
  <si>
    <t>Literature, Other.</t>
  </si>
  <si>
    <t>English Language and Literature/Letters, Other.</t>
  </si>
  <si>
    <t>LIBERAL ARTS AND SCIENCES, GENERAL STUDIES AND HUMANITIES.</t>
  </si>
  <si>
    <t>Liberal Arts and Sciences, General Studies and Humanities.</t>
  </si>
  <si>
    <t>Liberal Arts and Sciences/Liberal Studies.</t>
  </si>
  <si>
    <t>General Studies.</t>
  </si>
  <si>
    <t>Humanities/Humanistic Studies.</t>
  </si>
  <si>
    <t>Liberal Arts and Sciences, General Studies and Humanities, Other.</t>
  </si>
  <si>
    <t>LIBRARY SCIENCE.</t>
  </si>
  <si>
    <t>Library Science and Administration.</t>
  </si>
  <si>
    <t>Library and Information Science.</t>
  </si>
  <si>
    <t>Children and Youth Library Services.</t>
  </si>
  <si>
    <t>Archives/Archival Administration.</t>
  </si>
  <si>
    <t>Library Science and Administration, Other.</t>
  </si>
  <si>
    <t>Library and Archives Assisting.</t>
  </si>
  <si>
    <t>Library Science, Other.</t>
  </si>
  <si>
    <t>BIOLOGICAL AND BIOMEDICAL SCIENCES.</t>
  </si>
  <si>
    <t>Biology, General.</t>
  </si>
  <si>
    <t>Biology/Biological Sciences, General.</t>
  </si>
  <si>
    <t>Biomedical Sciences, General.</t>
  </si>
  <si>
    <t>Biochemistry, Biophysics and Molecular Biology.</t>
  </si>
  <si>
    <t>Biochemistry.</t>
  </si>
  <si>
    <t>Biophysics.</t>
  </si>
  <si>
    <t>Molecular Biology.</t>
  </si>
  <si>
    <t>Molecular Biochemistry.</t>
  </si>
  <si>
    <t>Molecular Biophysics.</t>
  </si>
  <si>
    <t>Structural Biology.</t>
  </si>
  <si>
    <t>Photobiology.</t>
  </si>
  <si>
    <t>Radiation Biology/Radiobiology.</t>
  </si>
  <si>
    <t>Biochemistry and Molecular Biology.</t>
  </si>
  <si>
    <t>Biochemistry, Biophysics and Molecular Biology, Other.</t>
  </si>
  <si>
    <t>Botany/Plant Biology.</t>
  </si>
  <si>
    <t>Plant Pathology/Phytopathology.</t>
  </si>
  <si>
    <t>Plant Physiology.</t>
  </si>
  <si>
    <t>Plant Molecular Biology.</t>
  </si>
  <si>
    <t>Botany/Plant Biology, Other.</t>
  </si>
  <si>
    <t>Cell/Cellular Biology and Anatomical Sciences.</t>
  </si>
  <si>
    <t>Cell/Cellular Biology and Histology.</t>
  </si>
  <si>
    <t>Anatomy.</t>
  </si>
  <si>
    <t>Developmental Biology and Embryology.</t>
  </si>
  <si>
    <t>Neuroanatomy.</t>
  </si>
  <si>
    <t>Cell/Cellular and Molecular Biology.</t>
  </si>
  <si>
    <t>Cell Biology and Anatomy.</t>
  </si>
  <si>
    <t>Cell/Cellular Biology and Anatomical Sciences, Other.</t>
  </si>
  <si>
    <t>Microbiological Sciences and Immunology.</t>
  </si>
  <si>
    <t>Microbiology, General.</t>
  </si>
  <si>
    <t>Medical Microbiology and Bacteriology.</t>
  </si>
  <si>
    <t>Virology.</t>
  </si>
  <si>
    <t>Parasitology.</t>
  </si>
  <si>
    <t>Mycology.</t>
  </si>
  <si>
    <t>Immunology.</t>
  </si>
  <si>
    <t>Microbiology and Immunology.</t>
  </si>
  <si>
    <t>Microbiological Sciences and Immunology, Other.</t>
  </si>
  <si>
    <t>Zoology/Animal Biology.</t>
  </si>
  <si>
    <t>Entomology.</t>
  </si>
  <si>
    <t>Animal Physiology.</t>
  </si>
  <si>
    <t>Animal Behavior and Ethology.</t>
  </si>
  <si>
    <t>Wildlife Biology.</t>
  </si>
  <si>
    <t>Zoology/Animal Biology, Other.</t>
  </si>
  <si>
    <t>Genetics.</t>
  </si>
  <si>
    <t>Genetics, General.</t>
  </si>
  <si>
    <t>Molecular Genetics.</t>
  </si>
  <si>
    <t>Microbial and Eukaryotic Genetics.</t>
  </si>
  <si>
    <t>Animal Genetics.</t>
  </si>
  <si>
    <t>Plant Genetics.</t>
  </si>
  <si>
    <t>Human/Medical Genetics.</t>
  </si>
  <si>
    <t>Genome Sciences/Genomics.</t>
  </si>
  <si>
    <t>Genetics, Other.</t>
  </si>
  <si>
    <t>Physiology, Pathology and Related Sciences.</t>
  </si>
  <si>
    <t>Physiology, General.</t>
  </si>
  <si>
    <t>Molecular Physiology.</t>
  </si>
  <si>
    <t>Cell Physiology.</t>
  </si>
  <si>
    <t>Endocrinology.</t>
  </si>
  <si>
    <t>Reproductive Biology.</t>
  </si>
  <si>
    <t>Cardiovascular Science.</t>
  </si>
  <si>
    <t>Exercise Physiology.</t>
  </si>
  <si>
    <t>Vision Science/Physiological Optics.</t>
  </si>
  <si>
    <t>Pathology/Experimental Pathology.</t>
  </si>
  <si>
    <t>Oncology and Cancer Biology.</t>
  </si>
  <si>
    <t>Aerospace Physiology and Medicine.</t>
  </si>
  <si>
    <t>Physiology, Pathology, and Related Sciences, Other.</t>
  </si>
  <si>
    <t>Pharmacology and Toxicology.</t>
  </si>
  <si>
    <t>Pharmacology.</t>
  </si>
  <si>
    <t>Molecular Pharmacology.</t>
  </si>
  <si>
    <t>Neuropharmacology.</t>
  </si>
  <si>
    <t>Toxicology.</t>
  </si>
  <si>
    <t>Molecular Toxicology.</t>
  </si>
  <si>
    <t>Environmental Toxicology.</t>
  </si>
  <si>
    <t>Pharmacology and Toxicology, Other.</t>
  </si>
  <si>
    <t>Biomathematics, Bioinformatics, and Computational Biology.</t>
  </si>
  <si>
    <t>Biometry/Biometrics.</t>
  </si>
  <si>
    <t>Biostatistics.</t>
  </si>
  <si>
    <t>Bioinformatics.</t>
  </si>
  <si>
    <t>Computational Biology.</t>
  </si>
  <si>
    <t>Biomathematics, Bioinformatics, and Computational Biology, Other.</t>
  </si>
  <si>
    <t>Biotechnology.</t>
  </si>
  <si>
    <t>Ecology, Evolution, Systematics, and Population Biology.</t>
  </si>
  <si>
    <t>Ecology.</t>
  </si>
  <si>
    <t>Marine Biology and Biological Oceanography.</t>
  </si>
  <si>
    <t>Evolutionary Biology.</t>
  </si>
  <si>
    <t>Aquatic Biology/Limnology.</t>
  </si>
  <si>
    <t>Environmental Biology.</t>
  </si>
  <si>
    <t>Population Biology.</t>
  </si>
  <si>
    <t>Conservation Biology.</t>
  </si>
  <si>
    <t>Systematic Biology/Biological Systematics.</t>
  </si>
  <si>
    <t>Epidemiology.</t>
  </si>
  <si>
    <t>Ecology and Evolutionary Biology.</t>
  </si>
  <si>
    <t>Ecology, Evolution, Systematics and Population Biology, Other.</t>
  </si>
  <si>
    <t>Molecular Medicine.</t>
  </si>
  <si>
    <t>Neurobiology and Neurosciences.</t>
  </si>
  <si>
    <t>Neuroscience.</t>
  </si>
  <si>
    <t>Neurobiology and Anatomy.</t>
  </si>
  <si>
    <t>Neurobiology and Behavior.</t>
  </si>
  <si>
    <t>Neurobiology and Neurosciences, Other.</t>
  </si>
  <si>
    <t>Biological and Biomedical Sciences, Other.</t>
  </si>
  <si>
    <t>MATHEMATICS AND STATISTICS.</t>
  </si>
  <si>
    <t>Mathematics.</t>
  </si>
  <si>
    <t>Mathematics, General.</t>
  </si>
  <si>
    <t>Algebra and Number Theory.</t>
  </si>
  <si>
    <t>Analysis and Functional Analysis.</t>
  </si>
  <si>
    <t>Geometry/Geometric Analysis.</t>
  </si>
  <si>
    <t>Topology and Foundations.</t>
  </si>
  <si>
    <t>Mathematics, Other.</t>
  </si>
  <si>
    <t>Applied Mathematics.</t>
  </si>
  <si>
    <t>Applied Mathematics, General.</t>
  </si>
  <si>
    <t>Computational Mathematics.</t>
  </si>
  <si>
    <t>Computational and Applied Mathematics.</t>
  </si>
  <si>
    <t>Financial Mathematics.</t>
  </si>
  <si>
    <t>Mathematical Biology.</t>
  </si>
  <si>
    <t>Applied Mathematics, Other.</t>
  </si>
  <si>
    <t>Statistics.</t>
  </si>
  <si>
    <t>Statistics, General.</t>
  </si>
  <si>
    <t>Mathematical Statistics and Probability.</t>
  </si>
  <si>
    <t>Mathematics and Statistics.</t>
  </si>
  <si>
    <t>Statistics, Other.</t>
  </si>
  <si>
    <t>Mathematics and Statistics, Other.</t>
  </si>
  <si>
    <t>MILITARY SCIENCE, LEADERSHIP AND OPERATIONAL ART.</t>
  </si>
  <si>
    <t>Air Force ROTC, Air Science and Operations.</t>
  </si>
  <si>
    <t>Air Force JROTC/ROTC.</t>
  </si>
  <si>
    <t>Air Force ROTC, Air Science and Operations, Other.</t>
  </si>
  <si>
    <t>Army ROTC, Military Science and Operations.</t>
  </si>
  <si>
    <t>Army JROTC/ROTC.</t>
  </si>
  <si>
    <t>Army ROTC, Military Science and Operations, Other.</t>
  </si>
  <si>
    <t>Navy/Marine ROTC, Naval Science and Operations.</t>
  </si>
  <si>
    <t>Navy/Marine Corps JROTC/ROTC.</t>
  </si>
  <si>
    <t>Navy/Marine Corps ROTC, Naval Science and Operations, Other.</t>
  </si>
  <si>
    <t>Military Science and Operational Studies.</t>
  </si>
  <si>
    <t>Air Science/Airpower Studies.</t>
  </si>
  <si>
    <t>Air and Space Operational Art and Science.</t>
  </si>
  <si>
    <t>Military Operational Art and Science/Studies.</t>
  </si>
  <si>
    <t>Advanced Military and Operational Studies.</t>
  </si>
  <si>
    <t>Naval Science and Operational Studies.</t>
  </si>
  <si>
    <t>Special, Irregular and Counterterrorist Operations.</t>
  </si>
  <si>
    <t>Military Science and Operational Studies, Other.</t>
  </si>
  <si>
    <t>Security Policy and Strategy.</t>
  </si>
  <si>
    <t>Strategic Studies, General.</t>
  </si>
  <si>
    <t>Military and Strategic Leadership.</t>
  </si>
  <si>
    <t>Military and International Operational Law.</t>
  </si>
  <si>
    <t>Joint Operations Planning and Strategy.</t>
  </si>
  <si>
    <t>Weapons of Mass Destruction.</t>
  </si>
  <si>
    <t>National Security Policy and Strategy, Other.</t>
  </si>
  <si>
    <t>Military Economics and Management.</t>
  </si>
  <si>
    <t>National Resource Strategy and Policy.</t>
  </si>
  <si>
    <t>Industry Studies.</t>
  </si>
  <si>
    <t>Military Installation Management.</t>
  </si>
  <si>
    <t>Military Economics and Management, Other.</t>
  </si>
  <si>
    <t>Military Science, Leadership and Operational Art, Other.</t>
  </si>
  <si>
    <t>MILITARY TECHNOLOGIES AND APPLIED SCIENCES.</t>
  </si>
  <si>
    <t>Intelligence, Command Control and Information Operations.</t>
  </si>
  <si>
    <t>Intelligence, General.</t>
  </si>
  <si>
    <t>Strategic Intelligence.</t>
  </si>
  <si>
    <t>Signal/Geospatial Intelligence.</t>
  </si>
  <si>
    <t>Command &amp; Control (C3, C4I) Systems and Operations.</t>
  </si>
  <si>
    <t>Information Operations/Joint Information Operations.</t>
  </si>
  <si>
    <t>Information/Psychological Warfare and Military Media Relations.</t>
  </si>
  <si>
    <t>Cyber/Electronic Operations and Warfare.</t>
  </si>
  <si>
    <t>Intelligence, Command Control and Information Operations, Other.</t>
  </si>
  <si>
    <t>Military Applied Sciences.</t>
  </si>
  <si>
    <t>Combat Systems Engineering.</t>
  </si>
  <si>
    <t>Directed Energy Systems.</t>
  </si>
  <si>
    <t>Engineering Acoustics.</t>
  </si>
  <si>
    <t>Low-Observables and Stealth Technology.</t>
  </si>
  <si>
    <t>Space Systems Operations.</t>
  </si>
  <si>
    <t>Operational Oceanography.</t>
  </si>
  <si>
    <t>Undersea Warfare.</t>
  </si>
  <si>
    <t>Military Applied Sciences, Other.</t>
  </si>
  <si>
    <t>Military Systems and Maintenance Technology.</t>
  </si>
  <si>
    <t>Aerospace Ground Equipment Technology.</t>
  </si>
  <si>
    <t>Air and Space Operations Technology.</t>
  </si>
  <si>
    <t>Aircraft Armament Systems Technology.</t>
  </si>
  <si>
    <t>Explosive Ordinance/Bomb Disposal.</t>
  </si>
  <si>
    <t>Joint Command/Task Force (C3, C4I) Systems.</t>
  </si>
  <si>
    <t>Military Information Systems Technology.</t>
  </si>
  <si>
    <t>Missile and Space Systems Technology.</t>
  </si>
  <si>
    <t>Munitions Systems/Ordinance Technology.</t>
  </si>
  <si>
    <t>Radar Communications and Systems Technology.</t>
  </si>
  <si>
    <t>Military Systems and Maintenance Technology, Other.</t>
  </si>
  <si>
    <t>Military Technologies and Applied Sciences, Other.</t>
  </si>
  <si>
    <t>MULTI/INTERDISCIPLINARY STUDIES.</t>
  </si>
  <si>
    <t>Multi-/Interdisciplinary Studies, General.</t>
  </si>
  <si>
    <t>Biological and Physical Sciences.</t>
  </si>
  <si>
    <t>Peace Studies and Conflict Resolution.</t>
  </si>
  <si>
    <t>Systems Science and Theory.</t>
  </si>
  <si>
    <t>Mathematics and Computer Science.</t>
  </si>
  <si>
    <t>Biopsychology.</t>
  </si>
  <si>
    <t>Gerontology.</t>
  </si>
  <si>
    <t>Historic Preservation and Conservation.</t>
  </si>
  <si>
    <t>Cultural Resource Management and Policy Analysis.</t>
  </si>
  <si>
    <t>Historic Preservation and Conservation, Other.</t>
  </si>
  <si>
    <t>Medieval and Renaissance Studies.</t>
  </si>
  <si>
    <t>Museology/Museum Studies.</t>
  </si>
  <si>
    <t>Science, Technology and Society.</t>
  </si>
  <si>
    <t>Accounting and Computer Science.</t>
  </si>
  <si>
    <t>Behavioral Sciences.</t>
  </si>
  <si>
    <t>Natural Sciences.</t>
  </si>
  <si>
    <t>Nutrition Sciences.</t>
  </si>
  <si>
    <t>International/Global Studies.</t>
  </si>
  <si>
    <t>Holocaust and Related Studies.</t>
  </si>
  <si>
    <t>Classical and Ancient Studies.</t>
  </si>
  <si>
    <t>Ancient Studies/Civilization.</t>
  </si>
  <si>
    <t>Classical, Ancient Mediterranean and Near Eastern Studies and Archaeology.</t>
  </si>
  <si>
    <t>Intercultural/Multicultural and Diversity Studies.</t>
  </si>
  <si>
    <t>Cognitive Science.</t>
  </si>
  <si>
    <t>Cultural Studies/Critical Theory and Analysis.</t>
  </si>
  <si>
    <t>Human Biology.</t>
  </si>
  <si>
    <t>Dispute Resolution.</t>
  </si>
  <si>
    <t>Maritime Studies.</t>
  </si>
  <si>
    <t>Computational Science.</t>
  </si>
  <si>
    <t>Human Computer Interaction.</t>
  </si>
  <si>
    <t>Marine Sciences.</t>
  </si>
  <si>
    <t>Sustainability Studies.</t>
  </si>
  <si>
    <t>Multi/Interdisciplinary Studies, Other.</t>
  </si>
  <si>
    <t>PARKS, RECREATION, LEISURE, AND FITNESS STUDIES.</t>
  </si>
  <si>
    <t>Parks, Recreation and Leisure Studies.</t>
  </si>
  <si>
    <t>Parks, Recreation and Leisure Facilities Management.</t>
  </si>
  <si>
    <t>Parks, Recreation and Leisure Facilities Management, General.</t>
  </si>
  <si>
    <t>Golf Course Operation and Grounds Management.</t>
  </si>
  <si>
    <t>Parks, Recreation and Leisure Facilities Management, Other.</t>
  </si>
  <si>
    <t>Health and Physical Education/Fitness.</t>
  </si>
  <si>
    <t>Health and Physical Education/Fitness, General.</t>
  </si>
  <si>
    <t>Sport and Fitness Administration/Management.</t>
  </si>
  <si>
    <t>Kinesiology and Exercise Science.</t>
  </si>
  <si>
    <t>Physical Fitness Technician.</t>
  </si>
  <si>
    <t>Sports Studies.</t>
  </si>
  <si>
    <t>Health and Physical Education/Fitness, Other.</t>
  </si>
  <si>
    <t>Outdoor Education.</t>
  </si>
  <si>
    <t>Parks, Recreation, Leisure, and Fitness Studies, Other.</t>
  </si>
  <si>
    <t>BASIC SKILLS AND DEVELOPMENTAL/REMEDIAL EDUCATION.</t>
  </si>
  <si>
    <t>Basic Skills and Developmental/Remedial Education.</t>
  </si>
  <si>
    <t>Basic Skills and Developmental/Remedial Education, General.</t>
  </si>
  <si>
    <t>Developmental/Remedial Mathematics.</t>
  </si>
  <si>
    <t>Job-Seeking/Changing Skills.</t>
  </si>
  <si>
    <t>Career Exploration/Awareness Skills.</t>
  </si>
  <si>
    <t>Developmental/Remedial English.</t>
  </si>
  <si>
    <t>Second Language Learning.</t>
  </si>
  <si>
    <t>Basic Computer Skills.</t>
  </si>
  <si>
    <t>Workforce Development and Training.</t>
  </si>
  <si>
    <t>Basic Skills and Developmental/Remedial Education, Other.</t>
  </si>
  <si>
    <t>CITIZENSHIP ACTIVITIES.</t>
  </si>
  <si>
    <t>Citizenship Activities.</t>
  </si>
  <si>
    <t>Citizenship Activities, General.</t>
  </si>
  <si>
    <t>American Citizenship Education.</t>
  </si>
  <si>
    <t>Community Awareness.</t>
  </si>
  <si>
    <t>Community Involvement.</t>
  </si>
  <si>
    <t>Canadian Citizenship Education.</t>
  </si>
  <si>
    <t>Citizenship Activities, Other.</t>
  </si>
  <si>
    <t>HEALTH-RELATED KNOWLEDGE AND SKILLS.</t>
  </si>
  <si>
    <t>Health-Related Knowledge and Skills.</t>
  </si>
  <si>
    <t>Birthing and Parenting Knowledge and Skills.</t>
  </si>
  <si>
    <t>Personal Health Improvement and Maintenance.</t>
  </si>
  <si>
    <t>Addiction Prevention and Treatment.</t>
  </si>
  <si>
    <t>Health-Related Knowledge and Skills, Other.</t>
  </si>
  <si>
    <t>INTERPERSONAL AND SOCIAL SKILLS.</t>
  </si>
  <si>
    <t>Interpersonal and Social Skills.</t>
  </si>
  <si>
    <t>Interpersonal and Social Skills, General.</t>
  </si>
  <si>
    <t>Interpersonal Relationships Skills.</t>
  </si>
  <si>
    <t>Business and Social Skills.</t>
  </si>
  <si>
    <t>Interpersonal Social Skills, Other.</t>
  </si>
  <si>
    <t>LEISURE AND RECREATIONAL ACTIVITIES.</t>
  </si>
  <si>
    <t>Leisure and Recreational Activities.</t>
  </si>
  <si>
    <t>Leisure and Recreational Activities, General.</t>
  </si>
  <si>
    <t>Handicrafts and Model-Making.</t>
  </si>
  <si>
    <t>Board, Card and Role-Playing Games.</t>
  </si>
  <si>
    <t>Home Maintenance and Improvement.</t>
  </si>
  <si>
    <t>Nature Appreciation.</t>
  </si>
  <si>
    <t>Pet Ownership and Care.</t>
  </si>
  <si>
    <t>Sports and Exercise.</t>
  </si>
  <si>
    <t>Travel and Exploration.</t>
  </si>
  <si>
    <t>Art.</t>
  </si>
  <si>
    <t>Collecting.</t>
  </si>
  <si>
    <t>Cooking and Other Domestic Skills.</t>
  </si>
  <si>
    <t>Computer Games and Programming Skills.</t>
  </si>
  <si>
    <t>Dancing.</t>
  </si>
  <si>
    <t>Music.</t>
  </si>
  <si>
    <t>Reading.</t>
  </si>
  <si>
    <t>Theatre/Theater.</t>
  </si>
  <si>
    <t>Writing.</t>
  </si>
  <si>
    <t>Aircraft Pilot (Private).</t>
  </si>
  <si>
    <t>Leisure and Recreational Activities, Other.</t>
  </si>
  <si>
    <t>PERSONAL AWARENESS AND SELF-IMPROVEMENT.</t>
  </si>
  <si>
    <t>Personal Awareness and Self-Improvement.</t>
  </si>
  <si>
    <t>Self-Awareness and Personal Assessment.</t>
  </si>
  <si>
    <t>Stress Management and Coping Skills.</t>
  </si>
  <si>
    <t>Personal Decision-Making Skills.</t>
  </si>
  <si>
    <t>Self-Esteem and Values Clarification.</t>
  </si>
  <si>
    <t>Personal Awareness and Self-Improvement, Other.</t>
  </si>
  <si>
    <t>PHILOSOPHY AND RELIGIOUS STUDIES.</t>
  </si>
  <si>
    <t>Philosophy and Religious Studies, General.</t>
  </si>
  <si>
    <t>Philosophy.</t>
  </si>
  <si>
    <t>Logic.</t>
  </si>
  <si>
    <t>Ethics.</t>
  </si>
  <si>
    <t>Applied and Professional Ethics.</t>
  </si>
  <si>
    <t>Philosophy, Other.</t>
  </si>
  <si>
    <t>Religion/Religious Studies.</t>
  </si>
  <si>
    <t>Buddhist Studies.</t>
  </si>
  <si>
    <t>Christian Studies.</t>
  </si>
  <si>
    <t>Hindu Studies.</t>
  </si>
  <si>
    <t>Islamic Studies.</t>
  </si>
  <si>
    <t>Jewish/Judaic Studies.</t>
  </si>
  <si>
    <t>Religion/Religious Studies, Other.</t>
  </si>
  <si>
    <t>Philosophy and Religious Studies, Other.</t>
  </si>
  <si>
    <t>THEOLOGY AND RELIGIOUS VOCATIONS.</t>
  </si>
  <si>
    <t>Bible/Biblical Studies.</t>
  </si>
  <si>
    <t>Missions/Missionary Studies and Missiology.</t>
  </si>
  <si>
    <t>Religious Education.</t>
  </si>
  <si>
    <t>Religious/Sacred Music.</t>
  </si>
  <si>
    <t>Theological and Ministerial Studies.</t>
  </si>
  <si>
    <t>Theology/Theological Studies.</t>
  </si>
  <si>
    <t>Divinity/Ministry.</t>
  </si>
  <si>
    <t>Pre-Theology/Pre-Ministerial Studies.</t>
  </si>
  <si>
    <t>Rabbinical Studies.</t>
  </si>
  <si>
    <t>Talmudic Studies.</t>
  </si>
  <si>
    <t>Theological and Ministerial Studies, Other.</t>
  </si>
  <si>
    <t>Pastoral Counseling and Specialized Ministries.</t>
  </si>
  <si>
    <t>Pastoral Studies/Counseling.</t>
  </si>
  <si>
    <t>Youth Ministry.</t>
  </si>
  <si>
    <t>Urban Ministry.</t>
  </si>
  <si>
    <t>Women's Ministry.</t>
  </si>
  <si>
    <t>Lay Ministry.</t>
  </si>
  <si>
    <t>Pastoral Counseling and Specialized Ministries, Other.</t>
  </si>
  <si>
    <t>Theology and Religious Vocations, Other.</t>
  </si>
  <si>
    <t>PHYSICAL SCIENCES.</t>
  </si>
  <si>
    <t>Physical Sciences.</t>
  </si>
  <si>
    <t>Astronomy and Astrophysics.</t>
  </si>
  <si>
    <t>Astronomy.</t>
  </si>
  <si>
    <t>Astrophysics.</t>
  </si>
  <si>
    <t>Planetary Astronomy and Science.</t>
  </si>
  <si>
    <t>Astronomy and Astrophysics, Other.</t>
  </si>
  <si>
    <t>Atmospheric Sciences and Meteorology.</t>
  </si>
  <si>
    <t>Atmospheric Sciences and Meteorology, General.</t>
  </si>
  <si>
    <t>Atmospheric Chemistry and Climatology.</t>
  </si>
  <si>
    <t>Atmospheric Physics and Dynamics.</t>
  </si>
  <si>
    <t>Meteorology.</t>
  </si>
  <si>
    <t>Atmospheric Sciences and Meteorology, Other.</t>
  </si>
  <si>
    <t>Chemistry.</t>
  </si>
  <si>
    <t>Chemistry, General.</t>
  </si>
  <si>
    <t>Analytical Chemistry.</t>
  </si>
  <si>
    <t>Inorganic Chemistry.</t>
  </si>
  <si>
    <t>Organic Chemistry.</t>
  </si>
  <si>
    <t>Physical Chemistry.</t>
  </si>
  <si>
    <t>Polymer Chemistry.</t>
  </si>
  <si>
    <t>Chemical Physics.</t>
  </si>
  <si>
    <t>Environmental Chemistry.</t>
  </si>
  <si>
    <t>Forensic Chemistry.</t>
  </si>
  <si>
    <t>Theoretical Chemistry.</t>
  </si>
  <si>
    <t>Chemistry, Other.</t>
  </si>
  <si>
    <t>Geological and Earth Sciences/Geosciences.</t>
  </si>
  <si>
    <t>Geology/Earth Science, General.</t>
  </si>
  <si>
    <t>Geochemistry.</t>
  </si>
  <si>
    <t>Geophysics and Seismology.</t>
  </si>
  <si>
    <t>Paleontology.</t>
  </si>
  <si>
    <t>Hydrology and Water Resources Science.</t>
  </si>
  <si>
    <t>Geochemistry and Petrology.</t>
  </si>
  <si>
    <t>Oceanography, Chemical and Physical.</t>
  </si>
  <si>
    <t>Geological and Earth Sciences/Geosciences, Other.</t>
  </si>
  <si>
    <t>Physics.</t>
  </si>
  <si>
    <t>Physics, General.</t>
  </si>
  <si>
    <t>Atomic/Molecular Physics.</t>
  </si>
  <si>
    <t>Elementary Particle Physics.</t>
  </si>
  <si>
    <t>Plasma and High-Temperature Physics.</t>
  </si>
  <si>
    <t>Nuclear Physics.</t>
  </si>
  <si>
    <t>Optics/Optical Sciences.</t>
  </si>
  <si>
    <t>Condensed Matter and Materials Physics.</t>
  </si>
  <si>
    <t>Acoustics.</t>
  </si>
  <si>
    <t>Theoretical and Mathematical Physics.</t>
  </si>
  <si>
    <t>Physics, Other.</t>
  </si>
  <si>
    <t>Materials Sciences.</t>
  </si>
  <si>
    <t>Materials Chemistry.</t>
  </si>
  <si>
    <t>Materials Sciences, Other.</t>
  </si>
  <si>
    <t>Physical Sciences, Other.</t>
  </si>
  <si>
    <t>SCIENCE TECHNOLOGIES/TECHNICIANS.</t>
  </si>
  <si>
    <t>Science Technologies/Technicians, General.</t>
  </si>
  <si>
    <t>Biology Technician/Biotechnology Laboratory Technician.</t>
  </si>
  <si>
    <t>Nuclear and Industrial Radiologic Technologies/Technicians.</t>
  </si>
  <si>
    <t>Industrial Radiologic Technology/Technician.</t>
  </si>
  <si>
    <t>Nuclear/Nuclear Power Technology/Technician.</t>
  </si>
  <si>
    <t>Nuclear and Industrial Radiologic Technologies/Technicians, Other.</t>
  </si>
  <si>
    <t>Physical Science Technologies/Technicians.</t>
  </si>
  <si>
    <t>Chemical Technology/Technician.</t>
  </si>
  <si>
    <t>Chemical Process Technology.</t>
  </si>
  <si>
    <t>Physical Science Technologies/Technicians, Other.</t>
  </si>
  <si>
    <t>Science Technologies/Technicians, Other.</t>
  </si>
  <si>
    <t>PSYCHOLOGY.</t>
  </si>
  <si>
    <t>Psychology, General.</t>
  </si>
  <si>
    <t>Clinical Psychology.</t>
  </si>
  <si>
    <t>Cognitive Psychology and Psycholinguistics.</t>
  </si>
  <si>
    <t>Community Psychology.</t>
  </si>
  <si>
    <t>Comparative Psychology.</t>
  </si>
  <si>
    <t>Counseling Psychology.</t>
  </si>
  <si>
    <t>Developmental and Child Psychology.</t>
  </si>
  <si>
    <t>Experimental Psychology.</t>
  </si>
  <si>
    <t>Industrial and Organizational Psychology.</t>
  </si>
  <si>
    <t>Personality Psychology.</t>
  </si>
  <si>
    <t>Physiological Psychology/Psychobiology.</t>
  </si>
  <si>
    <t>Social Psychology.</t>
  </si>
  <si>
    <t>School Psychology.</t>
  </si>
  <si>
    <t>Educational Psychology.</t>
  </si>
  <si>
    <t>Psychometrics and Quantitative Psychology.</t>
  </si>
  <si>
    <t>Clinical Child Psychology.</t>
  </si>
  <si>
    <t>Environmental Psychology.</t>
  </si>
  <si>
    <t>Geropsychology.</t>
  </si>
  <si>
    <t>Psychopharmacology.</t>
  </si>
  <si>
    <t>Family Psychology.</t>
  </si>
  <si>
    <t>Forensic Psychology.</t>
  </si>
  <si>
    <t>Research and Experimental Psychology.</t>
  </si>
  <si>
    <t>Research and Experimental Psychology, Other.</t>
  </si>
  <si>
    <t>Clinical, Counseling and Applied Psychology.</t>
  </si>
  <si>
    <t>Health/Medical Psychology.</t>
  </si>
  <si>
    <t>Applied Psychology.</t>
  </si>
  <si>
    <t>Applied Behavior Analysis.</t>
  </si>
  <si>
    <t>Clinical, Counseling and Applied Psychology, Other.</t>
  </si>
  <si>
    <t>Psychology, Other.</t>
  </si>
  <si>
    <t>HOMELAND SECURITY, LAW ENFORCEMENT, FIREFIGHTING AND RELATED PROTECTIVE SERVICES.</t>
  </si>
  <si>
    <t>Criminal Justice and Corrections.</t>
  </si>
  <si>
    <t>Corrections.</t>
  </si>
  <si>
    <t>Criminal Justice/Law Enforcement Administration.</t>
  </si>
  <si>
    <t>Criminal Justice/Safety Studies.</t>
  </si>
  <si>
    <t>Forensic Science and Technology.</t>
  </si>
  <si>
    <t>Criminal Justice/Police Science.</t>
  </si>
  <si>
    <t>Security and Loss Prevention Services.</t>
  </si>
  <si>
    <t>Juvenile Corrections.</t>
  </si>
  <si>
    <t>Criminalistics and Criminal Science.</t>
  </si>
  <si>
    <t>Securities Services Administration/Management.</t>
  </si>
  <si>
    <t>Corrections Administration.</t>
  </si>
  <si>
    <t>Law Enforcement Investigation and Interviewing.</t>
  </si>
  <si>
    <t>Law Enforcement Record-Keeping and Evidence Management.</t>
  </si>
  <si>
    <t>Cyber/Computer Forensics and Counterterrorism.</t>
  </si>
  <si>
    <t>Financial Forensics and Fraud Investigation.</t>
  </si>
  <si>
    <t>Law Enforcement Intelligence Analysis.</t>
  </si>
  <si>
    <t>Critical Incident Response/Special Police Operations.</t>
  </si>
  <si>
    <t>Protective Services Operations.</t>
  </si>
  <si>
    <t>Suspension and Debarment Investigation.</t>
  </si>
  <si>
    <t>Maritime Law Enforcement.</t>
  </si>
  <si>
    <t>Cultural/Archaelogical Resources Protection.</t>
  </si>
  <si>
    <t>Corrections and Criminal Justice, Other.</t>
  </si>
  <si>
    <t>Fire Protection.</t>
  </si>
  <si>
    <t>Fire Prevention and Safety Technology/Technician.</t>
  </si>
  <si>
    <t>Fire Services Administration.</t>
  </si>
  <si>
    <t>Fire Science/Fire-fighting.</t>
  </si>
  <si>
    <t>Fire Systems Technology.</t>
  </si>
  <si>
    <t>Fire/Arson Investigation and Prevention.</t>
  </si>
  <si>
    <t>Wildland/Forest Firefighting and Investigation.</t>
  </si>
  <si>
    <t>Fire Protection, Other.</t>
  </si>
  <si>
    <t>Homeland Security.</t>
  </si>
  <si>
    <t>Crisis/Emergency/Disaster Management.</t>
  </si>
  <si>
    <t>Critical Infrastructure Protection.</t>
  </si>
  <si>
    <t>Terrorism and Counterterrorism Operations.</t>
  </si>
  <si>
    <t>Homeland Security, Other.</t>
  </si>
  <si>
    <t>Homeland Security, Law Enforcement, Firefighting and Related Protective Services, Other.</t>
  </si>
  <si>
    <t>PUBLIC ADMINISTRATION AND SOCIAL SERVICE PROFESSIONS.</t>
  </si>
  <si>
    <t>Human Services, General.</t>
  </si>
  <si>
    <t>Community Organization and Advocacy.</t>
  </si>
  <si>
    <t>Public Administration.</t>
  </si>
  <si>
    <t>Public Policy Analysis.</t>
  </si>
  <si>
    <t>Public Policy Analysis, General.</t>
  </si>
  <si>
    <t>Education Policy Analysis.</t>
  </si>
  <si>
    <t>Health Policy Analysis.</t>
  </si>
  <si>
    <t>International Policy Analysis.</t>
  </si>
  <si>
    <t>Public Policy Analysis, Other.</t>
  </si>
  <si>
    <t>Social Work.</t>
  </si>
  <si>
    <t>Youth Services/Administration.</t>
  </si>
  <si>
    <t>Social Work, Other.</t>
  </si>
  <si>
    <t>Public Administration and Social Service Professions, Other.</t>
  </si>
  <si>
    <t>SOCIAL SCIENCES.</t>
  </si>
  <si>
    <t>Social Sciences, General.</t>
  </si>
  <si>
    <t>Research Methodology and Quantitative Methods.</t>
  </si>
  <si>
    <t>Anthropology.</t>
  </si>
  <si>
    <t>Physical and Biological Anthropology.</t>
  </si>
  <si>
    <t>Medical Anthropology.</t>
  </si>
  <si>
    <t>Cultural Anthropology.</t>
  </si>
  <si>
    <t>Anthropology, Other.</t>
  </si>
  <si>
    <t>Archeology.</t>
  </si>
  <si>
    <t>Criminology.</t>
  </si>
  <si>
    <t>Demography and Population Studies.</t>
  </si>
  <si>
    <t>Economics.</t>
  </si>
  <si>
    <t>Economics, General.</t>
  </si>
  <si>
    <t>Applied Economics.</t>
  </si>
  <si>
    <t>Econometrics and Quantitative Economics.</t>
  </si>
  <si>
    <t>Development Economics and International Development.</t>
  </si>
  <si>
    <t>International Economics.</t>
  </si>
  <si>
    <t>Economics, Other.</t>
  </si>
  <si>
    <t>Geography and Cartography.</t>
  </si>
  <si>
    <t>Geography.</t>
  </si>
  <si>
    <t>Geographic Information Science and Cartography.</t>
  </si>
  <si>
    <t>Geography, Other.</t>
  </si>
  <si>
    <t>International Relations and National Security Studies.</t>
  </si>
  <si>
    <t>International Relations and Affairs.</t>
  </si>
  <si>
    <t>National Security Policy Studies.</t>
  </si>
  <si>
    <t>International Relations and National Security Studies, Other.</t>
  </si>
  <si>
    <t>Political Science and Government.</t>
  </si>
  <si>
    <t>Political Science and Government, General.</t>
  </si>
  <si>
    <t>American Government and Politics (United States).</t>
  </si>
  <si>
    <t>Canadian Government and Politics.</t>
  </si>
  <si>
    <t>Political Economy.</t>
  </si>
  <si>
    <t>Political Science and Government, Other.</t>
  </si>
  <si>
    <t>Sociology.</t>
  </si>
  <si>
    <t>Urban Studies/Affairs.</t>
  </si>
  <si>
    <t>Sociology and Anthropology.</t>
  </si>
  <si>
    <t>Rural Sociology.</t>
  </si>
  <si>
    <t>Social Sciences, Other.</t>
  </si>
  <si>
    <t>CONSTRUCTION TRADES.</t>
  </si>
  <si>
    <t>Construction Trades, General.</t>
  </si>
  <si>
    <t>Mason/Masonry.</t>
  </si>
  <si>
    <t>Carpenters.</t>
  </si>
  <si>
    <t>Electrical and Power Transmission Installers.</t>
  </si>
  <si>
    <t>Electrical and Power Transmission Installation/Installer, General.</t>
  </si>
  <si>
    <t>Electrician.</t>
  </si>
  <si>
    <t>Lineworker.</t>
  </si>
  <si>
    <t>Electrical and Power Transmission Installers, Other.</t>
  </si>
  <si>
    <t>Building/Construction Finishing, Management, and Inspection.</t>
  </si>
  <si>
    <t>Building/Property Maintenance.</t>
  </si>
  <si>
    <t>Concrete Finishing/Concrete Finisher.</t>
  </si>
  <si>
    <t>Building/Home/Construction Inspection/Inspector.</t>
  </si>
  <si>
    <t>Drywall Installation/Drywaller.</t>
  </si>
  <si>
    <t>Glazier.</t>
  </si>
  <si>
    <t>Painting/Painter and Wall Coverer.</t>
  </si>
  <si>
    <t>Roofer.</t>
  </si>
  <si>
    <t>Metal Building Assembly/Assembler.</t>
  </si>
  <si>
    <t>Building/Construction Site Management/Manager.</t>
  </si>
  <si>
    <t>Carpet, Floor, and Tile Worker.</t>
  </si>
  <si>
    <t>Insulator.</t>
  </si>
  <si>
    <t>Building Construction Technology.</t>
  </si>
  <si>
    <t>Building/Construction Finishing, Management, and Inspection, Other.</t>
  </si>
  <si>
    <t>Plumbing and Related Water Supply Services.</t>
  </si>
  <si>
    <t>Pipefitting/Pipefitter and Sprinkler Fitter.</t>
  </si>
  <si>
    <t>Plumbing Technology/Plumber.</t>
  </si>
  <si>
    <t>Well Drilling/Driller.</t>
  </si>
  <si>
    <t>Blasting/Blaster.</t>
  </si>
  <si>
    <t>Plumbing and Related Water Supply Services, Other.</t>
  </si>
  <si>
    <t>Construction Trades, Other.</t>
  </si>
  <si>
    <t>MECHANIC AND REPAIR TECHNOLOGIES/TECHNICIANS.</t>
  </si>
  <si>
    <t>Mechanics and Repairers, General.</t>
  </si>
  <si>
    <t>Electrical/Electronics Maintenance and Repair Technology.</t>
  </si>
  <si>
    <t>Electrical/Electronics Equipment Installation and Repair, General.</t>
  </si>
  <si>
    <t>Business Machine Repair.</t>
  </si>
  <si>
    <t>Communications Systems Installation and Repair Technology.</t>
  </si>
  <si>
    <t>Computer Installation and Repair Technology/Technician.</t>
  </si>
  <si>
    <t>Industrial Electronics Technology/Technician.</t>
  </si>
  <si>
    <t>Appliance Installation and Repair Technology/Technician.</t>
  </si>
  <si>
    <t>Security System Installation, Repair, and Inspection Technology/Technician.</t>
  </si>
  <si>
    <t>Electrical/Electronics Maintenance and Repair Technology, Other.</t>
  </si>
  <si>
    <t>Heating, Air Conditioning, Ventilation and Refrigeration Maintenance Technology/Technician (HAC, HACR, HVAC, HVACR).</t>
  </si>
  <si>
    <t>Heavy/Industrial Equipment Maintenance Technologies.</t>
  </si>
  <si>
    <t>Heavy Equipment Maintenance Technology/Technician.</t>
  </si>
  <si>
    <t>Industrial Mechanics and Maintenance Technology.</t>
  </si>
  <si>
    <t>Heavy/Industrial Equipment Maintenance Technologies, Other.</t>
  </si>
  <si>
    <t>Precision Systems Maintenance and Repair Technologies.</t>
  </si>
  <si>
    <t>Gunsmithing/Gunsmith.</t>
  </si>
  <si>
    <t>Locksmithing and Safe Repair.</t>
  </si>
  <si>
    <t>Musical Instrument Fabrication and Repair.</t>
  </si>
  <si>
    <t>Watchmaking and Jewelrymaking.</t>
  </si>
  <si>
    <t>Parts and Warehousing Operations and Maintenance Technology/Technician.</t>
  </si>
  <si>
    <t>Precision Systems Maintenance and Repair Technologies, Other.</t>
  </si>
  <si>
    <t>Vehicle Maintenance and Repair Technologies.</t>
  </si>
  <si>
    <t>Vehicle Maintenance and Repair Technologies, General.</t>
  </si>
  <si>
    <t>Autobody/Collision and Repair Technology/Technician.</t>
  </si>
  <si>
    <t>Automobile/Automotive Mechanics Technology/Technician.</t>
  </si>
  <si>
    <t>Diesel Mechanics Technology/Technician.</t>
  </si>
  <si>
    <t>Small Engine Mechanics and Repair Technology/Technician.</t>
  </si>
  <si>
    <t>Airframe Mechanics and Aircraft Maintenance Technology/Technician.</t>
  </si>
  <si>
    <t>Aircraft Powerplant Technology/Technician.</t>
  </si>
  <si>
    <t>Avionics Maintenance Technology/Technician.</t>
  </si>
  <si>
    <t>Bicycle Mechanics and Repair Technology/Technician.</t>
  </si>
  <si>
    <t>Motorcycle Maintenance and Repair Technology/Technician.</t>
  </si>
  <si>
    <t>Vehicle Emissions Inspection and Maintenance Technology/Technician.</t>
  </si>
  <si>
    <t>Medium/Heavy Vehicle and Truck Technology/Technician.</t>
  </si>
  <si>
    <t>Alternative Fuel Vehicle Technology/Technician.</t>
  </si>
  <si>
    <t>Engine Machinist.</t>
  </si>
  <si>
    <t>Marine Maintenance/Fitter and Ship Repair Technology/Technician.</t>
  </si>
  <si>
    <t>High Performance and Custom Engine Technician/Mechanic.</t>
  </si>
  <si>
    <t>Recreation Vehicle (RV) Service Technician.</t>
  </si>
  <si>
    <t>Vehicle Maintenance and Repair Technologies, Other.</t>
  </si>
  <si>
    <t>Mechanic and Repair Technologies/Technicians, Other.</t>
  </si>
  <si>
    <t>PRECISION PRODUCTION.</t>
  </si>
  <si>
    <t>Precision Production Trades, General.</t>
  </si>
  <si>
    <t>Leatherworking and Upholstery.</t>
  </si>
  <si>
    <t>Upholstery/Upholsterer.</t>
  </si>
  <si>
    <t>Shoe, Boot and Leather Repair.</t>
  </si>
  <si>
    <t>Leatherworking and Upholstery, Other.</t>
  </si>
  <si>
    <t>Precision Metal Working.</t>
  </si>
  <si>
    <t>Machine Tool Technology/Machinist.</t>
  </si>
  <si>
    <t>Machine Shop Technology/Assistant.</t>
  </si>
  <si>
    <t>Sheet Metal Technology/Sheetworking.</t>
  </si>
  <si>
    <t>Tool and Die Technology/Technician.</t>
  </si>
  <si>
    <t>Welding Technology/Welder.</t>
  </si>
  <si>
    <t>Ironworking/Ironworker.</t>
  </si>
  <si>
    <t>Computer Numerically Controlled (CNC) Machinist Technology/CNC Machinist.</t>
  </si>
  <si>
    <t>Metal Fabricator.</t>
  </si>
  <si>
    <t>Precision Metal Working, Other.</t>
  </si>
  <si>
    <t>Woodworking.</t>
  </si>
  <si>
    <t>Woodworking, General.</t>
  </si>
  <si>
    <t>Furniture Design and Manufacturing.</t>
  </si>
  <si>
    <t>Cabinetmaking and Millwork.</t>
  </si>
  <si>
    <t>Woodworking, Other.</t>
  </si>
  <si>
    <t>Boilermaking/Boilermaker.</t>
  </si>
  <si>
    <t>Precision Production, Other.</t>
  </si>
  <si>
    <t>TRANSPORTATION AND MATERIALS MOVING.</t>
  </si>
  <si>
    <t>Air Transportation.</t>
  </si>
  <si>
    <t>Aeronautics/Aviation/Aerospace Science and Technology, General.</t>
  </si>
  <si>
    <t>Airline/Commercial/Professional Pilot and Flight Crew.</t>
  </si>
  <si>
    <t>Aviation/Airway Management and Operations.</t>
  </si>
  <si>
    <t>Air Traffic Controller.</t>
  </si>
  <si>
    <t>Airline Flight Attendant.</t>
  </si>
  <si>
    <t>Flight Instructor.</t>
  </si>
  <si>
    <t>Air Transportation, Other.</t>
  </si>
  <si>
    <t>Ground Transportation.</t>
  </si>
  <si>
    <t>Construction/Heavy Equipment/Earthmoving Equipment Operation.</t>
  </si>
  <si>
    <t>Truck and Bus Driver/Commercial Vehicle Operator and Instructor.</t>
  </si>
  <si>
    <t>Mobil Crane Operation/Operator.</t>
  </si>
  <si>
    <t>Flagging and Traffic Control.</t>
  </si>
  <si>
    <t>Railroad and Railway Transportation.</t>
  </si>
  <si>
    <t>Ground Transportation, Other.</t>
  </si>
  <si>
    <t>Marine Transportation.</t>
  </si>
  <si>
    <t>Commercial Fishing.</t>
  </si>
  <si>
    <t>Diver, Professional and Instructor.</t>
  </si>
  <si>
    <t>Marine Science/Merchant Marine Officer.</t>
  </si>
  <si>
    <t>Marine Transportation, Other.</t>
  </si>
  <si>
    <t>Transportation and Materials Moving, Other.</t>
  </si>
  <si>
    <t>VISUAL AND PERFORMING ARTS.</t>
  </si>
  <si>
    <t>Visual and Performing Arts, General.</t>
  </si>
  <si>
    <t>Digital Arts.</t>
  </si>
  <si>
    <t>Crafts/Craft Design, Folk Art and Artisanry.</t>
  </si>
  <si>
    <t>Dance.</t>
  </si>
  <si>
    <t>Dance, General.</t>
  </si>
  <si>
    <t>Ballet.</t>
  </si>
  <si>
    <t>Dance, Other.</t>
  </si>
  <si>
    <t>Design and Applied Arts.</t>
  </si>
  <si>
    <t>Design and Visual Communications, General.</t>
  </si>
  <si>
    <t>Commercial and Advertising Art.</t>
  </si>
  <si>
    <t>Industrial and Product Design.</t>
  </si>
  <si>
    <t>Commercial Photography.</t>
  </si>
  <si>
    <t>Fashion/Apparel Design.</t>
  </si>
  <si>
    <t>Interior Design.</t>
  </si>
  <si>
    <t>Graphic Design.</t>
  </si>
  <si>
    <t>Illustration.</t>
  </si>
  <si>
    <t>Game and Interactive Media Design.</t>
  </si>
  <si>
    <t>Design and Applied Arts, Other.</t>
  </si>
  <si>
    <t>Drama/Theatre Arts and Stagecraft.</t>
  </si>
  <si>
    <t>Drama and Dramatics/Theatre Arts, General.</t>
  </si>
  <si>
    <t>Technical Theatre/Theatre Design and Technology.</t>
  </si>
  <si>
    <t>Playwriting and Screenwriting.</t>
  </si>
  <si>
    <t>Theatre Literature, History and Criticism.</t>
  </si>
  <si>
    <t>Acting.</t>
  </si>
  <si>
    <t>Directing and Theatrical Production.</t>
  </si>
  <si>
    <t>Theatre/Theatre Arts Management.</t>
  </si>
  <si>
    <t>Musical Theatre.</t>
  </si>
  <si>
    <t>Costume Design.</t>
  </si>
  <si>
    <t>Dramatic/Theatre Arts and Stagecraft, Other.</t>
  </si>
  <si>
    <t>Film/Video and Photographic Arts.</t>
  </si>
  <si>
    <t>Film/Cinema/Video Studies.</t>
  </si>
  <si>
    <t>Cinematography and Film/Video Production.</t>
  </si>
  <si>
    <t>Photography.</t>
  </si>
  <si>
    <t>Documentary Production.</t>
  </si>
  <si>
    <t>Film/Video and Photographic Arts, Other.</t>
  </si>
  <si>
    <t>Fine and Studio Arts.</t>
  </si>
  <si>
    <t>Art/Art Studies, General.</t>
  </si>
  <si>
    <t>Fine/Studio Arts, General.</t>
  </si>
  <si>
    <t>Art History, Criticism and Conservation.</t>
  </si>
  <si>
    <t>Arts Management.</t>
  </si>
  <si>
    <t>Drawing.</t>
  </si>
  <si>
    <t>Intermedia/Multimedia.</t>
  </si>
  <si>
    <t>Painting.</t>
  </si>
  <si>
    <t>Sculpture.</t>
  </si>
  <si>
    <t>Printmaking.</t>
  </si>
  <si>
    <t>Ceramic Arts and Ceramics.</t>
  </si>
  <si>
    <t>Fiber, Textile and Weaving Arts.</t>
  </si>
  <si>
    <t>Metal and Jewelry Arts.</t>
  </si>
  <si>
    <t>Fine Arts and Art Studies, Other.</t>
  </si>
  <si>
    <t>Music, General.</t>
  </si>
  <si>
    <t>Music History, Literature, and Theory.</t>
  </si>
  <si>
    <t>Music Performance, General.</t>
  </si>
  <si>
    <t>Music Theory and Composition.</t>
  </si>
  <si>
    <t>Musicology and Ethnomusicology.</t>
  </si>
  <si>
    <t>Conducting.</t>
  </si>
  <si>
    <t>Keyboard Instruments.</t>
  </si>
  <si>
    <t>Voice and Opera.</t>
  </si>
  <si>
    <t>Music Management and Merchandising.</t>
  </si>
  <si>
    <t>Jazz/Jazz Studies.</t>
  </si>
  <si>
    <t>Stringed Instruments.</t>
  </si>
  <si>
    <t>Music Pedagogy.</t>
  </si>
  <si>
    <t>Music Technology.</t>
  </si>
  <si>
    <t>Brass Instruments.</t>
  </si>
  <si>
    <t>Woodwind Instruments.</t>
  </si>
  <si>
    <t>Percussion Instruments.</t>
  </si>
  <si>
    <t>Music, Other.</t>
  </si>
  <si>
    <t>Arts, Entertainment,and Media Management.</t>
  </si>
  <si>
    <t>Arts, Entertainment,and Media Management, General.</t>
  </si>
  <si>
    <t>Fine and Studio Arts Management.</t>
  </si>
  <si>
    <t>Music Management.</t>
  </si>
  <si>
    <t>Arts, Entertainment, and Media Management, Other.</t>
  </si>
  <si>
    <t>Visual and Performing Arts, Other.</t>
  </si>
  <si>
    <t>HEALTH PROFESSIONS AND RELATED PROGRAMS.</t>
  </si>
  <si>
    <t>Health Services/Allied Health/Health Sciences, General.</t>
  </si>
  <si>
    <t>Health and Wellness, General.</t>
  </si>
  <si>
    <t>Chiropractic.</t>
  </si>
  <si>
    <t>Communication Disorders Sciences and Services.</t>
  </si>
  <si>
    <t>Communication Sciences and Disorders, General.</t>
  </si>
  <si>
    <t>Audiology/Audiologist.</t>
  </si>
  <si>
    <t>Speech-Language Pathology/Pathologist.</t>
  </si>
  <si>
    <t>Audiology/Audiologist and Speech-Language Pathology/Pathologist.</t>
  </si>
  <si>
    <t>Communication Disorders Sciences and Services, Other.</t>
  </si>
  <si>
    <t>Dentistry.</t>
  </si>
  <si>
    <t>Advanced/Graduate Dentistry and Oral Sciences.</t>
  </si>
  <si>
    <t>Dental Clinical Sciences, General.</t>
  </si>
  <si>
    <t>Advanced General Dentistry.</t>
  </si>
  <si>
    <t>Oral Biology and Oral and Maxillofacial Pathology.</t>
  </si>
  <si>
    <t>Dental Public Health and Education.</t>
  </si>
  <si>
    <t>Dental Materials.</t>
  </si>
  <si>
    <t>Endodontics/Endodontology.</t>
  </si>
  <si>
    <t>Oral/Maxillofacial Surgery.</t>
  </si>
  <si>
    <t>Orthodontics/Orthodontology.</t>
  </si>
  <si>
    <t>Pediatric Dentistry/Pedodontics.</t>
  </si>
  <si>
    <t>Periodontics/Periodontology.</t>
  </si>
  <si>
    <t>Prosthodontics/Prosthodontology.</t>
  </si>
  <si>
    <t>Advanced/Graduate Dentistry and Oral Sciences, Other.</t>
  </si>
  <si>
    <t>Dental Support Services and Allied Professions.</t>
  </si>
  <si>
    <t>Dental Assisting/Assistant.</t>
  </si>
  <si>
    <t>Dental Hygiene/Hygienist.</t>
  </si>
  <si>
    <t>Dental Laboratory Technology/Technician.</t>
  </si>
  <si>
    <t>Dental Services and Allied Professions, Other.</t>
  </si>
  <si>
    <t>Health and Medical Administrative Services.</t>
  </si>
  <si>
    <t>Health/Health Care Administration/Management.</t>
  </si>
  <si>
    <t>Hospital and Health Care Facilities Administration/Management.</t>
  </si>
  <si>
    <t>Health Unit Coordinator/Ward Clerk.</t>
  </si>
  <si>
    <t>Health Unit Manager/Ward Supervisor.</t>
  </si>
  <si>
    <t>Medical Office Management/Administration.</t>
  </si>
  <si>
    <t>Health Information/Medical Records Administration/Administrator.</t>
  </si>
  <si>
    <t>Health Information/Medical Records Technology/Technician.</t>
  </si>
  <si>
    <t>Medical Transcription/Transcriptionist.</t>
  </si>
  <si>
    <t>Medical Office Computer Specialist/Assistant.</t>
  </si>
  <si>
    <t>Medical Office Assistant/Specialist.</t>
  </si>
  <si>
    <t>Medical/Health Management and Clinical Assistant/Specialist.</t>
  </si>
  <si>
    <t>Medical Reception/Receptionist.</t>
  </si>
  <si>
    <t>Medical Insurance Coding Specialist/Coder.</t>
  </si>
  <si>
    <t>Medical Insurance Specialist/Medical Biller.</t>
  </si>
  <si>
    <t>Health/Medical Claims Examiner.</t>
  </si>
  <si>
    <t>Medical Administrative/Executive Assistant and Medical Secretary.</t>
  </si>
  <si>
    <t>Medical Staff Services Technology/Technician.</t>
  </si>
  <si>
    <t>Long Term Care Administration/Management.</t>
  </si>
  <si>
    <t>Clinical Research Coordinator.</t>
  </si>
  <si>
    <t>Health and Medical Administrative Services, Other.</t>
  </si>
  <si>
    <t>Allied Health and Medical Assisting Services.</t>
  </si>
  <si>
    <t>Medical/Clinical Assistant.</t>
  </si>
  <si>
    <t>Clinical/Medical Laboratory Assistant.</t>
  </si>
  <si>
    <t>Occupational Therapist Assistant.</t>
  </si>
  <si>
    <t>Pharmacy Technician/Assistant.</t>
  </si>
  <si>
    <t>Physical Therapy Technician/Assistant.</t>
  </si>
  <si>
    <t>Veterinary/Animal Health Technology/Technician and Veterinary Assistant.</t>
  </si>
  <si>
    <t>Anesthesiologist Assistant.</t>
  </si>
  <si>
    <t>Emergency Care Attendant (EMT Ambulance).</t>
  </si>
  <si>
    <t>Pathology/Pathologist Assistant.</t>
  </si>
  <si>
    <t>Respiratory Therapy Technician/Assistant.</t>
  </si>
  <si>
    <t>Chiropractic Assistant/Technician.</t>
  </si>
  <si>
    <t>Radiologist Assistant.</t>
  </si>
  <si>
    <t>Lactation Consultant.</t>
  </si>
  <si>
    <t>Speech-Language Pathology Assistant.</t>
  </si>
  <si>
    <t>Allied Health and Medical Assisting Services, Other.</t>
  </si>
  <si>
    <t>Allied Health Diagnostic, Intervention, and Treatment Professions.</t>
  </si>
  <si>
    <t>Cardiovascular Technology/Technologist.</t>
  </si>
  <si>
    <t>Electrocardiograph Technology/Technician.</t>
  </si>
  <si>
    <t>Electroneurodiagnostic/Electroencephalographic Technology/Technologist.</t>
  </si>
  <si>
    <t>Emergency Medical Technology/Technician (EMT Paramedic).</t>
  </si>
  <si>
    <t>Nuclear Medical Technology/Technologist.</t>
  </si>
  <si>
    <t>Perfusion Technology/Perfusionist.</t>
  </si>
  <si>
    <t>Medical Radiologic Technology/Science - Radiation Therapist.</t>
  </si>
  <si>
    <t>Respiratory Care Therapy/Therapist.</t>
  </si>
  <si>
    <t>Surgical Technology/Technologist.</t>
  </si>
  <si>
    <t>Diagnostic Medical Sonography/Sonographer and Ultrasound Technician.</t>
  </si>
  <si>
    <t>Radiologic Technology/Science - Radiographer.</t>
  </si>
  <si>
    <t>Physician Assistant.</t>
  </si>
  <si>
    <t>Athletic Training/Trainer.</t>
  </si>
  <si>
    <t>Gene/Genetic Therapy.</t>
  </si>
  <si>
    <t>Cardiopulmonary Technology/Technologist.</t>
  </si>
  <si>
    <t>Radiation Protection/Health Physics Technician.</t>
  </si>
  <si>
    <t>Polysomnography.</t>
  </si>
  <si>
    <t>Hearing Instrument Specialist.</t>
  </si>
  <si>
    <t>Mammography Technician/Technology.</t>
  </si>
  <si>
    <t>Magnetic Resonance Imaging (MRI) Technology/Technician.</t>
  </si>
  <si>
    <t>Allied Health Diagnostic, Intervention, and Treatment Professions, Other.</t>
  </si>
  <si>
    <t>Clinical/Medical Laboratory Science/Research and Allied Professions.</t>
  </si>
  <si>
    <t>Blood Bank Technology Specialist.</t>
  </si>
  <si>
    <t>Cytotechnology/Cytotechnologist.</t>
  </si>
  <si>
    <t>Hematology Technology/Technician.</t>
  </si>
  <si>
    <t>Clinical/Medical Laboratory Technician.</t>
  </si>
  <si>
    <t>Clinical Laboratory Science/Medical Technology/Technologist.</t>
  </si>
  <si>
    <t>Ophthalmic Laboratory Technology/Technician.</t>
  </si>
  <si>
    <t>Histologic Technology/Histotechnologist.</t>
  </si>
  <si>
    <t>Histologic Technician.</t>
  </si>
  <si>
    <t>Phlebotomy Technician/Phlebotomist.</t>
  </si>
  <si>
    <t>Cytogenetics/Genetics/Clinical Genetics Technology/Technologist.</t>
  </si>
  <si>
    <t>Renal/Dialysis Technologist/Technician.</t>
  </si>
  <si>
    <t>Sterile Processing Technology/Technician.</t>
  </si>
  <si>
    <t>Clinical/Medical Laboratory Science and Allied Professions, Other.</t>
  </si>
  <si>
    <t>Health/Medical Preparatory Programs.</t>
  </si>
  <si>
    <t>Pre-Dentistry Studies.</t>
  </si>
  <si>
    <t>Pre-Medicine/Pre-Medical Studies.</t>
  </si>
  <si>
    <t>Pre-Pharmacy Studies.</t>
  </si>
  <si>
    <t>Pre-Veterinary Studies.</t>
  </si>
  <si>
    <t>Pre-Nursing Studies.</t>
  </si>
  <si>
    <t>Pre-Chiropractic Studies.</t>
  </si>
  <si>
    <t>Pre-Occupational Therapy Studies.</t>
  </si>
  <si>
    <t>Pre-Optometry Studies.</t>
  </si>
  <si>
    <t>Pre-Physical Therapy Studies.</t>
  </si>
  <si>
    <t>Health/Medical Preparatory Programs, Other.</t>
  </si>
  <si>
    <t>Medicine.</t>
  </si>
  <si>
    <t>Medical Clinical Sciences/Graduate Medical Studies.</t>
  </si>
  <si>
    <t>Mental and Social Health Services and Allied Professions.</t>
  </si>
  <si>
    <t>Substance Abuse/Addiction Counseling.</t>
  </si>
  <si>
    <t>Psychiatric/Mental Health Services Technician.</t>
  </si>
  <si>
    <t>Clinical/Medical Social Work.</t>
  </si>
  <si>
    <t>Community Health Services/Liaison/Counseling.</t>
  </si>
  <si>
    <t>Marriage and Family Therapy/Counseling.</t>
  </si>
  <si>
    <t>Clinical Pastoral Counseling/Patient Counseling.</t>
  </si>
  <si>
    <t>Psychoanalysis and Psychotherapy.</t>
  </si>
  <si>
    <t>Mental Health Counseling/Counselor.</t>
  </si>
  <si>
    <t>Genetic Counseling/Counselor.</t>
  </si>
  <si>
    <t>Mental and Social Health Services and Allied Professions, Other.</t>
  </si>
  <si>
    <t>Adult Health Nurse/Nursing.</t>
  </si>
  <si>
    <t>Nurse Anesthetist.</t>
  </si>
  <si>
    <t>Maternal/Child Health and Neonatal Nurse/Nursing.</t>
  </si>
  <si>
    <t>Nurse Midwife/Nursing Midwifery.</t>
  </si>
  <si>
    <t>Pediatric Nurse/Nursing.</t>
  </si>
  <si>
    <t>Psychiatric/Mental Health Nurse/Nursing.</t>
  </si>
  <si>
    <t>Public Health/Community Nurse/Nursing.</t>
  </si>
  <si>
    <t>Perioperative/Operating Room and Surgical Nurse/Nursing.</t>
  </si>
  <si>
    <t>Clinical Nurse Specialist.</t>
  </si>
  <si>
    <t>Critical Care Nursing.</t>
  </si>
  <si>
    <t>Occupational and Environmental Health Nursing.</t>
  </si>
  <si>
    <t>Optometry.</t>
  </si>
  <si>
    <t>Ophthalmic and Optometric Support Services and Allied Professions.</t>
  </si>
  <si>
    <t>Opticianry/Ophthalmic Dispensing Optician.</t>
  </si>
  <si>
    <t>Optometric Technician/Assistant.</t>
  </si>
  <si>
    <t>Ophthalmic Technician/Technologist.</t>
  </si>
  <si>
    <t>Orthoptics/Orthoptist.</t>
  </si>
  <si>
    <t>Ophthalmic and Optometric Support Services and Allied Professions, Other.</t>
  </si>
  <si>
    <t>Osteopathic Medicine/Osteopathy.</t>
  </si>
  <si>
    <t>Pharmacy, Pharmaceutical Sciences, and Administration.</t>
  </si>
  <si>
    <t>Pharmacy.</t>
  </si>
  <si>
    <t>Pharmacy Administration and Pharmacy Policy and Regulatory Affairs.</t>
  </si>
  <si>
    <t>Pharmaceutics and Drug Design.</t>
  </si>
  <si>
    <t>Medicinal and Pharmaceutical Chemistry.</t>
  </si>
  <si>
    <t>Natural Products Chemistry and Pharmacognosy.</t>
  </si>
  <si>
    <t>Clinical and Industrial Drug Development.</t>
  </si>
  <si>
    <t>Pharmacoeconomics/Pharmaceutical Economics.</t>
  </si>
  <si>
    <t>Clinical, Hospital, and Managed Care Pharmacy.</t>
  </si>
  <si>
    <t>Industrial and Physical Pharmacy and Cosmetic Sciences.</t>
  </si>
  <si>
    <t>Pharmaceutical Sciences.</t>
  </si>
  <si>
    <t>Pharmaceutical Marketing and Management.</t>
  </si>
  <si>
    <t>Pharmacy, Pharmaceutical Sciences, and Administration, Other.</t>
  </si>
  <si>
    <t>Podiatric Medicine/Podiatry.</t>
  </si>
  <si>
    <t>Public Health.</t>
  </si>
  <si>
    <t>Public Health, General.</t>
  </si>
  <si>
    <t>Environmental Health.</t>
  </si>
  <si>
    <t>Health/Medical  Physics.</t>
  </si>
  <si>
    <t>Occupational Health and Industrial Hygiene.</t>
  </si>
  <si>
    <t>Public Health Education and Promotion.</t>
  </si>
  <si>
    <t>Community Health and Preventive Medicine.</t>
  </si>
  <si>
    <t>Maternal and Child Health.</t>
  </si>
  <si>
    <t>International Public Health/International Health.</t>
  </si>
  <si>
    <t>Health Services Administration.</t>
  </si>
  <si>
    <t>Behavioral Aspects of Health.</t>
  </si>
  <si>
    <t>Public Health, Other.</t>
  </si>
  <si>
    <t>Rehabilitation and Therapeutic Professions.</t>
  </si>
  <si>
    <t>Art Therapy/Therapist.</t>
  </si>
  <si>
    <t>Dance Therapy/Therapist.</t>
  </si>
  <si>
    <t>Music Therapy/Therapist.</t>
  </si>
  <si>
    <t>Occupational Therapy/Therapist.</t>
  </si>
  <si>
    <t>Orthotist/Prosthetist.</t>
  </si>
  <si>
    <t>Physical Therapy/Therapist.</t>
  </si>
  <si>
    <t>Therapeutic Recreation/Recreational Therapy.</t>
  </si>
  <si>
    <t>Vocational Rehabilitation Counseling/Counselor.</t>
  </si>
  <si>
    <t>Kinesiotherapy/Kinesiotherapist.</t>
  </si>
  <si>
    <t>Assistive/Augmentative Technology and Rehabilitation Engineering.</t>
  </si>
  <si>
    <t>Animal-Assisted Therapy.</t>
  </si>
  <si>
    <t>Rehabilitation Science.</t>
  </si>
  <si>
    <t>Rehabilitation and Therapeutic Professions, Other.</t>
  </si>
  <si>
    <t>Veterinary Medicine.</t>
  </si>
  <si>
    <t>Veterinary Biomedical and Clinical Sciences.</t>
  </si>
  <si>
    <t>Veterinary Sciences/Veterinary Clinical Sciences, General.</t>
  </si>
  <si>
    <t>Veterinary Anatomy.</t>
  </si>
  <si>
    <t>Veterinary Physiology.</t>
  </si>
  <si>
    <t>Veterinary Microbiology and Immunobiology.</t>
  </si>
  <si>
    <t>Veterinary Pathology and Pathobiology.</t>
  </si>
  <si>
    <t>Veterinary Toxicology and Pharmacology.</t>
  </si>
  <si>
    <t>Large Animal/Food Animal and Equine Surgery and Medicine.</t>
  </si>
  <si>
    <t>Small/Companion Animal Surgery and Medicine.</t>
  </si>
  <si>
    <t>Comparative and Laboratory Animal Medicine.</t>
  </si>
  <si>
    <t>Veterinary Preventive Medicine, Epidemiology, and Public Health.</t>
  </si>
  <si>
    <t>Veterinary Infectious Diseases.</t>
  </si>
  <si>
    <t>Veterinary Biomedical and Clinical Sciences, Other.</t>
  </si>
  <si>
    <t>Health Aides/Attendants/Orderlies.</t>
  </si>
  <si>
    <t>Health Aide.</t>
  </si>
  <si>
    <t>Home Health Aide/Home Attendant.</t>
  </si>
  <si>
    <t>Medication Aide.</t>
  </si>
  <si>
    <t>Rehabilitation Aide.</t>
  </si>
  <si>
    <t>Health Aides/Attendants/Orderlies, Other.</t>
  </si>
  <si>
    <t>Medical Illustration and Informatics.</t>
  </si>
  <si>
    <t>Medical Illustration/Medical Illustrator.</t>
  </si>
  <si>
    <t>Medical Informatics.</t>
  </si>
  <si>
    <t>Medical Illustration and Informatics, Other.</t>
  </si>
  <si>
    <t>Dietetics and Clinical Nutrition Services.</t>
  </si>
  <si>
    <t>Dietetics/Dietitian.</t>
  </si>
  <si>
    <t>Clinical Nutrition/Nutritionist.</t>
  </si>
  <si>
    <t>Dietetic Technician.</t>
  </si>
  <si>
    <t>Dietitian Assistant.</t>
  </si>
  <si>
    <t>Dietetics and Clinical Nutrition Services, Other.</t>
  </si>
  <si>
    <t>Bioethics/Medical Ethics.</t>
  </si>
  <si>
    <t>Alternative and Complementary Medicine and Medical Systems.</t>
  </si>
  <si>
    <t>Alternative and Complementary Medicine and Medical Systems, General.</t>
  </si>
  <si>
    <t>Acupuncture and Oriental Medicine.</t>
  </si>
  <si>
    <t>Traditional Chinese Medicine and Chinese Herbology.</t>
  </si>
  <si>
    <t>Naturopathic Medicine/Naturopathy.</t>
  </si>
  <si>
    <t>Homeopathic Medicine/Homeopathy.</t>
  </si>
  <si>
    <t>Ayurvedic Medicine/Ayurveda.</t>
  </si>
  <si>
    <t>Holistic Health.</t>
  </si>
  <si>
    <t>Alternative and Complementary Medicine and Medical Systems, Other.</t>
  </si>
  <si>
    <t>Alternative and Complementary Medical Support Services.</t>
  </si>
  <si>
    <t>Direct Entry Midwifery.</t>
  </si>
  <si>
    <t>Alternative and Complementary Medical Support Services, Other.</t>
  </si>
  <si>
    <t>Somatic Bodywork and Related Therapeutic Services.</t>
  </si>
  <si>
    <t>Massage Therapy/Therapeutic Massage.</t>
  </si>
  <si>
    <t>Asian Bodywork Therapy.</t>
  </si>
  <si>
    <t>Somatic Bodywork.</t>
  </si>
  <si>
    <t>Somatic Bodywork and Related Therapeutic Services, Other.</t>
  </si>
  <si>
    <t>Movement and Mind-Body Therapies and Education.</t>
  </si>
  <si>
    <t>Movement Therapy and Movement Education.</t>
  </si>
  <si>
    <t>Yoga Teacher Training/Yoga Therapy.</t>
  </si>
  <si>
    <t>Hypnotherapy/Hypnotherapist.</t>
  </si>
  <si>
    <t>Movement and Mind-Body Therapies and Education, Other.</t>
  </si>
  <si>
    <t>Energy and Biologically Based Therapies.</t>
  </si>
  <si>
    <t>Aromatherapy.</t>
  </si>
  <si>
    <t>Herbalism/Herbalist.</t>
  </si>
  <si>
    <t>Polarity Therapy.</t>
  </si>
  <si>
    <t>Reiki.</t>
  </si>
  <si>
    <t>Energy and Biologically Based Therapies, Other.</t>
  </si>
  <si>
    <t>Registered Nursing, Nursing Administration, Nursing Research and Clinical Nursing.</t>
  </si>
  <si>
    <t>Registered Nursing/Registered Nurse.</t>
  </si>
  <si>
    <t>Nursing Administration.</t>
  </si>
  <si>
    <t>Family Practice Nurse/Nursing.</t>
  </si>
  <si>
    <t>Nursing Science.</t>
  </si>
  <si>
    <t>Emergency Room/Trauma Nursing.</t>
  </si>
  <si>
    <t>Nursing Education.</t>
  </si>
  <si>
    <t>Nursing Practice.</t>
  </si>
  <si>
    <t>Palliative Care Nursing.</t>
  </si>
  <si>
    <t>Clinical Nurse Leader.</t>
  </si>
  <si>
    <t>Geriatric Nurse/Nursing.</t>
  </si>
  <si>
    <t>Women's Health Nurse/Nursing.</t>
  </si>
  <si>
    <t>Registered Nursing, Nursing Administration, Nursing Research and Clinical Nursing, Other.</t>
  </si>
  <si>
    <t>Practical Nursing, Vocational Nursing and Nursing Assistants.</t>
  </si>
  <si>
    <t>Licensed Practical/Vocational Nurse Training.</t>
  </si>
  <si>
    <t>Nursing Assistant/Aide and Patient Care Assistant/Aide.</t>
  </si>
  <si>
    <t>Practical Nursing, Vocational Nursing and Nursing Assistants, Other.</t>
  </si>
  <si>
    <t>Health Professions and Related Clinical Sciences, Other.</t>
  </si>
  <si>
    <t>BUSINESS, MANAGEMENT, MARKETING, AND RELATED SUPPORT SERVICES.</t>
  </si>
  <si>
    <t>Business/Commerce, General.</t>
  </si>
  <si>
    <t>Business Administration, Management and Operations.</t>
  </si>
  <si>
    <t>Business Administration and Management, General.</t>
  </si>
  <si>
    <t>Purchasing, Procurement/Acquisitions and Contracts Management.</t>
  </si>
  <si>
    <t>Logistics, Materials, and Supply Chain Management.</t>
  </si>
  <si>
    <t>Office Management and Supervision.</t>
  </si>
  <si>
    <t>Operations Management and Supervision.</t>
  </si>
  <si>
    <t>Non-Profit/Public/Organizational Management.</t>
  </si>
  <si>
    <t>Customer Service Management.</t>
  </si>
  <si>
    <t>E-Commerce/Electronic Commerce.</t>
  </si>
  <si>
    <t>Transportation/Mobility Management.</t>
  </si>
  <si>
    <t>Research and Development Management.</t>
  </si>
  <si>
    <t>Project Management.</t>
  </si>
  <si>
    <t>Retail Management.</t>
  </si>
  <si>
    <t>Organizational Leadership.</t>
  </si>
  <si>
    <t>Business Administration, Management and Operations, Other.</t>
  </si>
  <si>
    <t>Accounting and Related Services.</t>
  </si>
  <si>
    <t>Accounting.</t>
  </si>
  <si>
    <t>Accounting Technology/Technician and Bookkeeping.</t>
  </si>
  <si>
    <t>Auditing.</t>
  </si>
  <si>
    <t>Accounting and Finance.</t>
  </si>
  <si>
    <t>Accounting and Business/Management.</t>
  </si>
  <si>
    <t>Accounting and Related Services, Other.</t>
  </si>
  <si>
    <t>Business Operations Support and Assistant Services.</t>
  </si>
  <si>
    <t>Administrative Assistant and Secretarial Science, General.</t>
  </si>
  <si>
    <t>Executive Assistant/Executive Secretary.</t>
  </si>
  <si>
    <t>Receptionist.</t>
  </si>
  <si>
    <t>Business/Office Automation/Technology/Data Entry.</t>
  </si>
  <si>
    <t>General Office Occupations and Clerical Services.</t>
  </si>
  <si>
    <t>Parts, Warehousing, and Inventory Management Operations.</t>
  </si>
  <si>
    <t>Traffic, Customs, and Transportation Clerk/Technician.</t>
  </si>
  <si>
    <t>Customer Service Support/Call Center/Teleservice Operation.</t>
  </si>
  <si>
    <t>Business Operations Support and Secretarial Services, Other.</t>
  </si>
  <si>
    <t>Business/Corporate Communications.</t>
  </si>
  <si>
    <t>Business/Managerial Economics.</t>
  </si>
  <si>
    <t>Entrepreneurial and Small Business Operations.</t>
  </si>
  <si>
    <t>Entrepreneurship/Entrepreneurial Studies.</t>
  </si>
  <si>
    <t>Franchising and Franchise Operations.</t>
  </si>
  <si>
    <t>Small Business Administration/Management.</t>
  </si>
  <si>
    <t>Entrepreneurial and Small Business Operations, Other.</t>
  </si>
  <si>
    <t>Finance and Financial Management Services.</t>
  </si>
  <si>
    <t>Finance, General.</t>
  </si>
  <si>
    <t>Banking and Financial Support Services.</t>
  </si>
  <si>
    <t>Financial Planning and Services.</t>
  </si>
  <si>
    <t>International Finance.</t>
  </si>
  <si>
    <t>Investments and Securities.</t>
  </si>
  <si>
    <t>Public Finance.</t>
  </si>
  <si>
    <t>Credit Management.</t>
  </si>
  <si>
    <t>Finance and Financial Management Services, Other.</t>
  </si>
  <si>
    <t>Hospitality Administration/Management.</t>
  </si>
  <si>
    <t>Hospitality Administration/Management, General.</t>
  </si>
  <si>
    <t>Tourism and Travel Services Management.</t>
  </si>
  <si>
    <t>Hotel/Motel Administration/Management.</t>
  </si>
  <si>
    <t>Restaurant/Food Services Management.</t>
  </si>
  <si>
    <t>Resort Management.</t>
  </si>
  <si>
    <t>Meeting and Event Planning.</t>
  </si>
  <si>
    <t>Casino Management.</t>
  </si>
  <si>
    <t>Hotel, Motel, and Restaurant Management.</t>
  </si>
  <si>
    <t>Hospitality Administration/Management, Other.</t>
  </si>
  <si>
    <t>Human Resources Management and Services.</t>
  </si>
  <si>
    <t>Human Resources Management/Personnel Administration, General.</t>
  </si>
  <si>
    <t>Labor and Industrial Relations.</t>
  </si>
  <si>
    <t>Organizational Behavior Studies.</t>
  </si>
  <si>
    <t>Labor Studies.</t>
  </si>
  <si>
    <t>Human Resources Development.</t>
  </si>
  <si>
    <t>Human Resources Management and Services, Other.</t>
  </si>
  <si>
    <t>International Business.</t>
  </si>
  <si>
    <t>Management Information Systems and Services.</t>
  </si>
  <si>
    <t>Management Information Systems, General.</t>
  </si>
  <si>
    <t>Information Resources Management.</t>
  </si>
  <si>
    <t>Knowledge Management.</t>
  </si>
  <si>
    <t>Management Information Systems and Services, Other.</t>
  </si>
  <si>
    <t>Management Sciences and Quantitative Methods.</t>
  </si>
  <si>
    <t>Management Science.</t>
  </si>
  <si>
    <t>Business Statistics.</t>
  </si>
  <si>
    <t>Actuarial Science.</t>
  </si>
  <si>
    <t>Management Sciences and Quantitative Methods, Other.</t>
  </si>
  <si>
    <t>Marketing.</t>
  </si>
  <si>
    <t>Marketing/Marketing Management, General.</t>
  </si>
  <si>
    <t>Marketing Research.</t>
  </si>
  <si>
    <t>International Marketing.</t>
  </si>
  <si>
    <t>Marketing, Other.</t>
  </si>
  <si>
    <t>Real Estate.</t>
  </si>
  <si>
    <t>Taxation.</t>
  </si>
  <si>
    <t>Insurance.</t>
  </si>
  <si>
    <t>General Sales, Merchandising and Related Marketing Operations.</t>
  </si>
  <si>
    <t>Sales, Distribution, and Marketing Operations, General.</t>
  </si>
  <si>
    <t>Merchandising and Buying Operations.</t>
  </si>
  <si>
    <t>Retailing and Retail Operations.</t>
  </si>
  <si>
    <t>Selling Skills and Sales Operations.</t>
  </si>
  <si>
    <t>General Merchandising, Sales, and Related Marketing Operations, Other.</t>
  </si>
  <si>
    <t>Specialized Sales, Merchandising and  Marketing Operations.</t>
  </si>
  <si>
    <t>Auctioneering.</t>
  </si>
  <si>
    <t>Fashion Merchandising.</t>
  </si>
  <si>
    <t>Fashion Modeling.</t>
  </si>
  <si>
    <t>Apparel and Accessories Marketing Operations.</t>
  </si>
  <si>
    <t>Tourism and Travel Services Marketing Operations.</t>
  </si>
  <si>
    <t>Tourism Promotion Operations.</t>
  </si>
  <si>
    <t>Vehicle and Vehicle Parts and Accessories Marketing Operations.</t>
  </si>
  <si>
    <t>Business and Personal/Financial Services Marketing Operations.</t>
  </si>
  <si>
    <t>Special Products Marketing Operations.</t>
  </si>
  <si>
    <t>Hospitality and Recreation Marketing Operations.</t>
  </si>
  <si>
    <t>Specialized Merchandising, Sales, and Marketing Operations, Other.</t>
  </si>
  <si>
    <t>Construction Management.</t>
  </si>
  <si>
    <t>Telecommunications Management.</t>
  </si>
  <si>
    <t>Business, Management, Marketing, and Related Support Services, Other.</t>
  </si>
  <si>
    <t>HISTORY.</t>
  </si>
  <si>
    <t>History.</t>
  </si>
  <si>
    <t>History, General.</t>
  </si>
  <si>
    <t>American  History (United States).</t>
  </si>
  <si>
    <t>European History.</t>
  </si>
  <si>
    <t>History and Philosophy of Science and Technology.</t>
  </si>
  <si>
    <t>Public/Applied History.</t>
  </si>
  <si>
    <t>Asian History.</t>
  </si>
  <si>
    <t>Canadian History.</t>
  </si>
  <si>
    <t>Military History.</t>
  </si>
  <si>
    <t>History, Other.</t>
  </si>
  <si>
    <t>NACE First-Destination Survey Template - Class of 2019</t>
  </si>
  <si>
    <r>
      <t xml:space="preserve">Deadline for Submission: </t>
    </r>
    <r>
      <rPr>
        <sz val="12"/>
        <color rgb="FFFF0000"/>
        <rFont val="Calibri"/>
        <family val="2"/>
        <scheme val="minor"/>
      </rPr>
      <t>April</t>
    </r>
    <r>
      <rPr>
        <sz val="12"/>
        <color indexed="10"/>
        <rFont val="Calibri"/>
        <family val="2"/>
      </rPr>
      <t xml:space="preserve"> 30, 2020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</si>
</sst>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2"/>
      <color indexed="12"/>
      <name val="Calibri"/>
      <family val="2"/>
    </font>
    <font>
      <sz val="12"/>
      <name val="Calibri"/>
      <family val="2"/>
    </font>
    <font>
      <sz val="12"/>
      <color indexed="10"/>
      <name val="Calibri"/>
      <family val="2"/>
    </font>
    <font>
      <u/>
      <sz val="12"/>
      <color theme="10"/>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0"/>
      <color theme="1"/>
      <name val="Calibri"/>
      <family val="2"/>
      <scheme val="minor"/>
    </font>
    <font>
      <b/>
      <sz val="10"/>
      <color theme="0"/>
      <name val="Calibri"/>
      <family val="2"/>
      <scheme val="minor"/>
    </font>
    <font>
      <sz val="9"/>
      <color theme="1"/>
      <name val="Calibri"/>
      <family val="2"/>
      <scheme val="minor"/>
    </font>
    <font>
      <sz val="9"/>
      <color rgb="FF000000"/>
      <name val="Calibri"/>
      <family val="2"/>
      <scheme val="minor"/>
    </font>
    <font>
      <b/>
      <sz val="12"/>
      <name val="Calibri"/>
      <family val="2"/>
      <scheme val="minor"/>
    </font>
    <font>
      <sz val="12"/>
      <color theme="10"/>
      <name val="Calibri"/>
      <family val="2"/>
      <scheme val="minor"/>
    </font>
    <font>
      <i/>
      <sz val="12"/>
      <color theme="1"/>
      <name val="Calibri"/>
      <family val="2"/>
      <scheme val="minor"/>
    </font>
    <font>
      <sz val="12"/>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23">
    <xf numFmtId="0" fontId="0" fillId="0" borderId="0" xfId="0"/>
    <xf numFmtId="0" fontId="6" fillId="0" borderId="0" xfId="0" applyFont="1"/>
    <xf numFmtId="0" fontId="7" fillId="0" borderId="0" xfId="0" applyFont="1"/>
    <xf numFmtId="0" fontId="0" fillId="0" borderId="0" xfId="0" applyAlignment="1">
      <alignment horizontal="right"/>
    </xf>
    <xf numFmtId="0" fontId="8" fillId="0" borderId="0" xfId="0" applyFont="1" applyAlignment="1">
      <alignment horizontal="right"/>
    </xf>
    <xf numFmtId="0" fontId="8" fillId="0" borderId="0" xfId="0" applyFont="1" applyAlignment="1">
      <alignment horizontal="center"/>
    </xf>
    <xf numFmtId="10" fontId="0" fillId="0" borderId="0" xfId="0" applyNumberFormat="1" applyAlignment="1">
      <alignment horizontal="right"/>
    </xf>
    <xf numFmtId="0" fontId="0" fillId="0" borderId="0" xfId="0" applyAlignment="1">
      <alignment wrapText="1"/>
    </xf>
    <xf numFmtId="0" fontId="9" fillId="0" borderId="0" xfId="0" applyFont="1" applyAlignment="1">
      <alignment horizontal="center" wrapText="1"/>
    </xf>
    <xf numFmtId="0" fontId="10" fillId="2" borderId="0" xfId="0" applyFont="1" applyFill="1" applyAlignment="1">
      <alignment horizontal="center" wrapText="1"/>
    </xf>
    <xf numFmtId="0" fontId="11" fillId="0" borderId="0" xfId="0" applyFont="1" applyAlignment="1">
      <alignment wrapText="1"/>
    </xf>
    <xf numFmtId="0" fontId="12" fillId="0" borderId="0" xfId="0" applyFont="1" applyAlignment="1">
      <alignment wrapText="1"/>
    </xf>
    <xf numFmtId="0" fontId="8" fillId="0" borderId="0" xfId="0" applyFont="1"/>
    <xf numFmtId="0" fontId="0" fillId="0" borderId="0" xfId="0" applyAlignment="1">
      <alignment horizontal="left" indent="1"/>
    </xf>
    <xf numFmtId="0" fontId="0" fillId="0" borderId="0" xfId="0" applyAlignment="1"/>
    <xf numFmtId="0" fontId="13" fillId="0" borderId="0" xfId="0" applyFont="1" applyAlignment="1">
      <alignment horizontal="left"/>
    </xf>
    <xf numFmtId="0" fontId="14" fillId="0" borderId="0" xfId="1" applyFont="1"/>
    <xf numFmtId="0" fontId="14" fillId="0" borderId="0" xfId="1" applyFont="1" applyAlignment="1"/>
    <xf numFmtId="0" fontId="15" fillId="0" borderId="0" xfId="0" applyFont="1"/>
    <xf numFmtId="0" fontId="5" fillId="0" borderId="0" xfId="1"/>
    <xf numFmtId="0" fontId="17" fillId="0" borderId="0" xfId="0" applyFont="1"/>
    <xf numFmtId="0" fontId="0" fillId="0" borderId="0" xfId="0" applyNumberFormat="1" applyAlignment="1">
      <alignment horizontal="right"/>
    </xf>
    <xf numFmtId="0" fontId="0" fillId="0" borderId="0" xfId="0" applyNumberFormat="1"/>
  </cellXfs>
  <cellStyles count="3">
    <cellStyle name="Hyperlink" xfId="1" builtinId="8"/>
    <cellStyle name="Normal" xfId="0" builtinId="0"/>
    <cellStyle name="Normal 2" xfId="2" xr:uid="{0E26EBB8-B0A8-4721-84DF-A94217F724D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1</xdr:row>
      <xdr:rowOff>200025</xdr:rowOff>
    </xdr:to>
    <xdr:pic>
      <xdr:nvPicPr>
        <xdr:cNvPr id="1035" name="Picture 1" descr="clip_image001.png">
          <a:extLst>
            <a:ext uri="{FF2B5EF4-FFF2-40B4-BE49-F238E27FC236}">
              <a16:creationId xmlns:a16="http://schemas.microsoft.com/office/drawing/2014/main" id="{F47F6191-CE9D-4BFB-9B15-FCEA81C35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1</xdr:row>
      <xdr:rowOff>200025</xdr:rowOff>
    </xdr:to>
    <xdr:pic>
      <xdr:nvPicPr>
        <xdr:cNvPr id="2059" name="Picture 1" descr="clip_image001.png">
          <a:extLst>
            <a:ext uri="{FF2B5EF4-FFF2-40B4-BE49-F238E27FC236}">
              <a16:creationId xmlns:a16="http://schemas.microsoft.com/office/drawing/2014/main" id="{135966BD-BA1E-4888-80A9-BA88ACDBE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1</xdr:row>
      <xdr:rowOff>200025</xdr:rowOff>
    </xdr:to>
    <xdr:pic>
      <xdr:nvPicPr>
        <xdr:cNvPr id="3083" name="Picture 1" descr="clip_image001.png">
          <a:extLst>
            <a:ext uri="{FF2B5EF4-FFF2-40B4-BE49-F238E27FC236}">
              <a16:creationId xmlns:a16="http://schemas.microsoft.com/office/drawing/2014/main" id="{D6598E26-2E6B-431B-9CC5-50C2A8D0E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1</xdr:row>
      <xdr:rowOff>200025</xdr:rowOff>
    </xdr:to>
    <xdr:pic>
      <xdr:nvPicPr>
        <xdr:cNvPr id="4107" name="Picture 1" descr="clip_image001.png">
          <a:extLst>
            <a:ext uri="{FF2B5EF4-FFF2-40B4-BE49-F238E27FC236}">
              <a16:creationId xmlns:a16="http://schemas.microsoft.com/office/drawing/2014/main" id="{ED04092F-74A0-4578-B6D8-332B197A6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1</xdr:row>
      <xdr:rowOff>304800</xdr:rowOff>
    </xdr:to>
    <xdr:pic>
      <xdr:nvPicPr>
        <xdr:cNvPr id="5131" name="Picture 1" descr="clip_image001.png">
          <a:extLst>
            <a:ext uri="{FF2B5EF4-FFF2-40B4-BE49-F238E27FC236}">
              <a16:creationId xmlns:a16="http://schemas.microsoft.com/office/drawing/2014/main" id="{E7266AF5-697E-4953-876F-0CC883BC83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2</xdr:row>
      <xdr:rowOff>104775</xdr:rowOff>
    </xdr:to>
    <xdr:pic>
      <xdr:nvPicPr>
        <xdr:cNvPr id="6155" name="Picture 1" descr="clip_image001.png">
          <a:extLst>
            <a:ext uri="{FF2B5EF4-FFF2-40B4-BE49-F238E27FC236}">
              <a16:creationId xmlns:a16="http://schemas.microsoft.com/office/drawing/2014/main" id="{948487D8-C45F-4D70-802A-51BC1E814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4</xdr:row>
      <xdr:rowOff>152400</xdr:rowOff>
    </xdr:to>
    <xdr:pic>
      <xdr:nvPicPr>
        <xdr:cNvPr id="7189" name="Picture 1" descr="clip_image001.png">
          <a:extLst>
            <a:ext uri="{FF2B5EF4-FFF2-40B4-BE49-F238E27FC236}">
              <a16:creationId xmlns:a16="http://schemas.microsoft.com/office/drawing/2014/main" id="{CF22CE8B-1974-4A06-8A8C-5288EDE55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xdr:row>
      <xdr:rowOff>0</xdr:rowOff>
    </xdr:from>
    <xdr:to>
      <xdr:col>3</xdr:col>
      <xdr:colOff>219075</xdr:colOff>
      <xdr:row>1</xdr:row>
      <xdr:rowOff>200025</xdr:rowOff>
    </xdr:to>
    <xdr:pic>
      <xdr:nvPicPr>
        <xdr:cNvPr id="7190" name="Picture 1" descr="clip_image001.png">
          <a:extLst>
            <a:ext uri="{FF2B5EF4-FFF2-40B4-BE49-F238E27FC236}">
              <a16:creationId xmlns:a16="http://schemas.microsoft.com/office/drawing/2014/main" id="{3B24BE28-9FA6-488A-AA85-3DEF8D74D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219075</xdr:colOff>
      <xdr:row>5</xdr:row>
      <xdr:rowOff>190500</xdr:rowOff>
    </xdr:to>
    <xdr:pic>
      <xdr:nvPicPr>
        <xdr:cNvPr id="8223" name="Picture 3" descr="clip_image001.png">
          <a:extLst>
            <a:ext uri="{FF2B5EF4-FFF2-40B4-BE49-F238E27FC236}">
              <a16:creationId xmlns:a16="http://schemas.microsoft.com/office/drawing/2014/main" id="{BEA476BF-53EB-4F5E-B079-4382FEB92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200025"/>
          <a:ext cx="219075"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xdr:row>
      <xdr:rowOff>0</xdr:rowOff>
    </xdr:from>
    <xdr:to>
      <xdr:col>3</xdr:col>
      <xdr:colOff>219075</xdr:colOff>
      <xdr:row>1</xdr:row>
      <xdr:rowOff>200025</xdr:rowOff>
    </xdr:to>
    <xdr:pic>
      <xdr:nvPicPr>
        <xdr:cNvPr id="8224" name="Picture 1" descr="clip_image001.png">
          <a:extLst>
            <a:ext uri="{FF2B5EF4-FFF2-40B4-BE49-F238E27FC236}">
              <a16:creationId xmlns:a16="http://schemas.microsoft.com/office/drawing/2014/main" id="{31530044-5F2A-4C71-BD5E-CF2E86489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xdr:row>
      <xdr:rowOff>0</xdr:rowOff>
    </xdr:from>
    <xdr:to>
      <xdr:col>3</xdr:col>
      <xdr:colOff>219075</xdr:colOff>
      <xdr:row>1</xdr:row>
      <xdr:rowOff>200025</xdr:rowOff>
    </xdr:to>
    <xdr:pic>
      <xdr:nvPicPr>
        <xdr:cNvPr id="8225" name="Picture 5" descr="clip_image001.png">
          <a:extLst>
            <a:ext uri="{FF2B5EF4-FFF2-40B4-BE49-F238E27FC236}">
              <a16:creationId xmlns:a16="http://schemas.microsoft.com/office/drawing/2014/main" id="{E14C7778-D1CE-42A7-8C08-9A85361000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200025"/>
          <a:ext cx="219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esearch@naceweb.org?subject=NACE%20First-Destination%20Template%20Question" TargetMode="External"/><Relationship Id="rId1" Type="http://schemas.openxmlformats.org/officeDocument/2006/relationships/hyperlink" Target="mailto:research@naceweb.org?subject=NACE%20First-Destination%20Survey:%20Data%20from%20%3cinsert%20your%20school%20name%3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tabSelected="1" workbookViewId="0">
      <selection activeCell="A16" sqref="A16"/>
    </sheetView>
  </sheetViews>
  <sheetFormatPr defaultRowHeight="15.75" x14ac:dyDescent="0.25"/>
  <cols>
    <col min="1" max="1" width="74.25" bestFit="1" customWidth="1"/>
  </cols>
  <sheetData>
    <row r="1" spans="1:1" x14ac:dyDescent="0.25">
      <c r="A1" s="12" t="s">
        <v>1891</v>
      </c>
    </row>
    <row r="3" spans="1:1" x14ac:dyDescent="0.25">
      <c r="A3" s="18" t="s">
        <v>97</v>
      </c>
    </row>
    <row r="5" spans="1:1" x14ac:dyDescent="0.25">
      <c r="A5" s="12" t="s">
        <v>92</v>
      </c>
    </row>
    <row r="6" spans="1:1" x14ac:dyDescent="0.25">
      <c r="A6" s="13" t="s">
        <v>80</v>
      </c>
    </row>
    <row r="7" spans="1:1" x14ac:dyDescent="0.25">
      <c r="A7" s="13" t="s">
        <v>81</v>
      </c>
    </row>
    <row r="8" spans="1:1" x14ac:dyDescent="0.25">
      <c r="A8" s="13" t="s">
        <v>82</v>
      </c>
    </row>
    <row r="9" spans="1:1" x14ac:dyDescent="0.25">
      <c r="A9" s="13" t="s">
        <v>83</v>
      </c>
    </row>
    <row r="10" spans="1:1" x14ac:dyDescent="0.25">
      <c r="A10" s="13" t="s">
        <v>85</v>
      </c>
    </row>
    <row r="11" spans="1:1" x14ac:dyDescent="0.25">
      <c r="A11" s="13" t="s">
        <v>84</v>
      </c>
    </row>
    <row r="12" spans="1:1" x14ac:dyDescent="0.25">
      <c r="A12" s="13" t="s">
        <v>86</v>
      </c>
    </row>
    <row r="13" spans="1:1" x14ac:dyDescent="0.25">
      <c r="A13" s="13" t="s">
        <v>87</v>
      </c>
    </row>
    <row r="14" spans="1:1" x14ac:dyDescent="0.25">
      <c r="A14" s="13" t="s">
        <v>88</v>
      </c>
    </row>
    <row r="16" spans="1:1" x14ac:dyDescent="0.25">
      <c r="A16" s="15" t="s">
        <v>1892</v>
      </c>
    </row>
    <row r="18" spans="1:1" x14ac:dyDescent="0.25">
      <c r="A18" s="12" t="s">
        <v>96</v>
      </c>
    </row>
    <row r="19" spans="1:1" x14ac:dyDescent="0.25">
      <c r="A19" s="16" t="s">
        <v>90</v>
      </c>
    </row>
    <row r="20" spans="1:1" x14ac:dyDescent="0.25">
      <c r="A20" t="s">
        <v>91</v>
      </c>
    </row>
    <row r="22" spans="1:1" x14ac:dyDescent="0.25">
      <c r="A22" s="12" t="s">
        <v>89</v>
      </c>
    </row>
    <row r="23" spans="1:1" x14ac:dyDescent="0.25">
      <c r="A23" s="14" t="s">
        <v>93</v>
      </c>
    </row>
    <row r="24" spans="1:1" x14ac:dyDescent="0.25">
      <c r="A24" s="17" t="s">
        <v>94</v>
      </c>
    </row>
    <row r="25" spans="1:1" x14ac:dyDescent="0.25">
      <c r="A25" s="14" t="s">
        <v>95</v>
      </c>
    </row>
  </sheetData>
  <hyperlinks>
    <hyperlink ref="A19" r:id="rId1" xr:uid="{00000000-0004-0000-0000-000000000000}"/>
    <hyperlink ref="A24"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8"/>
  <sheetViews>
    <sheetView workbookViewId="0">
      <selection activeCell="B2" sqref="B2"/>
    </sheetView>
  </sheetViews>
  <sheetFormatPr defaultColWidth="11" defaultRowHeight="15.75" x14ac:dyDescent="0.25"/>
  <cols>
    <col min="1" max="1" width="21.5" customWidth="1"/>
    <col min="2" max="2" width="106.375" customWidth="1"/>
  </cols>
  <sheetData>
    <row r="1" spans="1:4" s="5" customFormat="1" x14ac:dyDescent="0.25">
      <c r="A1" s="5" t="s">
        <v>12</v>
      </c>
      <c r="B1" s="5" t="s">
        <v>13</v>
      </c>
    </row>
    <row r="3" spans="1:4" ht="63" x14ac:dyDescent="0.25">
      <c r="A3" t="s">
        <v>104</v>
      </c>
      <c r="B3" s="7" t="s">
        <v>105</v>
      </c>
      <c r="D3" s="19"/>
    </row>
    <row r="4" spans="1:4" x14ac:dyDescent="0.25">
      <c r="A4" t="s">
        <v>0</v>
      </c>
      <c r="B4" t="s">
        <v>55</v>
      </c>
    </row>
    <row r="5" spans="1:4" ht="47.25" x14ac:dyDescent="0.25">
      <c r="A5" t="s">
        <v>1</v>
      </c>
      <c r="B5" s="7" t="s">
        <v>56</v>
      </c>
    </row>
    <row r="6" spans="1:4" ht="47.25" x14ac:dyDescent="0.25">
      <c r="A6" t="s">
        <v>4</v>
      </c>
      <c r="B6" s="7" t="s">
        <v>57</v>
      </c>
    </row>
    <row r="7" spans="1:4" ht="31.5" x14ac:dyDescent="0.25">
      <c r="A7" t="s">
        <v>34</v>
      </c>
      <c r="B7" s="7" t="s">
        <v>59</v>
      </c>
    </row>
    <row r="8" spans="1:4" ht="31.5" x14ac:dyDescent="0.25">
      <c r="A8" t="s">
        <v>35</v>
      </c>
      <c r="B8" s="7" t="s">
        <v>58</v>
      </c>
    </row>
    <row r="9" spans="1:4" ht="47.25" x14ac:dyDescent="0.25">
      <c r="A9" t="s">
        <v>19</v>
      </c>
      <c r="B9" s="7" t="s">
        <v>61</v>
      </c>
    </row>
    <row r="10" spans="1:4" ht="47.25" x14ac:dyDescent="0.25">
      <c r="A10" t="s">
        <v>21</v>
      </c>
      <c r="B10" s="7" t="s">
        <v>60</v>
      </c>
    </row>
    <row r="11" spans="1:4" ht="31.5" x14ac:dyDescent="0.25">
      <c r="A11" t="s">
        <v>43</v>
      </c>
      <c r="B11" s="7" t="s">
        <v>62</v>
      </c>
    </row>
    <row r="12" spans="1:4" ht="31.5" x14ac:dyDescent="0.25">
      <c r="A12" t="s">
        <v>44</v>
      </c>
      <c r="B12" s="7" t="s">
        <v>63</v>
      </c>
    </row>
    <row r="13" spans="1:4" x14ac:dyDescent="0.25">
      <c r="A13" t="s">
        <v>20</v>
      </c>
      <c r="B13" t="s">
        <v>64</v>
      </c>
    </row>
    <row r="14" spans="1:4" x14ac:dyDescent="0.25">
      <c r="A14" t="s">
        <v>22</v>
      </c>
      <c r="B14" t="s">
        <v>65</v>
      </c>
    </row>
    <row r="15" spans="1:4" x14ac:dyDescent="0.25">
      <c r="A15" t="s">
        <v>36</v>
      </c>
      <c r="B15" t="s">
        <v>70</v>
      </c>
    </row>
    <row r="16" spans="1:4" x14ac:dyDescent="0.25">
      <c r="A16" t="s">
        <v>71</v>
      </c>
      <c r="B16" t="s">
        <v>17</v>
      </c>
    </row>
    <row r="17" spans="1:2" x14ac:dyDescent="0.25">
      <c r="A17" t="s">
        <v>48</v>
      </c>
      <c r="B17" t="s">
        <v>72</v>
      </c>
    </row>
    <row r="18" spans="1:2" ht="31.5" x14ac:dyDescent="0.25">
      <c r="A18" t="s">
        <v>49</v>
      </c>
      <c r="B18" s="7" t="s">
        <v>73</v>
      </c>
    </row>
    <row r="19" spans="1:2" ht="31.5" x14ac:dyDescent="0.25">
      <c r="A19" s="7" t="s">
        <v>52</v>
      </c>
      <c r="B19" s="7" t="s">
        <v>74</v>
      </c>
    </row>
    <row r="20" spans="1:2" x14ac:dyDescent="0.25">
      <c r="A20" t="s">
        <v>14</v>
      </c>
      <c r="B20" t="s">
        <v>15</v>
      </c>
    </row>
    <row r="21" spans="1:2" x14ac:dyDescent="0.25">
      <c r="A21" t="s">
        <v>3</v>
      </c>
      <c r="B21" t="s">
        <v>18</v>
      </c>
    </row>
    <row r="22" spans="1:2" x14ac:dyDescent="0.25">
      <c r="A22" t="s">
        <v>9</v>
      </c>
      <c r="B22" t="s">
        <v>27</v>
      </c>
    </row>
    <row r="23" spans="1:2" x14ac:dyDescent="0.25">
      <c r="A23" t="s">
        <v>10</v>
      </c>
      <c r="B23" t="s">
        <v>28</v>
      </c>
    </row>
    <row r="24" spans="1:2" x14ac:dyDescent="0.25">
      <c r="A24" t="s">
        <v>5</v>
      </c>
      <c r="B24" t="s">
        <v>29</v>
      </c>
    </row>
    <row r="25" spans="1:2" x14ac:dyDescent="0.25">
      <c r="A25" t="s">
        <v>6</v>
      </c>
      <c r="B25" t="s">
        <v>30</v>
      </c>
    </row>
    <row r="26" spans="1:2" x14ac:dyDescent="0.25">
      <c r="A26" t="s">
        <v>11</v>
      </c>
      <c r="B26" t="s">
        <v>31</v>
      </c>
    </row>
    <row r="27" spans="1:2" x14ac:dyDescent="0.25">
      <c r="A27" t="s">
        <v>7</v>
      </c>
      <c r="B27" t="s">
        <v>32</v>
      </c>
    </row>
    <row r="28" spans="1:2" x14ac:dyDescent="0.25">
      <c r="A28" t="s">
        <v>8</v>
      </c>
      <c r="B28" t="s">
        <v>33</v>
      </c>
    </row>
  </sheetData>
  <pageMargins left="0.75" right="0.75" top="1" bottom="1" header="0.5" footer="0.5"/>
  <pageSetup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AAA3-DB75-4A1D-A460-350C49A374F3}">
  <dimension ref="A1:E1803"/>
  <sheetViews>
    <sheetView workbookViewId="0"/>
  </sheetViews>
  <sheetFormatPr defaultRowHeight="15.75" x14ac:dyDescent="0.25"/>
  <cols>
    <col min="3" max="5" width="4" customWidth="1"/>
  </cols>
  <sheetData>
    <row r="1" spans="1:5" x14ac:dyDescent="0.25">
      <c r="A1" s="20" t="s">
        <v>106</v>
      </c>
      <c r="B1" s="20" t="s">
        <v>107</v>
      </c>
      <c r="C1" s="20" t="s">
        <v>108</v>
      </c>
    </row>
    <row r="2" spans="1:5" x14ac:dyDescent="0.25">
      <c r="A2" t="str">
        <f>"01"</f>
        <v>01</v>
      </c>
      <c r="B2" t="str">
        <f>"01"</f>
        <v>01</v>
      </c>
      <c r="C2" t="s">
        <v>109</v>
      </c>
    </row>
    <row r="3" spans="1:5" x14ac:dyDescent="0.25">
      <c r="A3" t="str">
        <f t="shared" ref="A3:A66" si="0">"01"</f>
        <v>01</v>
      </c>
      <c r="B3" t="str">
        <f>"01.00"</f>
        <v>01.00</v>
      </c>
      <c r="D3" t="s">
        <v>110</v>
      </c>
    </row>
    <row r="4" spans="1:5" x14ac:dyDescent="0.25">
      <c r="A4" t="str">
        <f t="shared" si="0"/>
        <v>01</v>
      </c>
      <c r="B4" t="str">
        <f>"01.01"</f>
        <v>01.01</v>
      </c>
      <c r="D4" t="s">
        <v>111</v>
      </c>
    </row>
    <row r="5" spans="1:5" x14ac:dyDescent="0.25">
      <c r="A5" t="str">
        <f t="shared" si="0"/>
        <v>01</v>
      </c>
      <c r="B5" t="str">
        <f>"01.0101"</f>
        <v>01.0101</v>
      </c>
      <c r="E5" t="s">
        <v>112</v>
      </c>
    </row>
    <row r="6" spans="1:5" x14ac:dyDescent="0.25">
      <c r="A6" t="str">
        <f t="shared" si="0"/>
        <v>01</v>
      </c>
      <c r="B6" t="str">
        <f>"01.0102"</f>
        <v>01.0102</v>
      </c>
      <c r="E6" t="s">
        <v>113</v>
      </c>
    </row>
    <row r="7" spans="1:5" x14ac:dyDescent="0.25">
      <c r="A7" t="str">
        <f t="shared" si="0"/>
        <v>01</v>
      </c>
      <c r="B7" t="str">
        <f>"01.0103"</f>
        <v>01.0103</v>
      </c>
      <c r="E7" t="s">
        <v>114</v>
      </c>
    </row>
    <row r="8" spans="1:5" x14ac:dyDescent="0.25">
      <c r="A8" t="str">
        <f t="shared" si="0"/>
        <v>01</v>
      </c>
      <c r="B8" t="str">
        <f>"01.0104"</f>
        <v>01.0104</v>
      </c>
      <c r="E8" t="s">
        <v>115</v>
      </c>
    </row>
    <row r="9" spans="1:5" x14ac:dyDescent="0.25">
      <c r="A9" t="str">
        <f t="shared" si="0"/>
        <v>01</v>
      </c>
      <c r="B9" t="str">
        <f>"01.0105"</f>
        <v>01.0105</v>
      </c>
      <c r="E9" t="s">
        <v>116</v>
      </c>
    </row>
    <row r="10" spans="1:5" x14ac:dyDescent="0.25">
      <c r="A10" t="str">
        <f t="shared" si="0"/>
        <v>01</v>
      </c>
      <c r="B10" t="str">
        <f>"01.0106"</f>
        <v>01.0106</v>
      </c>
      <c r="E10" t="s">
        <v>117</v>
      </c>
    </row>
    <row r="11" spans="1:5" x14ac:dyDescent="0.25">
      <c r="A11" t="str">
        <f t="shared" si="0"/>
        <v>01</v>
      </c>
      <c r="B11" t="str">
        <f>"01.0199"</f>
        <v>01.0199</v>
      </c>
      <c r="E11" t="s">
        <v>118</v>
      </c>
    </row>
    <row r="12" spans="1:5" x14ac:dyDescent="0.25">
      <c r="A12" t="str">
        <f t="shared" si="0"/>
        <v>01</v>
      </c>
      <c r="B12" t="str">
        <f>"01.02"</f>
        <v>01.02</v>
      </c>
      <c r="D12" t="s">
        <v>119</v>
      </c>
    </row>
    <row r="13" spans="1:5" x14ac:dyDescent="0.25">
      <c r="A13" t="str">
        <f t="shared" si="0"/>
        <v>01</v>
      </c>
      <c r="B13" t="str">
        <f>"01.0201"</f>
        <v>01.0201</v>
      </c>
      <c r="E13" t="s">
        <v>120</v>
      </c>
    </row>
    <row r="14" spans="1:5" x14ac:dyDescent="0.25">
      <c r="A14" t="str">
        <f t="shared" si="0"/>
        <v>01</v>
      </c>
      <c r="B14" t="str">
        <f>"01.0204"</f>
        <v>01.0204</v>
      </c>
      <c r="E14" t="s">
        <v>121</v>
      </c>
    </row>
    <row r="15" spans="1:5" x14ac:dyDescent="0.25">
      <c r="A15" t="str">
        <f t="shared" si="0"/>
        <v>01</v>
      </c>
      <c r="B15" t="str">
        <f>"01.0205"</f>
        <v>01.0205</v>
      </c>
      <c r="E15" t="s">
        <v>122</v>
      </c>
    </row>
    <row r="16" spans="1:5" x14ac:dyDescent="0.25">
      <c r="A16" t="str">
        <f t="shared" si="0"/>
        <v>01</v>
      </c>
      <c r="B16" t="str">
        <f>"01.0299"</f>
        <v>01.0299</v>
      </c>
      <c r="E16" t="s">
        <v>123</v>
      </c>
    </row>
    <row r="17" spans="1:5" x14ac:dyDescent="0.25">
      <c r="A17" t="str">
        <f t="shared" si="0"/>
        <v>01</v>
      </c>
      <c r="B17" t="str">
        <f>"01.03"</f>
        <v>01.03</v>
      </c>
      <c r="D17" t="s">
        <v>124</v>
      </c>
    </row>
    <row r="18" spans="1:5" x14ac:dyDescent="0.25">
      <c r="A18" t="str">
        <f t="shared" si="0"/>
        <v>01</v>
      </c>
      <c r="B18" t="str">
        <f>"01.0301"</f>
        <v>01.0301</v>
      </c>
      <c r="E18" t="s">
        <v>125</v>
      </c>
    </row>
    <row r="19" spans="1:5" x14ac:dyDescent="0.25">
      <c r="A19" t="str">
        <f t="shared" si="0"/>
        <v>01</v>
      </c>
      <c r="B19" t="str">
        <f>"01.0302"</f>
        <v>01.0302</v>
      </c>
      <c r="E19" t="s">
        <v>126</v>
      </c>
    </row>
    <row r="20" spans="1:5" x14ac:dyDescent="0.25">
      <c r="A20" t="str">
        <f t="shared" si="0"/>
        <v>01</v>
      </c>
      <c r="B20" t="str">
        <f>"01.0303"</f>
        <v>01.0303</v>
      </c>
      <c r="E20" t="s">
        <v>127</v>
      </c>
    </row>
    <row r="21" spans="1:5" x14ac:dyDescent="0.25">
      <c r="A21" t="str">
        <f t="shared" si="0"/>
        <v>01</v>
      </c>
      <c r="B21" t="str">
        <f>"01.0304"</f>
        <v>01.0304</v>
      </c>
      <c r="E21" t="s">
        <v>128</v>
      </c>
    </row>
    <row r="22" spans="1:5" x14ac:dyDescent="0.25">
      <c r="A22" t="str">
        <f t="shared" si="0"/>
        <v>01</v>
      </c>
      <c r="B22" t="str">
        <f>"01.0306"</f>
        <v>01.0306</v>
      </c>
      <c r="E22" t="s">
        <v>129</v>
      </c>
    </row>
    <row r="23" spans="1:5" x14ac:dyDescent="0.25">
      <c r="A23" t="str">
        <f t="shared" si="0"/>
        <v>01</v>
      </c>
      <c r="B23" t="str">
        <f>"01.0307"</f>
        <v>01.0307</v>
      </c>
      <c r="E23" t="s">
        <v>130</v>
      </c>
    </row>
    <row r="24" spans="1:5" x14ac:dyDescent="0.25">
      <c r="A24" t="str">
        <f t="shared" si="0"/>
        <v>01</v>
      </c>
      <c r="B24" t="str">
        <f>"01.0308"</f>
        <v>01.0308</v>
      </c>
      <c r="E24" t="s">
        <v>131</v>
      </c>
    </row>
    <row r="25" spans="1:5" x14ac:dyDescent="0.25">
      <c r="A25" t="str">
        <f t="shared" si="0"/>
        <v>01</v>
      </c>
      <c r="B25" t="str">
        <f>"01.0309"</f>
        <v>01.0309</v>
      </c>
      <c r="E25" t="s">
        <v>132</v>
      </c>
    </row>
    <row r="26" spans="1:5" x14ac:dyDescent="0.25">
      <c r="A26" t="str">
        <f t="shared" si="0"/>
        <v>01</v>
      </c>
      <c r="B26" t="str">
        <f>"01.0399"</f>
        <v>01.0399</v>
      </c>
      <c r="E26" t="s">
        <v>133</v>
      </c>
    </row>
    <row r="27" spans="1:5" x14ac:dyDescent="0.25">
      <c r="A27" t="str">
        <f t="shared" si="0"/>
        <v>01</v>
      </c>
      <c r="B27" t="str">
        <f>"01.04"</f>
        <v>01.04</v>
      </c>
      <c r="D27" t="s">
        <v>134</v>
      </c>
    </row>
    <row r="28" spans="1:5" x14ac:dyDescent="0.25">
      <c r="A28" t="str">
        <f t="shared" si="0"/>
        <v>01</v>
      </c>
      <c r="B28" t="str">
        <f>"01.05"</f>
        <v>01.05</v>
      </c>
      <c r="D28" t="s">
        <v>135</v>
      </c>
    </row>
    <row r="29" spans="1:5" x14ac:dyDescent="0.25">
      <c r="A29" t="str">
        <f t="shared" si="0"/>
        <v>01</v>
      </c>
      <c r="B29" t="str">
        <f>"01.0504"</f>
        <v>01.0504</v>
      </c>
      <c r="E29" t="s">
        <v>136</v>
      </c>
    </row>
    <row r="30" spans="1:5" x14ac:dyDescent="0.25">
      <c r="A30" t="str">
        <f t="shared" si="0"/>
        <v>01</v>
      </c>
      <c r="B30" t="str">
        <f>"01.0505"</f>
        <v>01.0505</v>
      </c>
      <c r="E30" t="s">
        <v>137</v>
      </c>
    </row>
    <row r="31" spans="1:5" x14ac:dyDescent="0.25">
      <c r="A31" t="str">
        <f t="shared" si="0"/>
        <v>01</v>
      </c>
      <c r="B31" t="str">
        <f>"01.0507"</f>
        <v>01.0507</v>
      </c>
      <c r="E31" t="s">
        <v>138</v>
      </c>
    </row>
    <row r="32" spans="1:5" x14ac:dyDescent="0.25">
      <c r="A32" t="str">
        <f t="shared" si="0"/>
        <v>01</v>
      </c>
      <c r="B32" t="str">
        <f>"01.0508"</f>
        <v>01.0508</v>
      </c>
      <c r="E32" t="s">
        <v>139</v>
      </c>
    </row>
    <row r="33" spans="1:5" x14ac:dyDescent="0.25">
      <c r="A33" t="str">
        <f t="shared" si="0"/>
        <v>01</v>
      </c>
      <c r="B33" t="str">
        <f>"01.0599"</f>
        <v>01.0599</v>
      </c>
      <c r="E33" t="s">
        <v>140</v>
      </c>
    </row>
    <row r="34" spans="1:5" x14ac:dyDescent="0.25">
      <c r="A34" t="str">
        <f t="shared" si="0"/>
        <v>01</v>
      </c>
      <c r="B34" t="str">
        <f>"01.06"</f>
        <v>01.06</v>
      </c>
      <c r="D34" t="s">
        <v>141</v>
      </c>
    </row>
    <row r="35" spans="1:5" x14ac:dyDescent="0.25">
      <c r="A35" t="str">
        <f t="shared" si="0"/>
        <v>01</v>
      </c>
      <c r="B35" t="str">
        <f>"01.0601"</f>
        <v>01.0601</v>
      </c>
      <c r="E35" t="s">
        <v>142</v>
      </c>
    </row>
    <row r="36" spans="1:5" x14ac:dyDescent="0.25">
      <c r="A36" t="str">
        <f t="shared" si="0"/>
        <v>01</v>
      </c>
      <c r="B36" t="str">
        <f>"01.0603"</f>
        <v>01.0603</v>
      </c>
      <c r="E36" t="s">
        <v>143</v>
      </c>
    </row>
    <row r="37" spans="1:5" x14ac:dyDescent="0.25">
      <c r="A37" t="str">
        <f t="shared" si="0"/>
        <v>01</v>
      </c>
      <c r="B37" t="str">
        <f>"01.0604"</f>
        <v>01.0604</v>
      </c>
      <c r="E37" t="s">
        <v>144</v>
      </c>
    </row>
    <row r="38" spans="1:5" x14ac:dyDescent="0.25">
      <c r="A38" t="str">
        <f t="shared" si="0"/>
        <v>01</v>
      </c>
      <c r="B38" t="str">
        <f>"01.0605"</f>
        <v>01.0605</v>
      </c>
      <c r="E38" t="s">
        <v>145</v>
      </c>
    </row>
    <row r="39" spans="1:5" x14ac:dyDescent="0.25">
      <c r="A39" t="str">
        <f t="shared" si="0"/>
        <v>01</v>
      </c>
      <c r="B39" t="str">
        <f>"01.0606"</f>
        <v>01.0606</v>
      </c>
      <c r="E39" t="s">
        <v>146</v>
      </c>
    </row>
    <row r="40" spans="1:5" x14ac:dyDescent="0.25">
      <c r="A40" t="str">
        <f t="shared" si="0"/>
        <v>01</v>
      </c>
      <c r="B40" t="str">
        <f>"01.0607"</f>
        <v>01.0607</v>
      </c>
      <c r="E40" t="s">
        <v>147</v>
      </c>
    </row>
    <row r="41" spans="1:5" x14ac:dyDescent="0.25">
      <c r="A41" t="str">
        <f t="shared" si="0"/>
        <v>01</v>
      </c>
      <c r="B41" t="str">
        <f>"01.0608"</f>
        <v>01.0608</v>
      </c>
      <c r="E41" t="s">
        <v>148</v>
      </c>
    </row>
    <row r="42" spans="1:5" x14ac:dyDescent="0.25">
      <c r="A42" t="str">
        <f t="shared" si="0"/>
        <v>01</v>
      </c>
      <c r="B42" t="str">
        <f>"01.0699"</f>
        <v>01.0699</v>
      </c>
      <c r="E42" t="s">
        <v>149</v>
      </c>
    </row>
    <row r="43" spans="1:5" x14ac:dyDescent="0.25">
      <c r="A43" t="str">
        <f t="shared" si="0"/>
        <v>01</v>
      </c>
      <c r="B43" t="str">
        <f>"01.07"</f>
        <v>01.07</v>
      </c>
      <c r="D43" t="s">
        <v>150</v>
      </c>
    </row>
    <row r="44" spans="1:5" x14ac:dyDescent="0.25">
      <c r="A44" t="str">
        <f t="shared" si="0"/>
        <v>01</v>
      </c>
      <c r="B44" t="str">
        <f>"01.08"</f>
        <v>01.08</v>
      </c>
      <c r="D44" t="s">
        <v>151</v>
      </c>
    </row>
    <row r="45" spans="1:5" x14ac:dyDescent="0.25">
      <c r="A45" t="str">
        <f t="shared" si="0"/>
        <v>01</v>
      </c>
      <c r="B45" t="str">
        <f>"01.0801"</f>
        <v>01.0801</v>
      </c>
      <c r="E45" t="s">
        <v>152</v>
      </c>
    </row>
    <row r="46" spans="1:5" x14ac:dyDescent="0.25">
      <c r="A46" t="str">
        <f t="shared" si="0"/>
        <v>01</v>
      </c>
      <c r="B46" t="str">
        <f>"01.0802"</f>
        <v>01.0802</v>
      </c>
      <c r="E46" t="s">
        <v>153</v>
      </c>
    </row>
    <row r="47" spans="1:5" x14ac:dyDescent="0.25">
      <c r="A47" t="str">
        <f t="shared" si="0"/>
        <v>01</v>
      </c>
      <c r="B47" t="str">
        <f>"01.0899"</f>
        <v>01.0899</v>
      </c>
      <c r="E47" t="s">
        <v>154</v>
      </c>
    </row>
    <row r="48" spans="1:5" x14ac:dyDescent="0.25">
      <c r="A48" t="str">
        <f t="shared" si="0"/>
        <v>01</v>
      </c>
      <c r="B48" t="str">
        <f>"01.09"</f>
        <v>01.09</v>
      </c>
      <c r="D48" t="s">
        <v>155</v>
      </c>
    </row>
    <row r="49" spans="1:5" x14ac:dyDescent="0.25">
      <c r="A49" t="str">
        <f t="shared" si="0"/>
        <v>01</v>
      </c>
      <c r="B49" t="str">
        <f>"01.0901"</f>
        <v>01.0901</v>
      </c>
      <c r="E49" t="s">
        <v>156</v>
      </c>
    </row>
    <row r="50" spans="1:5" x14ac:dyDescent="0.25">
      <c r="A50" t="str">
        <f t="shared" si="0"/>
        <v>01</v>
      </c>
      <c r="B50" t="str">
        <f>"01.0902"</f>
        <v>01.0902</v>
      </c>
      <c r="E50" t="s">
        <v>157</v>
      </c>
    </row>
    <row r="51" spans="1:5" x14ac:dyDescent="0.25">
      <c r="A51" t="str">
        <f t="shared" si="0"/>
        <v>01</v>
      </c>
      <c r="B51" t="str">
        <f>"01.0903"</f>
        <v>01.0903</v>
      </c>
      <c r="E51" t="s">
        <v>158</v>
      </c>
    </row>
    <row r="52" spans="1:5" x14ac:dyDescent="0.25">
      <c r="A52" t="str">
        <f t="shared" si="0"/>
        <v>01</v>
      </c>
      <c r="B52" t="str">
        <f>"01.0904"</f>
        <v>01.0904</v>
      </c>
      <c r="E52" t="s">
        <v>159</v>
      </c>
    </row>
    <row r="53" spans="1:5" x14ac:dyDescent="0.25">
      <c r="A53" t="str">
        <f t="shared" si="0"/>
        <v>01</v>
      </c>
      <c r="B53" t="str">
        <f>"01.0905"</f>
        <v>01.0905</v>
      </c>
      <c r="E53" t="s">
        <v>160</v>
      </c>
    </row>
    <row r="54" spans="1:5" x14ac:dyDescent="0.25">
      <c r="A54" t="str">
        <f t="shared" si="0"/>
        <v>01</v>
      </c>
      <c r="B54" t="str">
        <f>"01.0906"</f>
        <v>01.0906</v>
      </c>
      <c r="E54" t="s">
        <v>161</v>
      </c>
    </row>
    <row r="55" spans="1:5" x14ac:dyDescent="0.25">
      <c r="A55" t="str">
        <f t="shared" si="0"/>
        <v>01</v>
      </c>
      <c r="B55" t="str">
        <f>"01.0907"</f>
        <v>01.0907</v>
      </c>
      <c r="E55" t="s">
        <v>162</v>
      </c>
    </row>
    <row r="56" spans="1:5" x14ac:dyDescent="0.25">
      <c r="A56" t="str">
        <f t="shared" si="0"/>
        <v>01</v>
      </c>
      <c r="B56" t="str">
        <f>"01.0999"</f>
        <v>01.0999</v>
      </c>
      <c r="E56" t="s">
        <v>163</v>
      </c>
    </row>
    <row r="57" spans="1:5" x14ac:dyDescent="0.25">
      <c r="A57" t="str">
        <f t="shared" si="0"/>
        <v>01</v>
      </c>
      <c r="B57" t="str">
        <f>"01.10"</f>
        <v>01.10</v>
      </c>
      <c r="D57" t="s">
        <v>164</v>
      </c>
    </row>
    <row r="58" spans="1:5" x14ac:dyDescent="0.25">
      <c r="A58" t="str">
        <f t="shared" si="0"/>
        <v>01</v>
      </c>
      <c r="B58" t="str">
        <f>"01.1001"</f>
        <v>01.1001</v>
      </c>
      <c r="E58" t="s">
        <v>165</v>
      </c>
    </row>
    <row r="59" spans="1:5" x14ac:dyDescent="0.25">
      <c r="A59" t="str">
        <f t="shared" si="0"/>
        <v>01</v>
      </c>
      <c r="B59" t="str">
        <f>"01.1002"</f>
        <v>01.1002</v>
      </c>
      <c r="E59" t="s">
        <v>166</v>
      </c>
    </row>
    <row r="60" spans="1:5" x14ac:dyDescent="0.25">
      <c r="A60" t="str">
        <f t="shared" si="0"/>
        <v>01</v>
      </c>
      <c r="B60" t="str">
        <f>"01.1099"</f>
        <v>01.1099</v>
      </c>
      <c r="E60" t="s">
        <v>167</v>
      </c>
    </row>
    <row r="61" spans="1:5" x14ac:dyDescent="0.25">
      <c r="A61" t="str">
        <f t="shared" si="0"/>
        <v>01</v>
      </c>
      <c r="B61" t="str">
        <f>"01.11"</f>
        <v>01.11</v>
      </c>
      <c r="D61" t="s">
        <v>168</v>
      </c>
    </row>
    <row r="62" spans="1:5" x14ac:dyDescent="0.25">
      <c r="A62" t="str">
        <f t="shared" si="0"/>
        <v>01</v>
      </c>
      <c r="B62" t="str">
        <f>"01.1101"</f>
        <v>01.1101</v>
      </c>
      <c r="E62" t="s">
        <v>169</v>
      </c>
    </row>
    <row r="63" spans="1:5" x14ac:dyDescent="0.25">
      <c r="A63" t="str">
        <f t="shared" si="0"/>
        <v>01</v>
      </c>
      <c r="B63" t="str">
        <f>"01.1102"</f>
        <v>01.1102</v>
      </c>
      <c r="E63" t="s">
        <v>170</v>
      </c>
    </row>
    <row r="64" spans="1:5" x14ac:dyDescent="0.25">
      <c r="A64" t="str">
        <f t="shared" si="0"/>
        <v>01</v>
      </c>
      <c r="B64" t="str">
        <f>"01.1103"</f>
        <v>01.1103</v>
      </c>
      <c r="E64" t="s">
        <v>171</v>
      </c>
    </row>
    <row r="65" spans="1:5" x14ac:dyDescent="0.25">
      <c r="A65" t="str">
        <f t="shared" si="0"/>
        <v>01</v>
      </c>
      <c r="B65" t="str">
        <f>"01.1104"</f>
        <v>01.1104</v>
      </c>
      <c r="E65" t="s">
        <v>172</v>
      </c>
    </row>
    <row r="66" spans="1:5" x14ac:dyDescent="0.25">
      <c r="A66" t="str">
        <f t="shared" si="0"/>
        <v>01</v>
      </c>
      <c r="B66" t="str">
        <f>"01.1105"</f>
        <v>01.1105</v>
      </c>
      <c r="E66" t="s">
        <v>173</v>
      </c>
    </row>
    <row r="67" spans="1:5" x14ac:dyDescent="0.25">
      <c r="A67" t="str">
        <f t="shared" ref="A67:A74" si="1">"01"</f>
        <v>01</v>
      </c>
      <c r="B67" t="str">
        <f>"01.1106"</f>
        <v>01.1106</v>
      </c>
      <c r="E67" t="s">
        <v>174</v>
      </c>
    </row>
    <row r="68" spans="1:5" x14ac:dyDescent="0.25">
      <c r="A68" t="str">
        <f t="shared" si="1"/>
        <v>01</v>
      </c>
      <c r="B68" t="str">
        <f>"01.1199"</f>
        <v>01.1199</v>
      </c>
      <c r="E68" t="s">
        <v>175</v>
      </c>
    </row>
    <row r="69" spans="1:5" x14ac:dyDescent="0.25">
      <c r="A69" t="str">
        <f t="shared" si="1"/>
        <v>01</v>
      </c>
      <c r="B69" t="str">
        <f>"01.12"</f>
        <v>01.12</v>
      </c>
      <c r="D69" t="s">
        <v>176</v>
      </c>
    </row>
    <row r="70" spans="1:5" x14ac:dyDescent="0.25">
      <c r="A70" t="str">
        <f t="shared" si="1"/>
        <v>01</v>
      </c>
      <c r="B70" t="str">
        <f>"01.1201"</f>
        <v>01.1201</v>
      </c>
      <c r="E70" t="s">
        <v>177</v>
      </c>
    </row>
    <row r="71" spans="1:5" x14ac:dyDescent="0.25">
      <c r="A71" t="str">
        <f t="shared" si="1"/>
        <v>01</v>
      </c>
      <c r="B71" t="str">
        <f>"01.1202"</f>
        <v>01.1202</v>
      </c>
      <c r="E71" t="s">
        <v>178</v>
      </c>
    </row>
    <row r="72" spans="1:5" x14ac:dyDescent="0.25">
      <c r="A72" t="str">
        <f t="shared" si="1"/>
        <v>01</v>
      </c>
      <c r="B72" t="str">
        <f>"01.1203"</f>
        <v>01.1203</v>
      </c>
      <c r="E72" t="s">
        <v>179</v>
      </c>
    </row>
    <row r="73" spans="1:5" x14ac:dyDescent="0.25">
      <c r="A73" t="str">
        <f t="shared" si="1"/>
        <v>01</v>
      </c>
      <c r="B73" t="str">
        <f>"01.1299"</f>
        <v>01.1299</v>
      </c>
      <c r="E73" t="s">
        <v>180</v>
      </c>
    </row>
    <row r="74" spans="1:5" x14ac:dyDescent="0.25">
      <c r="A74" t="str">
        <f t="shared" si="1"/>
        <v>01</v>
      </c>
      <c r="B74" t="str">
        <f>"01.99"</f>
        <v>01.99</v>
      </c>
      <c r="D74" t="s">
        <v>181</v>
      </c>
    </row>
    <row r="75" spans="1:5" x14ac:dyDescent="0.25">
      <c r="A75" t="str">
        <f>"03"</f>
        <v>03</v>
      </c>
      <c r="B75" t="str">
        <f>"03"</f>
        <v>03</v>
      </c>
      <c r="C75" t="s">
        <v>182</v>
      </c>
    </row>
    <row r="76" spans="1:5" x14ac:dyDescent="0.25">
      <c r="A76" t="str">
        <f t="shared" ref="A76:A100" si="2">"03"</f>
        <v>03</v>
      </c>
      <c r="B76" t="str">
        <f>"03.01"</f>
        <v>03.01</v>
      </c>
      <c r="D76" t="s">
        <v>183</v>
      </c>
    </row>
    <row r="77" spans="1:5" x14ac:dyDescent="0.25">
      <c r="A77" t="str">
        <f t="shared" si="2"/>
        <v>03</v>
      </c>
      <c r="B77" t="str">
        <f>"03.0101"</f>
        <v>03.0101</v>
      </c>
      <c r="E77" t="s">
        <v>184</v>
      </c>
    </row>
    <row r="78" spans="1:5" x14ac:dyDescent="0.25">
      <c r="A78" t="str">
        <f t="shared" si="2"/>
        <v>03</v>
      </c>
      <c r="B78" t="str">
        <f>"03.0103"</f>
        <v>03.0103</v>
      </c>
      <c r="E78" t="s">
        <v>185</v>
      </c>
    </row>
    <row r="79" spans="1:5" x14ac:dyDescent="0.25">
      <c r="A79" t="str">
        <f t="shared" si="2"/>
        <v>03</v>
      </c>
      <c r="B79" t="str">
        <f>"03.0104"</f>
        <v>03.0104</v>
      </c>
      <c r="E79" t="s">
        <v>186</v>
      </c>
    </row>
    <row r="80" spans="1:5" x14ac:dyDescent="0.25">
      <c r="A80" t="str">
        <f t="shared" si="2"/>
        <v>03</v>
      </c>
      <c r="B80" t="str">
        <f>"03.0199"</f>
        <v>03.0199</v>
      </c>
      <c r="E80" t="s">
        <v>187</v>
      </c>
    </row>
    <row r="81" spans="1:5" x14ac:dyDescent="0.25">
      <c r="A81" t="str">
        <f t="shared" si="2"/>
        <v>03</v>
      </c>
      <c r="B81" t="str">
        <f>"03.02"</f>
        <v>03.02</v>
      </c>
      <c r="D81" t="s">
        <v>188</v>
      </c>
    </row>
    <row r="82" spans="1:5" x14ac:dyDescent="0.25">
      <c r="A82" t="str">
        <f t="shared" si="2"/>
        <v>03</v>
      </c>
      <c r="B82" t="str">
        <f>"03.0201"</f>
        <v>03.0201</v>
      </c>
      <c r="E82" t="s">
        <v>188</v>
      </c>
    </row>
    <row r="83" spans="1:5" x14ac:dyDescent="0.25">
      <c r="A83" t="str">
        <f t="shared" si="2"/>
        <v>03</v>
      </c>
      <c r="B83" t="str">
        <f>"03.0204"</f>
        <v>03.0204</v>
      </c>
      <c r="E83" t="s">
        <v>189</v>
      </c>
    </row>
    <row r="84" spans="1:5" x14ac:dyDescent="0.25">
      <c r="A84" t="str">
        <f t="shared" si="2"/>
        <v>03</v>
      </c>
      <c r="B84" t="str">
        <f>"03.0205"</f>
        <v>03.0205</v>
      </c>
      <c r="E84" t="s">
        <v>190</v>
      </c>
    </row>
    <row r="85" spans="1:5" x14ac:dyDescent="0.25">
      <c r="A85" t="str">
        <f t="shared" si="2"/>
        <v>03</v>
      </c>
      <c r="B85" t="str">
        <f>"03.0206"</f>
        <v>03.0206</v>
      </c>
      <c r="E85" t="s">
        <v>191</v>
      </c>
    </row>
    <row r="86" spans="1:5" x14ac:dyDescent="0.25">
      <c r="A86" t="str">
        <f t="shared" si="2"/>
        <v>03</v>
      </c>
      <c r="B86" t="str">
        <f>"03.0207"</f>
        <v>03.0207</v>
      </c>
      <c r="E86" t="s">
        <v>192</v>
      </c>
    </row>
    <row r="87" spans="1:5" x14ac:dyDescent="0.25">
      <c r="A87" t="str">
        <f t="shared" si="2"/>
        <v>03</v>
      </c>
      <c r="B87" t="str">
        <f>"03.0208"</f>
        <v>03.0208</v>
      </c>
      <c r="E87" t="s">
        <v>193</v>
      </c>
    </row>
    <row r="88" spans="1:5" x14ac:dyDescent="0.25">
      <c r="A88" t="str">
        <f t="shared" si="2"/>
        <v>03</v>
      </c>
      <c r="B88" t="str">
        <f>"03.0299"</f>
        <v>03.0299</v>
      </c>
      <c r="E88" t="s">
        <v>194</v>
      </c>
    </row>
    <row r="89" spans="1:5" x14ac:dyDescent="0.25">
      <c r="A89" t="str">
        <f t="shared" si="2"/>
        <v>03</v>
      </c>
      <c r="B89" t="str">
        <f>"03.03"</f>
        <v>03.03</v>
      </c>
      <c r="D89" t="s">
        <v>195</v>
      </c>
    </row>
    <row r="90" spans="1:5" x14ac:dyDescent="0.25">
      <c r="A90" t="str">
        <f t="shared" si="2"/>
        <v>03</v>
      </c>
      <c r="B90" t="str">
        <f>"03.05"</f>
        <v>03.05</v>
      </c>
      <c r="D90" t="s">
        <v>196</v>
      </c>
    </row>
    <row r="91" spans="1:5" x14ac:dyDescent="0.25">
      <c r="A91" t="str">
        <f t="shared" si="2"/>
        <v>03</v>
      </c>
      <c r="B91" t="str">
        <f>"03.0501"</f>
        <v>03.0501</v>
      </c>
      <c r="E91" t="s">
        <v>197</v>
      </c>
    </row>
    <row r="92" spans="1:5" x14ac:dyDescent="0.25">
      <c r="A92" t="str">
        <f t="shared" si="2"/>
        <v>03</v>
      </c>
      <c r="B92" t="str">
        <f>"03.0502"</f>
        <v>03.0502</v>
      </c>
      <c r="E92" t="s">
        <v>198</v>
      </c>
    </row>
    <row r="93" spans="1:5" x14ac:dyDescent="0.25">
      <c r="A93" t="str">
        <f t="shared" si="2"/>
        <v>03</v>
      </c>
      <c r="B93" t="str">
        <f>"03.0506"</f>
        <v>03.0506</v>
      </c>
      <c r="E93" t="s">
        <v>199</v>
      </c>
    </row>
    <row r="94" spans="1:5" x14ac:dyDescent="0.25">
      <c r="A94" t="str">
        <f t="shared" si="2"/>
        <v>03</v>
      </c>
      <c r="B94" t="str">
        <f>"03.0508"</f>
        <v>03.0508</v>
      </c>
      <c r="E94" t="s">
        <v>200</v>
      </c>
    </row>
    <row r="95" spans="1:5" x14ac:dyDescent="0.25">
      <c r="A95" t="str">
        <f t="shared" si="2"/>
        <v>03</v>
      </c>
      <c r="B95" t="str">
        <f>"03.0509"</f>
        <v>03.0509</v>
      </c>
      <c r="E95" t="s">
        <v>201</v>
      </c>
    </row>
    <row r="96" spans="1:5" x14ac:dyDescent="0.25">
      <c r="A96" t="str">
        <f t="shared" si="2"/>
        <v>03</v>
      </c>
      <c r="B96" t="str">
        <f>"03.0510"</f>
        <v>03.0510</v>
      </c>
      <c r="E96" t="s">
        <v>202</v>
      </c>
    </row>
    <row r="97" spans="1:5" x14ac:dyDescent="0.25">
      <c r="A97" t="str">
        <f t="shared" si="2"/>
        <v>03</v>
      </c>
      <c r="B97" t="str">
        <f>"03.0511"</f>
        <v>03.0511</v>
      </c>
      <c r="E97" t="s">
        <v>203</v>
      </c>
    </row>
    <row r="98" spans="1:5" x14ac:dyDescent="0.25">
      <c r="A98" t="str">
        <f t="shared" si="2"/>
        <v>03</v>
      </c>
      <c r="B98" t="str">
        <f>"03.0599"</f>
        <v>03.0599</v>
      </c>
      <c r="E98" t="s">
        <v>204</v>
      </c>
    </row>
    <row r="99" spans="1:5" x14ac:dyDescent="0.25">
      <c r="A99" t="str">
        <f t="shared" si="2"/>
        <v>03</v>
      </c>
      <c r="B99" t="str">
        <f>"03.06"</f>
        <v>03.06</v>
      </c>
      <c r="D99" t="s">
        <v>205</v>
      </c>
    </row>
    <row r="100" spans="1:5" x14ac:dyDescent="0.25">
      <c r="A100" t="str">
        <f t="shared" si="2"/>
        <v>03</v>
      </c>
      <c r="B100" t="str">
        <f>"03.99"</f>
        <v>03.99</v>
      </c>
      <c r="D100" t="s">
        <v>206</v>
      </c>
    </row>
    <row r="101" spans="1:5" x14ac:dyDescent="0.25">
      <c r="A101" t="str">
        <f>"04"</f>
        <v>04</v>
      </c>
      <c r="B101" t="str">
        <f>"04"</f>
        <v>04</v>
      </c>
      <c r="C101" t="s">
        <v>207</v>
      </c>
    </row>
    <row r="102" spans="1:5" x14ac:dyDescent="0.25">
      <c r="A102" t="str">
        <f t="shared" ref="A102:A113" si="3">"04"</f>
        <v>04</v>
      </c>
      <c r="B102" t="str">
        <f>"04.02"</f>
        <v>04.02</v>
      </c>
      <c r="D102" t="s">
        <v>208</v>
      </c>
    </row>
    <row r="103" spans="1:5" x14ac:dyDescent="0.25">
      <c r="A103" t="str">
        <f t="shared" si="3"/>
        <v>04</v>
      </c>
      <c r="B103" t="str">
        <f>"04.03"</f>
        <v>04.03</v>
      </c>
      <c r="D103" t="s">
        <v>209</v>
      </c>
    </row>
    <row r="104" spans="1:5" x14ac:dyDescent="0.25">
      <c r="A104" t="str">
        <f t="shared" si="3"/>
        <v>04</v>
      </c>
      <c r="B104" t="str">
        <f>"04.04"</f>
        <v>04.04</v>
      </c>
      <c r="D104" t="s">
        <v>210</v>
      </c>
    </row>
    <row r="105" spans="1:5" x14ac:dyDescent="0.25">
      <c r="A105" t="str">
        <f t="shared" si="3"/>
        <v>04</v>
      </c>
      <c r="B105" t="str">
        <f>"04.05"</f>
        <v>04.05</v>
      </c>
      <c r="D105" t="s">
        <v>211</v>
      </c>
    </row>
    <row r="106" spans="1:5" x14ac:dyDescent="0.25">
      <c r="A106" t="str">
        <f t="shared" si="3"/>
        <v>04</v>
      </c>
      <c r="B106" t="str">
        <f>"04.06"</f>
        <v>04.06</v>
      </c>
      <c r="D106" t="s">
        <v>212</v>
      </c>
    </row>
    <row r="107" spans="1:5" x14ac:dyDescent="0.25">
      <c r="A107" t="str">
        <f t="shared" si="3"/>
        <v>04</v>
      </c>
      <c r="B107" t="str">
        <f>"04.08"</f>
        <v>04.08</v>
      </c>
      <c r="D107" t="s">
        <v>213</v>
      </c>
    </row>
    <row r="108" spans="1:5" x14ac:dyDescent="0.25">
      <c r="A108" t="str">
        <f t="shared" si="3"/>
        <v>04</v>
      </c>
      <c r="B108" t="str">
        <f>"04.09"</f>
        <v>04.09</v>
      </c>
      <c r="D108" t="s">
        <v>214</v>
      </c>
    </row>
    <row r="109" spans="1:5" x14ac:dyDescent="0.25">
      <c r="A109" t="str">
        <f t="shared" si="3"/>
        <v>04</v>
      </c>
      <c r="B109" t="str">
        <f>"04.0901"</f>
        <v>04.0901</v>
      </c>
      <c r="E109" t="s">
        <v>215</v>
      </c>
    </row>
    <row r="110" spans="1:5" x14ac:dyDescent="0.25">
      <c r="A110" t="str">
        <f t="shared" si="3"/>
        <v>04</v>
      </c>
      <c r="B110" t="str">
        <f>"04.0902"</f>
        <v>04.0902</v>
      </c>
      <c r="E110" t="s">
        <v>216</v>
      </c>
    </row>
    <row r="111" spans="1:5" x14ac:dyDescent="0.25">
      <c r="A111" t="str">
        <f t="shared" si="3"/>
        <v>04</v>
      </c>
      <c r="B111" t="str">
        <f>"04.0999"</f>
        <v>04.0999</v>
      </c>
      <c r="E111" t="s">
        <v>217</v>
      </c>
    </row>
    <row r="112" spans="1:5" x14ac:dyDescent="0.25">
      <c r="A112" t="str">
        <f t="shared" si="3"/>
        <v>04</v>
      </c>
      <c r="B112" t="str">
        <f>"04.10"</f>
        <v>04.10</v>
      </c>
      <c r="D112" t="s">
        <v>218</v>
      </c>
    </row>
    <row r="113" spans="1:5" x14ac:dyDescent="0.25">
      <c r="A113" t="str">
        <f t="shared" si="3"/>
        <v>04</v>
      </c>
      <c r="B113" t="str">
        <f>"04.99"</f>
        <v>04.99</v>
      </c>
      <c r="D113" t="s">
        <v>219</v>
      </c>
    </row>
    <row r="114" spans="1:5" x14ac:dyDescent="0.25">
      <c r="A114" t="str">
        <f>"05"</f>
        <v>05</v>
      </c>
      <c r="B114" t="str">
        <f>"05"</f>
        <v>05</v>
      </c>
      <c r="C114" t="s">
        <v>220</v>
      </c>
    </row>
    <row r="115" spans="1:5" x14ac:dyDescent="0.25">
      <c r="A115" t="str">
        <f t="shared" ref="A115:A162" si="4">"05"</f>
        <v>05</v>
      </c>
      <c r="B115" t="str">
        <f>"05.01"</f>
        <v>05.01</v>
      </c>
      <c r="D115" t="s">
        <v>221</v>
      </c>
    </row>
    <row r="116" spans="1:5" x14ac:dyDescent="0.25">
      <c r="A116" t="str">
        <f t="shared" si="4"/>
        <v>05</v>
      </c>
      <c r="B116" t="str">
        <f>"05.0101"</f>
        <v>05.0101</v>
      </c>
      <c r="E116" t="s">
        <v>222</v>
      </c>
    </row>
    <row r="117" spans="1:5" x14ac:dyDescent="0.25">
      <c r="A117" t="str">
        <f t="shared" si="4"/>
        <v>05</v>
      </c>
      <c r="B117" t="str">
        <f>"05.0102"</f>
        <v>05.0102</v>
      </c>
      <c r="E117" t="s">
        <v>223</v>
      </c>
    </row>
    <row r="118" spans="1:5" x14ac:dyDescent="0.25">
      <c r="A118" t="str">
        <f t="shared" si="4"/>
        <v>05</v>
      </c>
      <c r="B118" t="str">
        <f>"05.0103"</f>
        <v>05.0103</v>
      </c>
      <c r="E118" t="s">
        <v>224</v>
      </c>
    </row>
    <row r="119" spans="1:5" x14ac:dyDescent="0.25">
      <c r="A119" t="str">
        <f t="shared" si="4"/>
        <v>05</v>
      </c>
      <c r="B119" t="str">
        <f>"05.0104"</f>
        <v>05.0104</v>
      </c>
      <c r="E119" t="s">
        <v>225</v>
      </c>
    </row>
    <row r="120" spans="1:5" x14ac:dyDescent="0.25">
      <c r="A120" t="str">
        <f t="shared" si="4"/>
        <v>05</v>
      </c>
      <c r="B120" t="str">
        <f>"05.0105"</f>
        <v>05.0105</v>
      </c>
      <c r="E120" t="s">
        <v>226</v>
      </c>
    </row>
    <row r="121" spans="1:5" x14ac:dyDescent="0.25">
      <c r="A121" t="str">
        <f t="shared" si="4"/>
        <v>05</v>
      </c>
      <c r="B121" t="str">
        <f>"05.0106"</f>
        <v>05.0106</v>
      </c>
      <c r="E121" t="s">
        <v>227</v>
      </c>
    </row>
    <row r="122" spans="1:5" x14ac:dyDescent="0.25">
      <c r="A122" t="str">
        <f t="shared" si="4"/>
        <v>05</v>
      </c>
      <c r="B122" t="str">
        <f>"05.0107"</f>
        <v>05.0107</v>
      </c>
      <c r="E122" t="s">
        <v>228</v>
      </c>
    </row>
    <row r="123" spans="1:5" x14ac:dyDescent="0.25">
      <c r="A123" t="str">
        <f t="shared" si="4"/>
        <v>05</v>
      </c>
      <c r="B123" t="str">
        <f>"05.0108"</f>
        <v>05.0108</v>
      </c>
      <c r="E123" t="s">
        <v>229</v>
      </c>
    </row>
    <row r="124" spans="1:5" x14ac:dyDescent="0.25">
      <c r="A124" t="str">
        <f t="shared" si="4"/>
        <v>05</v>
      </c>
      <c r="B124" t="str">
        <f>"05.0109"</f>
        <v>05.0109</v>
      </c>
      <c r="E124" t="s">
        <v>230</v>
      </c>
    </row>
    <row r="125" spans="1:5" x14ac:dyDescent="0.25">
      <c r="A125" t="str">
        <f t="shared" si="4"/>
        <v>05</v>
      </c>
      <c r="B125" t="str">
        <f>"05.0110"</f>
        <v>05.0110</v>
      </c>
      <c r="E125" t="s">
        <v>231</v>
      </c>
    </row>
    <row r="126" spans="1:5" x14ac:dyDescent="0.25">
      <c r="A126" t="str">
        <f t="shared" si="4"/>
        <v>05</v>
      </c>
      <c r="B126" t="str">
        <f>"05.0111"</f>
        <v>05.0111</v>
      </c>
      <c r="E126" t="s">
        <v>232</v>
      </c>
    </row>
    <row r="127" spans="1:5" x14ac:dyDescent="0.25">
      <c r="A127" t="str">
        <f t="shared" si="4"/>
        <v>05</v>
      </c>
      <c r="B127" t="str">
        <f>"05.0112"</f>
        <v>05.0112</v>
      </c>
      <c r="E127" t="s">
        <v>233</v>
      </c>
    </row>
    <row r="128" spans="1:5" x14ac:dyDescent="0.25">
      <c r="A128" t="str">
        <f t="shared" si="4"/>
        <v>05</v>
      </c>
      <c r="B128" t="str">
        <f>"05.0113"</f>
        <v>05.0113</v>
      </c>
      <c r="E128" t="s">
        <v>234</v>
      </c>
    </row>
    <row r="129" spans="1:5" x14ac:dyDescent="0.25">
      <c r="A129" t="str">
        <f t="shared" si="4"/>
        <v>05</v>
      </c>
      <c r="B129" t="str">
        <f>"05.0114"</f>
        <v>05.0114</v>
      </c>
      <c r="E129" t="s">
        <v>235</v>
      </c>
    </row>
    <row r="130" spans="1:5" x14ac:dyDescent="0.25">
      <c r="A130" t="str">
        <f t="shared" si="4"/>
        <v>05</v>
      </c>
      <c r="B130" t="str">
        <f>"05.0115"</f>
        <v>05.0115</v>
      </c>
      <c r="E130" t="s">
        <v>236</v>
      </c>
    </row>
    <row r="131" spans="1:5" x14ac:dyDescent="0.25">
      <c r="A131" t="str">
        <f t="shared" si="4"/>
        <v>05</v>
      </c>
      <c r="B131" t="str">
        <f>"05.0116"</f>
        <v>05.0116</v>
      </c>
      <c r="E131" t="s">
        <v>237</v>
      </c>
    </row>
    <row r="132" spans="1:5" x14ac:dyDescent="0.25">
      <c r="A132" t="str">
        <f t="shared" si="4"/>
        <v>05</v>
      </c>
      <c r="B132" t="str">
        <f>"05.0117"</f>
        <v>05.0117</v>
      </c>
      <c r="E132" t="s">
        <v>238</v>
      </c>
    </row>
    <row r="133" spans="1:5" x14ac:dyDescent="0.25">
      <c r="A133" t="str">
        <f t="shared" si="4"/>
        <v>05</v>
      </c>
      <c r="B133" t="str">
        <f>"05.0118"</f>
        <v>05.0118</v>
      </c>
      <c r="E133" t="s">
        <v>239</v>
      </c>
    </row>
    <row r="134" spans="1:5" x14ac:dyDescent="0.25">
      <c r="A134" t="str">
        <f t="shared" si="4"/>
        <v>05</v>
      </c>
      <c r="B134" t="str">
        <f>"05.0119"</f>
        <v>05.0119</v>
      </c>
      <c r="E134" t="s">
        <v>240</v>
      </c>
    </row>
    <row r="135" spans="1:5" x14ac:dyDescent="0.25">
      <c r="A135" t="str">
        <f t="shared" si="4"/>
        <v>05</v>
      </c>
      <c r="B135" t="str">
        <f>"05.0120"</f>
        <v>05.0120</v>
      </c>
      <c r="E135" t="s">
        <v>241</v>
      </c>
    </row>
    <row r="136" spans="1:5" x14ac:dyDescent="0.25">
      <c r="A136" t="str">
        <f t="shared" si="4"/>
        <v>05</v>
      </c>
      <c r="B136" t="str">
        <f>"05.0121"</f>
        <v>05.0121</v>
      </c>
      <c r="E136" t="s">
        <v>242</v>
      </c>
    </row>
    <row r="137" spans="1:5" x14ac:dyDescent="0.25">
      <c r="A137" t="str">
        <f t="shared" si="4"/>
        <v>05</v>
      </c>
      <c r="B137" t="str">
        <f>"05.0122"</f>
        <v>05.0122</v>
      </c>
      <c r="E137" t="s">
        <v>243</v>
      </c>
    </row>
    <row r="138" spans="1:5" x14ac:dyDescent="0.25">
      <c r="A138" t="str">
        <f t="shared" si="4"/>
        <v>05</v>
      </c>
      <c r="B138" t="str">
        <f>"05.0123"</f>
        <v>05.0123</v>
      </c>
      <c r="E138" t="s">
        <v>244</v>
      </c>
    </row>
    <row r="139" spans="1:5" x14ac:dyDescent="0.25">
      <c r="A139" t="str">
        <f t="shared" si="4"/>
        <v>05</v>
      </c>
      <c r="B139" t="str">
        <f>"05.0124"</f>
        <v>05.0124</v>
      </c>
      <c r="E139" t="s">
        <v>245</v>
      </c>
    </row>
    <row r="140" spans="1:5" x14ac:dyDescent="0.25">
      <c r="A140" t="str">
        <f t="shared" si="4"/>
        <v>05</v>
      </c>
      <c r="B140" t="str">
        <f>"05.0125"</f>
        <v>05.0125</v>
      </c>
      <c r="E140" t="s">
        <v>246</v>
      </c>
    </row>
    <row r="141" spans="1:5" x14ac:dyDescent="0.25">
      <c r="A141" t="str">
        <f t="shared" si="4"/>
        <v>05</v>
      </c>
      <c r="B141" t="str">
        <f>"05.0126"</f>
        <v>05.0126</v>
      </c>
      <c r="E141" t="s">
        <v>247</v>
      </c>
    </row>
    <row r="142" spans="1:5" x14ac:dyDescent="0.25">
      <c r="A142" t="str">
        <f t="shared" si="4"/>
        <v>05</v>
      </c>
      <c r="B142" t="str">
        <f>"05.0127"</f>
        <v>05.0127</v>
      </c>
      <c r="E142" t="s">
        <v>248</v>
      </c>
    </row>
    <row r="143" spans="1:5" x14ac:dyDescent="0.25">
      <c r="A143" t="str">
        <f t="shared" si="4"/>
        <v>05</v>
      </c>
      <c r="B143" t="str">
        <f>"05.0128"</f>
        <v>05.0128</v>
      </c>
      <c r="E143" t="s">
        <v>249</v>
      </c>
    </row>
    <row r="144" spans="1:5" x14ac:dyDescent="0.25">
      <c r="A144" t="str">
        <f t="shared" si="4"/>
        <v>05</v>
      </c>
      <c r="B144" t="str">
        <f>"05.0129"</f>
        <v>05.0129</v>
      </c>
      <c r="E144" t="s">
        <v>250</v>
      </c>
    </row>
    <row r="145" spans="1:5" x14ac:dyDescent="0.25">
      <c r="A145" t="str">
        <f t="shared" si="4"/>
        <v>05</v>
      </c>
      <c r="B145" t="str">
        <f>"05.0130"</f>
        <v>05.0130</v>
      </c>
      <c r="E145" t="s">
        <v>251</v>
      </c>
    </row>
    <row r="146" spans="1:5" x14ac:dyDescent="0.25">
      <c r="A146" t="str">
        <f t="shared" si="4"/>
        <v>05</v>
      </c>
      <c r="B146" t="str">
        <f>"05.0131"</f>
        <v>05.0131</v>
      </c>
      <c r="E146" t="s">
        <v>252</v>
      </c>
    </row>
    <row r="147" spans="1:5" x14ac:dyDescent="0.25">
      <c r="A147" t="str">
        <f t="shared" si="4"/>
        <v>05</v>
      </c>
      <c r="B147" t="str">
        <f>"05.0132"</f>
        <v>05.0132</v>
      </c>
      <c r="E147" t="s">
        <v>253</v>
      </c>
    </row>
    <row r="148" spans="1:5" x14ac:dyDescent="0.25">
      <c r="A148" t="str">
        <f t="shared" si="4"/>
        <v>05</v>
      </c>
      <c r="B148" t="str">
        <f>"05.0133"</f>
        <v>05.0133</v>
      </c>
      <c r="E148" t="s">
        <v>254</v>
      </c>
    </row>
    <row r="149" spans="1:5" x14ac:dyDescent="0.25">
      <c r="A149" t="str">
        <f t="shared" si="4"/>
        <v>05</v>
      </c>
      <c r="B149" t="str">
        <f>"05.0134"</f>
        <v>05.0134</v>
      </c>
      <c r="E149" t="s">
        <v>255</v>
      </c>
    </row>
    <row r="150" spans="1:5" x14ac:dyDescent="0.25">
      <c r="A150" t="str">
        <f t="shared" si="4"/>
        <v>05</v>
      </c>
      <c r="B150" t="str">
        <f>"05.0199"</f>
        <v>05.0199</v>
      </c>
      <c r="E150" t="s">
        <v>256</v>
      </c>
    </row>
    <row r="151" spans="1:5" x14ac:dyDescent="0.25">
      <c r="A151" t="str">
        <f t="shared" si="4"/>
        <v>05</v>
      </c>
      <c r="B151" t="str">
        <f>"05.02"</f>
        <v>05.02</v>
      </c>
      <c r="D151" t="s">
        <v>257</v>
      </c>
    </row>
    <row r="152" spans="1:5" x14ac:dyDescent="0.25">
      <c r="A152" t="str">
        <f t="shared" si="4"/>
        <v>05</v>
      </c>
      <c r="B152" t="str">
        <f>"05.0200"</f>
        <v>05.0200</v>
      </c>
      <c r="E152" t="s">
        <v>258</v>
      </c>
    </row>
    <row r="153" spans="1:5" x14ac:dyDescent="0.25">
      <c r="A153" t="str">
        <f t="shared" si="4"/>
        <v>05</v>
      </c>
      <c r="B153" t="str">
        <f>"05.0201"</f>
        <v>05.0201</v>
      </c>
      <c r="E153" t="s">
        <v>259</v>
      </c>
    </row>
    <row r="154" spans="1:5" x14ac:dyDescent="0.25">
      <c r="A154" t="str">
        <f t="shared" si="4"/>
        <v>05</v>
      </c>
      <c r="B154" t="str">
        <f>"05.0202"</f>
        <v>05.0202</v>
      </c>
      <c r="E154" t="s">
        <v>260</v>
      </c>
    </row>
    <row r="155" spans="1:5" x14ac:dyDescent="0.25">
      <c r="A155" t="str">
        <f t="shared" si="4"/>
        <v>05</v>
      </c>
      <c r="B155" t="str">
        <f>"05.0203"</f>
        <v>05.0203</v>
      </c>
      <c r="E155" t="s">
        <v>261</v>
      </c>
    </row>
    <row r="156" spans="1:5" x14ac:dyDescent="0.25">
      <c r="A156" t="str">
        <f t="shared" si="4"/>
        <v>05</v>
      </c>
      <c r="B156" t="str">
        <f>"05.0206"</f>
        <v>05.0206</v>
      </c>
      <c r="E156" t="s">
        <v>262</v>
      </c>
    </row>
    <row r="157" spans="1:5" x14ac:dyDescent="0.25">
      <c r="A157" t="str">
        <f t="shared" si="4"/>
        <v>05</v>
      </c>
      <c r="B157" t="str">
        <f>"05.0207"</f>
        <v>05.0207</v>
      </c>
      <c r="E157" t="s">
        <v>263</v>
      </c>
    </row>
    <row r="158" spans="1:5" x14ac:dyDescent="0.25">
      <c r="A158" t="str">
        <f t="shared" si="4"/>
        <v>05</v>
      </c>
      <c r="B158" t="str">
        <f>"05.0208"</f>
        <v>05.0208</v>
      </c>
      <c r="E158" t="s">
        <v>264</v>
      </c>
    </row>
    <row r="159" spans="1:5" x14ac:dyDescent="0.25">
      <c r="A159" t="str">
        <f t="shared" si="4"/>
        <v>05</v>
      </c>
      <c r="B159" t="str">
        <f>"05.0209"</f>
        <v>05.0209</v>
      </c>
      <c r="E159" t="s">
        <v>265</v>
      </c>
    </row>
    <row r="160" spans="1:5" x14ac:dyDescent="0.25">
      <c r="A160" t="str">
        <f t="shared" si="4"/>
        <v>05</v>
      </c>
      <c r="B160" t="str">
        <f>"05.0210"</f>
        <v>05.0210</v>
      </c>
      <c r="E160" t="s">
        <v>266</v>
      </c>
    </row>
    <row r="161" spans="1:5" x14ac:dyDescent="0.25">
      <c r="A161" t="str">
        <f t="shared" si="4"/>
        <v>05</v>
      </c>
      <c r="B161" t="str">
        <f>"05.0211"</f>
        <v>05.0211</v>
      </c>
      <c r="E161" t="s">
        <v>267</v>
      </c>
    </row>
    <row r="162" spans="1:5" x14ac:dyDescent="0.25">
      <c r="A162" t="str">
        <f t="shared" si="4"/>
        <v>05</v>
      </c>
      <c r="B162" t="str">
        <f>"05.0299"</f>
        <v>05.0299</v>
      </c>
      <c r="E162" t="s">
        <v>268</v>
      </c>
    </row>
    <row r="163" spans="1:5" x14ac:dyDescent="0.25">
      <c r="A163" t="str">
        <f>"09"</f>
        <v>09</v>
      </c>
      <c r="B163" t="str">
        <f>"09"</f>
        <v>09</v>
      </c>
      <c r="C163" t="s">
        <v>269</v>
      </c>
    </row>
    <row r="164" spans="1:5" x14ac:dyDescent="0.25">
      <c r="A164" t="str">
        <f t="shared" ref="A164:A190" si="5">"09"</f>
        <v>09</v>
      </c>
      <c r="B164" t="str">
        <f>"09.01"</f>
        <v>09.01</v>
      </c>
      <c r="D164" t="s">
        <v>270</v>
      </c>
    </row>
    <row r="165" spans="1:5" x14ac:dyDescent="0.25">
      <c r="A165" t="str">
        <f t="shared" si="5"/>
        <v>09</v>
      </c>
      <c r="B165" t="str">
        <f>"09.0100"</f>
        <v>09.0100</v>
      </c>
      <c r="E165" t="s">
        <v>271</v>
      </c>
    </row>
    <row r="166" spans="1:5" x14ac:dyDescent="0.25">
      <c r="A166" t="str">
        <f t="shared" si="5"/>
        <v>09</v>
      </c>
      <c r="B166" t="str">
        <f>"09.0101"</f>
        <v>09.0101</v>
      </c>
      <c r="E166" t="s">
        <v>272</v>
      </c>
    </row>
    <row r="167" spans="1:5" x14ac:dyDescent="0.25">
      <c r="A167" t="str">
        <f t="shared" si="5"/>
        <v>09</v>
      </c>
      <c r="B167" t="str">
        <f>"09.0102"</f>
        <v>09.0102</v>
      </c>
      <c r="E167" t="s">
        <v>273</v>
      </c>
    </row>
    <row r="168" spans="1:5" x14ac:dyDescent="0.25">
      <c r="A168" t="str">
        <f t="shared" si="5"/>
        <v>09</v>
      </c>
      <c r="B168" t="str">
        <f>"09.0199"</f>
        <v>09.0199</v>
      </c>
      <c r="E168" t="s">
        <v>274</v>
      </c>
    </row>
    <row r="169" spans="1:5" x14ac:dyDescent="0.25">
      <c r="A169" t="str">
        <f t="shared" si="5"/>
        <v>09</v>
      </c>
      <c r="B169" t="str">
        <f>"09.04"</f>
        <v>09.04</v>
      </c>
      <c r="D169" t="s">
        <v>275</v>
      </c>
    </row>
    <row r="170" spans="1:5" x14ac:dyDescent="0.25">
      <c r="A170" t="str">
        <f t="shared" si="5"/>
        <v>09</v>
      </c>
      <c r="B170" t="str">
        <f>"09.0401"</f>
        <v>09.0401</v>
      </c>
      <c r="E170" t="s">
        <v>275</v>
      </c>
    </row>
    <row r="171" spans="1:5" x14ac:dyDescent="0.25">
      <c r="A171" t="str">
        <f t="shared" si="5"/>
        <v>09</v>
      </c>
      <c r="B171" t="str">
        <f>"09.0402"</f>
        <v>09.0402</v>
      </c>
      <c r="E171" t="s">
        <v>276</v>
      </c>
    </row>
    <row r="172" spans="1:5" x14ac:dyDescent="0.25">
      <c r="A172" t="str">
        <f t="shared" si="5"/>
        <v>09</v>
      </c>
      <c r="B172" t="str">
        <f>"09.0404"</f>
        <v>09.0404</v>
      </c>
      <c r="E172" t="s">
        <v>277</v>
      </c>
    </row>
    <row r="173" spans="1:5" x14ac:dyDescent="0.25">
      <c r="A173" t="str">
        <f t="shared" si="5"/>
        <v>09</v>
      </c>
      <c r="B173" t="str">
        <f>"09.0499"</f>
        <v>09.0499</v>
      </c>
      <c r="E173" t="s">
        <v>278</v>
      </c>
    </row>
    <row r="174" spans="1:5" x14ac:dyDescent="0.25">
      <c r="A174" t="str">
        <f t="shared" si="5"/>
        <v>09</v>
      </c>
      <c r="B174" t="str">
        <f>"09.07"</f>
        <v>09.07</v>
      </c>
      <c r="D174" t="s">
        <v>279</v>
      </c>
    </row>
    <row r="175" spans="1:5" x14ac:dyDescent="0.25">
      <c r="A175" t="str">
        <f t="shared" si="5"/>
        <v>09</v>
      </c>
      <c r="B175" t="str">
        <f>"09.0701"</f>
        <v>09.0701</v>
      </c>
      <c r="E175" t="s">
        <v>280</v>
      </c>
    </row>
    <row r="176" spans="1:5" x14ac:dyDescent="0.25">
      <c r="A176" t="str">
        <f t="shared" si="5"/>
        <v>09</v>
      </c>
      <c r="B176" t="str">
        <f>"09.0702"</f>
        <v>09.0702</v>
      </c>
      <c r="E176" t="s">
        <v>281</v>
      </c>
    </row>
    <row r="177" spans="1:5" x14ac:dyDescent="0.25">
      <c r="A177" t="str">
        <f t="shared" si="5"/>
        <v>09</v>
      </c>
      <c r="B177" t="str">
        <f>"09.0799"</f>
        <v>09.0799</v>
      </c>
      <c r="E177" t="s">
        <v>282</v>
      </c>
    </row>
    <row r="178" spans="1:5" x14ac:dyDescent="0.25">
      <c r="A178" t="str">
        <f t="shared" si="5"/>
        <v>09</v>
      </c>
      <c r="B178" t="str">
        <f>"09.09"</f>
        <v>09.09</v>
      </c>
      <c r="D178" t="s">
        <v>283</v>
      </c>
    </row>
    <row r="179" spans="1:5" x14ac:dyDescent="0.25">
      <c r="A179" t="str">
        <f t="shared" si="5"/>
        <v>09</v>
      </c>
      <c r="B179" t="str">
        <f>"09.0900"</f>
        <v>09.0900</v>
      </c>
      <c r="E179" t="s">
        <v>283</v>
      </c>
    </row>
    <row r="180" spans="1:5" x14ac:dyDescent="0.25">
      <c r="A180" t="str">
        <f t="shared" si="5"/>
        <v>09</v>
      </c>
      <c r="B180" t="str">
        <f>"09.0901"</f>
        <v>09.0901</v>
      </c>
      <c r="E180" t="s">
        <v>284</v>
      </c>
    </row>
    <row r="181" spans="1:5" x14ac:dyDescent="0.25">
      <c r="A181" t="str">
        <f t="shared" si="5"/>
        <v>09</v>
      </c>
      <c r="B181" t="str">
        <f>"09.0902"</f>
        <v>09.0902</v>
      </c>
      <c r="E181" t="s">
        <v>285</v>
      </c>
    </row>
    <row r="182" spans="1:5" x14ac:dyDescent="0.25">
      <c r="A182" t="str">
        <f t="shared" si="5"/>
        <v>09</v>
      </c>
      <c r="B182" t="str">
        <f>"09.0903"</f>
        <v>09.0903</v>
      </c>
      <c r="E182" t="s">
        <v>286</v>
      </c>
    </row>
    <row r="183" spans="1:5" x14ac:dyDescent="0.25">
      <c r="A183" t="str">
        <f t="shared" si="5"/>
        <v>09</v>
      </c>
      <c r="B183" t="str">
        <f>"09.0904"</f>
        <v>09.0904</v>
      </c>
      <c r="E183" t="s">
        <v>287</v>
      </c>
    </row>
    <row r="184" spans="1:5" x14ac:dyDescent="0.25">
      <c r="A184" t="str">
        <f t="shared" si="5"/>
        <v>09</v>
      </c>
      <c r="B184" t="str">
        <f>"09.0905"</f>
        <v>09.0905</v>
      </c>
      <c r="E184" t="s">
        <v>288</v>
      </c>
    </row>
    <row r="185" spans="1:5" x14ac:dyDescent="0.25">
      <c r="A185" t="str">
        <f t="shared" si="5"/>
        <v>09</v>
      </c>
      <c r="B185" t="str">
        <f>"09.0906"</f>
        <v>09.0906</v>
      </c>
      <c r="E185" t="s">
        <v>289</v>
      </c>
    </row>
    <row r="186" spans="1:5" x14ac:dyDescent="0.25">
      <c r="A186" t="str">
        <f t="shared" si="5"/>
        <v>09</v>
      </c>
      <c r="B186" t="str">
        <f>"09.0907"</f>
        <v>09.0907</v>
      </c>
      <c r="E186" t="s">
        <v>290</v>
      </c>
    </row>
    <row r="187" spans="1:5" x14ac:dyDescent="0.25">
      <c r="A187" t="str">
        <f t="shared" si="5"/>
        <v>09</v>
      </c>
      <c r="B187" t="str">
        <f>"09.0908"</f>
        <v>09.0908</v>
      </c>
      <c r="E187" t="s">
        <v>291</v>
      </c>
    </row>
    <row r="188" spans="1:5" x14ac:dyDescent="0.25">
      <c r="A188" t="str">
        <f t="shared" si="5"/>
        <v>09</v>
      </c>
      <c r="B188" t="str">
        <f>"09.0999"</f>
        <v>09.0999</v>
      </c>
      <c r="E188" t="s">
        <v>292</v>
      </c>
    </row>
    <row r="189" spans="1:5" x14ac:dyDescent="0.25">
      <c r="A189" t="str">
        <f t="shared" si="5"/>
        <v>09</v>
      </c>
      <c r="B189" t="str">
        <f>"09.10"</f>
        <v>09.10</v>
      </c>
      <c r="D189" t="s">
        <v>293</v>
      </c>
    </row>
    <row r="190" spans="1:5" x14ac:dyDescent="0.25">
      <c r="A190" t="str">
        <f t="shared" si="5"/>
        <v>09</v>
      </c>
      <c r="B190" t="str">
        <f>"09.99"</f>
        <v>09.99</v>
      </c>
      <c r="D190" t="s">
        <v>294</v>
      </c>
    </row>
    <row r="191" spans="1:5" x14ac:dyDescent="0.25">
      <c r="A191" t="str">
        <f>"10"</f>
        <v>10</v>
      </c>
      <c r="B191" t="str">
        <f>"10"</f>
        <v>10</v>
      </c>
      <c r="C191" t="s">
        <v>295</v>
      </c>
    </row>
    <row r="192" spans="1:5" x14ac:dyDescent="0.25">
      <c r="A192" t="str">
        <f t="shared" ref="A192:A208" si="6">"10"</f>
        <v>10</v>
      </c>
      <c r="B192" t="str">
        <f>"10.01"</f>
        <v>10.01</v>
      </c>
      <c r="D192" t="s">
        <v>296</v>
      </c>
    </row>
    <row r="193" spans="1:5" x14ac:dyDescent="0.25">
      <c r="A193" t="str">
        <f t="shared" si="6"/>
        <v>10</v>
      </c>
      <c r="B193" t="str">
        <f>"10.02"</f>
        <v>10.02</v>
      </c>
      <c r="D193" t="s">
        <v>297</v>
      </c>
    </row>
    <row r="194" spans="1:5" x14ac:dyDescent="0.25">
      <c r="A194" t="str">
        <f t="shared" si="6"/>
        <v>10</v>
      </c>
      <c r="B194" t="str">
        <f>"10.0201"</f>
        <v>10.0201</v>
      </c>
      <c r="E194" t="s">
        <v>298</v>
      </c>
    </row>
    <row r="195" spans="1:5" x14ac:dyDescent="0.25">
      <c r="A195" t="str">
        <f t="shared" si="6"/>
        <v>10</v>
      </c>
      <c r="B195" t="str">
        <f>"10.0202"</f>
        <v>10.0202</v>
      </c>
      <c r="E195" t="s">
        <v>299</v>
      </c>
    </row>
    <row r="196" spans="1:5" x14ac:dyDescent="0.25">
      <c r="A196" t="str">
        <f t="shared" si="6"/>
        <v>10</v>
      </c>
      <c r="B196" t="str">
        <f>"10.0203"</f>
        <v>10.0203</v>
      </c>
      <c r="E196" t="s">
        <v>300</v>
      </c>
    </row>
    <row r="197" spans="1:5" x14ac:dyDescent="0.25">
      <c r="A197" t="str">
        <f t="shared" si="6"/>
        <v>10</v>
      </c>
      <c r="B197" t="str">
        <f>"10.0299"</f>
        <v>10.0299</v>
      </c>
      <c r="E197" t="s">
        <v>301</v>
      </c>
    </row>
    <row r="198" spans="1:5" x14ac:dyDescent="0.25">
      <c r="A198" t="str">
        <f t="shared" si="6"/>
        <v>10</v>
      </c>
      <c r="B198" t="str">
        <f>"10.03"</f>
        <v>10.03</v>
      </c>
      <c r="D198" t="s">
        <v>302</v>
      </c>
    </row>
    <row r="199" spans="1:5" x14ac:dyDescent="0.25">
      <c r="A199" t="str">
        <f t="shared" si="6"/>
        <v>10</v>
      </c>
      <c r="B199" t="str">
        <f>"10.0301"</f>
        <v>10.0301</v>
      </c>
      <c r="E199" t="s">
        <v>303</v>
      </c>
    </row>
    <row r="200" spans="1:5" x14ac:dyDescent="0.25">
      <c r="A200" t="str">
        <f t="shared" si="6"/>
        <v>10</v>
      </c>
      <c r="B200" t="str">
        <f>"10.0302"</f>
        <v>10.0302</v>
      </c>
      <c r="E200" t="s">
        <v>304</v>
      </c>
    </row>
    <row r="201" spans="1:5" x14ac:dyDescent="0.25">
      <c r="A201" t="str">
        <f t="shared" si="6"/>
        <v>10</v>
      </c>
      <c r="B201" t="str">
        <f>"10.0303"</f>
        <v>10.0303</v>
      </c>
      <c r="E201" t="s">
        <v>305</v>
      </c>
    </row>
    <row r="202" spans="1:5" x14ac:dyDescent="0.25">
      <c r="A202" t="str">
        <f t="shared" si="6"/>
        <v>10</v>
      </c>
      <c r="B202" t="str">
        <f>"10.0304"</f>
        <v>10.0304</v>
      </c>
      <c r="E202" t="s">
        <v>306</v>
      </c>
    </row>
    <row r="203" spans="1:5" x14ac:dyDescent="0.25">
      <c r="A203" t="str">
        <f t="shared" si="6"/>
        <v>10</v>
      </c>
      <c r="B203" t="str">
        <f>"10.0305"</f>
        <v>10.0305</v>
      </c>
      <c r="E203" t="s">
        <v>307</v>
      </c>
    </row>
    <row r="204" spans="1:5" x14ac:dyDescent="0.25">
      <c r="A204" t="str">
        <f t="shared" si="6"/>
        <v>10</v>
      </c>
      <c r="B204" t="str">
        <f>"10.0306"</f>
        <v>10.0306</v>
      </c>
      <c r="E204" t="s">
        <v>308</v>
      </c>
    </row>
    <row r="205" spans="1:5" x14ac:dyDescent="0.25">
      <c r="A205" t="str">
        <f t="shared" si="6"/>
        <v>10</v>
      </c>
      <c r="B205" t="str">
        <f>"10.0307"</f>
        <v>10.0307</v>
      </c>
      <c r="E205" t="s">
        <v>309</v>
      </c>
    </row>
    <row r="206" spans="1:5" x14ac:dyDescent="0.25">
      <c r="A206" t="str">
        <f t="shared" si="6"/>
        <v>10</v>
      </c>
      <c r="B206" t="str">
        <f>"10.0308"</f>
        <v>10.0308</v>
      </c>
      <c r="E206" t="s">
        <v>310</v>
      </c>
    </row>
    <row r="207" spans="1:5" x14ac:dyDescent="0.25">
      <c r="A207" t="str">
        <f t="shared" si="6"/>
        <v>10</v>
      </c>
      <c r="B207" t="str">
        <f>"10.0399"</f>
        <v>10.0399</v>
      </c>
      <c r="E207" t="s">
        <v>311</v>
      </c>
    </row>
    <row r="208" spans="1:5" x14ac:dyDescent="0.25">
      <c r="A208" t="str">
        <f t="shared" si="6"/>
        <v>10</v>
      </c>
      <c r="B208" t="str">
        <f>"10.99"</f>
        <v>10.99</v>
      </c>
      <c r="D208" t="s">
        <v>312</v>
      </c>
    </row>
    <row r="209" spans="1:5" x14ac:dyDescent="0.25">
      <c r="A209" t="str">
        <f>"11"</f>
        <v>11</v>
      </c>
      <c r="B209" t="str">
        <f>"11"</f>
        <v>11</v>
      </c>
      <c r="C209" t="s">
        <v>313</v>
      </c>
    </row>
    <row r="210" spans="1:5" x14ac:dyDescent="0.25">
      <c r="A210" t="str">
        <f t="shared" ref="A210:A244" si="7">"11"</f>
        <v>11</v>
      </c>
      <c r="B210" t="str">
        <f>"11.01"</f>
        <v>11.01</v>
      </c>
      <c r="D210" t="s">
        <v>314</v>
      </c>
    </row>
    <row r="211" spans="1:5" x14ac:dyDescent="0.25">
      <c r="A211" t="str">
        <f t="shared" si="7"/>
        <v>11</v>
      </c>
      <c r="B211" t="str">
        <f>"11.0101"</f>
        <v>11.0101</v>
      </c>
      <c r="E211" t="s">
        <v>314</v>
      </c>
    </row>
    <row r="212" spans="1:5" x14ac:dyDescent="0.25">
      <c r="A212" t="str">
        <f t="shared" si="7"/>
        <v>11</v>
      </c>
      <c r="B212" t="str">
        <f>"11.0102"</f>
        <v>11.0102</v>
      </c>
      <c r="E212" t="s">
        <v>315</v>
      </c>
    </row>
    <row r="213" spans="1:5" x14ac:dyDescent="0.25">
      <c r="A213" t="str">
        <f t="shared" si="7"/>
        <v>11</v>
      </c>
      <c r="B213" t="str">
        <f>"11.0103"</f>
        <v>11.0103</v>
      </c>
      <c r="E213" t="s">
        <v>316</v>
      </c>
    </row>
    <row r="214" spans="1:5" x14ac:dyDescent="0.25">
      <c r="A214" t="str">
        <f t="shared" si="7"/>
        <v>11</v>
      </c>
      <c r="B214" t="str">
        <f>"11.0104"</f>
        <v>11.0104</v>
      </c>
      <c r="E214" t="s">
        <v>317</v>
      </c>
    </row>
    <row r="215" spans="1:5" x14ac:dyDescent="0.25">
      <c r="A215" t="str">
        <f t="shared" si="7"/>
        <v>11</v>
      </c>
      <c r="B215" t="str">
        <f>"11.0199"</f>
        <v>11.0199</v>
      </c>
      <c r="E215" t="s">
        <v>318</v>
      </c>
    </row>
    <row r="216" spans="1:5" x14ac:dyDescent="0.25">
      <c r="A216" t="str">
        <f t="shared" si="7"/>
        <v>11</v>
      </c>
      <c r="B216" t="str">
        <f>"11.02"</f>
        <v>11.02</v>
      </c>
      <c r="D216" t="s">
        <v>319</v>
      </c>
    </row>
    <row r="217" spans="1:5" x14ac:dyDescent="0.25">
      <c r="A217" t="str">
        <f t="shared" si="7"/>
        <v>11</v>
      </c>
      <c r="B217" t="str">
        <f>"11.0201"</f>
        <v>11.0201</v>
      </c>
      <c r="E217" t="s">
        <v>320</v>
      </c>
    </row>
    <row r="218" spans="1:5" x14ac:dyDescent="0.25">
      <c r="A218" t="str">
        <f t="shared" si="7"/>
        <v>11</v>
      </c>
      <c r="B218" t="str">
        <f>"11.0202"</f>
        <v>11.0202</v>
      </c>
      <c r="E218" t="s">
        <v>321</v>
      </c>
    </row>
    <row r="219" spans="1:5" x14ac:dyDescent="0.25">
      <c r="A219" t="str">
        <f t="shared" si="7"/>
        <v>11</v>
      </c>
      <c r="B219" t="str">
        <f>"11.0203"</f>
        <v>11.0203</v>
      </c>
      <c r="E219" t="s">
        <v>322</v>
      </c>
    </row>
    <row r="220" spans="1:5" x14ac:dyDescent="0.25">
      <c r="A220" t="str">
        <f t="shared" si="7"/>
        <v>11</v>
      </c>
      <c r="B220" t="str">
        <f>"11.0299"</f>
        <v>11.0299</v>
      </c>
      <c r="E220" t="s">
        <v>323</v>
      </c>
    </row>
    <row r="221" spans="1:5" x14ac:dyDescent="0.25">
      <c r="A221" t="str">
        <f t="shared" si="7"/>
        <v>11</v>
      </c>
      <c r="B221" t="str">
        <f>"11.03"</f>
        <v>11.03</v>
      </c>
      <c r="D221" t="s">
        <v>324</v>
      </c>
    </row>
    <row r="222" spans="1:5" x14ac:dyDescent="0.25">
      <c r="A222" t="str">
        <f t="shared" si="7"/>
        <v>11</v>
      </c>
      <c r="B222" t="str">
        <f>"11.04"</f>
        <v>11.04</v>
      </c>
      <c r="D222" t="s">
        <v>325</v>
      </c>
    </row>
    <row r="223" spans="1:5" x14ac:dyDescent="0.25">
      <c r="A223" t="str">
        <f t="shared" si="7"/>
        <v>11</v>
      </c>
      <c r="B223" t="str">
        <f>"11.05"</f>
        <v>11.05</v>
      </c>
      <c r="D223" t="s">
        <v>326</v>
      </c>
    </row>
    <row r="224" spans="1:5" x14ac:dyDescent="0.25">
      <c r="A224" t="str">
        <f t="shared" si="7"/>
        <v>11</v>
      </c>
      <c r="B224" t="str">
        <f>"11.06"</f>
        <v>11.06</v>
      </c>
      <c r="D224" t="s">
        <v>327</v>
      </c>
    </row>
    <row r="225" spans="1:5" x14ac:dyDescent="0.25">
      <c r="A225" t="str">
        <f t="shared" si="7"/>
        <v>11</v>
      </c>
      <c r="B225" t="str">
        <f>"11.0601"</f>
        <v>11.0601</v>
      </c>
      <c r="E225" t="s">
        <v>328</v>
      </c>
    </row>
    <row r="226" spans="1:5" x14ac:dyDescent="0.25">
      <c r="A226" t="str">
        <f t="shared" si="7"/>
        <v>11</v>
      </c>
      <c r="B226" t="str">
        <f>"11.0602"</f>
        <v>11.0602</v>
      </c>
      <c r="E226" t="s">
        <v>329</v>
      </c>
    </row>
    <row r="227" spans="1:5" x14ac:dyDescent="0.25">
      <c r="A227" t="str">
        <f t="shared" si="7"/>
        <v>11</v>
      </c>
      <c r="B227" t="str">
        <f>"11.0699"</f>
        <v>11.0699</v>
      </c>
      <c r="E227" t="s">
        <v>330</v>
      </c>
    </row>
    <row r="228" spans="1:5" x14ac:dyDescent="0.25">
      <c r="A228" t="str">
        <f t="shared" si="7"/>
        <v>11</v>
      </c>
      <c r="B228" t="str">
        <f>"11.07"</f>
        <v>11.07</v>
      </c>
      <c r="D228" t="s">
        <v>331</v>
      </c>
    </row>
    <row r="229" spans="1:5" x14ac:dyDescent="0.25">
      <c r="A229" t="str">
        <f t="shared" si="7"/>
        <v>11</v>
      </c>
      <c r="B229" t="str">
        <f>"11.08"</f>
        <v>11.08</v>
      </c>
      <c r="D229" t="s">
        <v>332</v>
      </c>
    </row>
    <row r="230" spans="1:5" x14ac:dyDescent="0.25">
      <c r="A230" t="str">
        <f t="shared" si="7"/>
        <v>11</v>
      </c>
      <c r="B230" t="str">
        <f>"11.0801"</f>
        <v>11.0801</v>
      </c>
      <c r="E230" t="s">
        <v>333</v>
      </c>
    </row>
    <row r="231" spans="1:5" x14ac:dyDescent="0.25">
      <c r="A231" t="str">
        <f t="shared" si="7"/>
        <v>11</v>
      </c>
      <c r="B231" t="str">
        <f>"11.0802"</f>
        <v>11.0802</v>
      </c>
      <c r="E231" t="s">
        <v>334</v>
      </c>
    </row>
    <row r="232" spans="1:5" x14ac:dyDescent="0.25">
      <c r="A232" t="str">
        <f t="shared" si="7"/>
        <v>11</v>
      </c>
      <c r="B232" t="str">
        <f>"11.0803"</f>
        <v>11.0803</v>
      </c>
      <c r="E232" t="s">
        <v>335</v>
      </c>
    </row>
    <row r="233" spans="1:5" x14ac:dyDescent="0.25">
      <c r="A233" t="str">
        <f t="shared" si="7"/>
        <v>11</v>
      </c>
      <c r="B233" t="str">
        <f>"11.0804"</f>
        <v>11.0804</v>
      </c>
      <c r="E233" t="s">
        <v>336</v>
      </c>
    </row>
    <row r="234" spans="1:5" x14ac:dyDescent="0.25">
      <c r="A234" t="str">
        <f t="shared" si="7"/>
        <v>11</v>
      </c>
      <c r="B234" t="str">
        <f>"11.0899"</f>
        <v>11.0899</v>
      </c>
      <c r="E234" t="s">
        <v>337</v>
      </c>
    </row>
    <row r="235" spans="1:5" x14ac:dyDescent="0.25">
      <c r="A235" t="str">
        <f t="shared" si="7"/>
        <v>11</v>
      </c>
      <c r="B235" t="str">
        <f>"11.09"</f>
        <v>11.09</v>
      </c>
      <c r="D235" t="s">
        <v>338</v>
      </c>
    </row>
    <row r="236" spans="1:5" x14ac:dyDescent="0.25">
      <c r="A236" t="str">
        <f t="shared" si="7"/>
        <v>11</v>
      </c>
      <c r="B236" t="str">
        <f>"11.10"</f>
        <v>11.10</v>
      </c>
      <c r="D236" t="s">
        <v>339</v>
      </c>
    </row>
    <row r="237" spans="1:5" x14ac:dyDescent="0.25">
      <c r="A237" t="str">
        <f t="shared" si="7"/>
        <v>11</v>
      </c>
      <c r="B237" t="str">
        <f>"11.1001"</f>
        <v>11.1001</v>
      </c>
      <c r="E237" t="s">
        <v>340</v>
      </c>
    </row>
    <row r="238" spans="1:5" x14ac:dyDescent="0.25">
      <c r="A238" t="str">
        <f t="shared" si="7"/>
        <v>11</v>
      </c>
      <c r="B238" t="str">
        <f>"11.1002"</f>
        <v>11.1002</v>
      </c>
      <c r="E238" t="s">
        <v>341</v>
      </c>
    </row>
    <row r="239" spans="1:5" x14ac:dyDescent="0.25">
      <c r="A239" t="str">
        <f t="shared" si="7"/>
        <v>11</v>
      </c>
      <c r="B239" t="str">
        <f>"11.1003"</f>
        <v>11.1003</v>
      </c>
      <c r="E239" t="s">
        <v>342</v>
      </c>
    </row>
    <row r="240" spans="1:5" x14ac:dyDescent="0.25">
      <c r="A240" t="str">
        <f t="shared" si="7"/>
        <v>11</v>
      </c>
      <c r="B240" t="str">
        <f>"11.1004"</f>
        <v>11.1004</v>
      </c>
      <c r="E240" t="s">
        <v>343</v>
      </c>
    </row>
    <row r="241" spans="1:5" x14ac:dyDescent="0.25">
      <c r="A241" t="str">
        <f t="shared" si="7"/>
        <v>11</v>
      </c>
      <c r="B241" t="str">
        <f>"11.1005"</f>
        <v>11.1005</v>
      </c>
      <c r="E241" t="s">
        <v>344</v>
      </c>
    </row>
    <row r="242" spans="1:5" x14ac:dyDescent="0.25">
      <c r="A242" t="str">
        <f t="shared" si="7"/>
        <v>11</v>
      </c>
      <c r="B242" t="str">
        <f>"11.1006"</f>
        <v>11.1006</v>
      </c>
      <c r="E242" t="s">
        <v>345</v>
      </c>
    </row>
    <row r="243" spans="1:5" x14ac:dyDescent="0.25">
      <c r="A243" t="str">
        <f t="shared" si="7"/>
        <v>11</v>
      </c>
      <c r="B243" t="str">
        <f>"11.1099"</f>
        <v>11.1099</v>
      </c>
      <c r="E243" t="s">
        <v>346</v>
      </c>
    </row>
    <row r="244" spans="1:5" x14ac:dyDescent="0.25">
      <c r="A244" t="str">
        <f t="shared" si="7"/>
        <v>11</v>
      </c>
      <c r="B244" t="str">
        <f>"11.99"</f>
        <v>11.99</v>
      </c>
      <c r="D244" t="s">
        <v>347</v>
      </c>
    </row>
    <row r="245" spans="1:5" x14ac:dyDescent="0.25">
      <c r="A245" t="str">
        <f>"12"</f>
        <v>12</v>
      </c>
      <c r="B245" t="str">
        <f>"12"</f>
        <v>12</v>
      </c>
      <c r="C245" t="s">
        <v>348</v>
      </c>
    </row>
    <row r="246" spans="1:5" x14ac:dyDescent="0.25">
      <c r="A246" t="str">
        <f t="shared" ref="A246:A278" si="8">"12"</f>
        <v>12</v>
      </c>
      <c r="B246" t="str">
        <f>"12.03"</f>
        <v>12.03</v>
      </c>
      <c r="D246" t="s">
        <v>349</v>
      </c>
    </row>
    <row r="247" spans="1:5" x14ac:dyDescent="0.25">
      <c r="A247" t="str">
        <f t="shared" si="8"/>
        <v>12</v>
      </c>
      <c r="B247" t="str">
        <f>"12.0301"</f>
        <v>12.0301</v>
      </c>
      <c r="E247" t="s">
        <v>350</v>
      </c>
    </row>
    <row r="248" spans="1:5" x14ac:dyDescent="0.25">
      <c r="A248" t="str">
        <f t="shared" si="8"/>
        <v>12</v>
      </c>
      <c r="B248" t="str">
        <f>"12.0302"</f>
        <v>12.0302</v>
      </c>
      <c r="E248" t="s">
        <v>351</v>
      </c>
    </row>
    <row r="249" spans="1:5" x14ac:dyDescent="0.25">
      <c r="A249" t="str">
        <f t="shared" si="8"/>
        <v>12</v>
      </c>
      <c r="B249" t="str">
        <f>"12.0303"</f>
        <v>12.0303</v>
      </c>
      <c r="E249" t="s">
        <v>352</v>
      </c>
    </row>
    <row r="250" spans="1:5" x14ac:dyDescent="0.25">
      <c r="A250" t="str">
        <f t="shared" si="8"/>
        <v>12</v>
      </c>
      <c r="B250" t="str">
        <f>"12.0399"</f>
        <v>12.0399</v>
      </c>
      <c r="E250" t="s">
        <v>353</v>
      </c>
    </row>
    <row r="251" spans="1:5" x14ac:dyDescent="0.25">
      <c r="A251" t="str">
        <f t="shared" si="8"/>
        <v>12</v>
      </c>
      <c r="B251" t="str">
        <f>"12.04"</f>
        <v>12.04</v>
      </c>
      <c r="D251" t="s">
        <v>354</v>
      </c>
    </row>
    <row r="252" spans="1:5" x14ac:dyDescent="0.25">
      <c r="A252" t="str">
        <f t="shared" si="8"/>
        <v>12</v>
      </c>
      <c r="B252" t="str">
        <f>"12.0401"</f>
        <v>12.0401</v>
      </c>
      <c r="E252" t="s">
        <v>355</v>
      </c>
    </row>
    <row r="253" spans="1:5" x14ac:dyDescent="0.25">
      <c r="A253" t="str">
        <f t="shared" si="8"/>
        <v>12</v>
      </c>
      <c r="B253" t="str">
        <f>"12.0402"</f>
        <v>12.0402</v>
      </c>
      <c r="E253" t="s">
        <v>356</v>
      </c>
    </row>
    <row r="254" spans="1:5" x14ac:dyDescent="0.25">
      <c r="A254" t="str">
        <f t="shared" si="8"/>
        <v>12</v>
      </c>
      <c r="B254" t="str">
        <f>"12.0404"</f>
        <v>12.0404</v>
      </c>
      <c r="E254" t="s">
        <v>357</v>
      </c>
    </row>
    <row r="255" spans="1:5" x14ac:dyDescent="0.25">
      <c r="A255" t="str">
        <f t="shared" si="8"/>
        <v>12</v>
      </c>
      <c r="B255" t="str">
        <f>"12.0406"</f>
        <v>12.0406</v>
      </c>
      <c r="E255" t="s">
        <v>358</v>
      </c>
    </row>
    <row r="256" spans="1:5" x14ac:dyDescent="0.25">
      <c r="A256" t="str">
        <f t="shared" si="8"/>
        <v>12</v>
      </c>
      <c r="B256" t="str">
        <f>"12.0407"</f>
        <v>12.0407</v>
      </c>
      <c r="E256" t="s">
        <v>359</v>
      </c>
    </row>
    <row r="257" spans="1:5" x14ac:dyDescent="0.25">
      <c r="A257" t="str">
        <f t="shared" si="8"/>
        <v>12</v>
      </c>
      <c r="B257" t="str">
        <f>"12.0408"</f>
        <v>12.0408</v>
      </c>
      <c r="E257" t="s">
        <v>360</v>
      </c>
    </row>
    <row r="258" spans="1:5" x14ac:dyDescent="0.25">
      <c r="A258" t="str">
        <f t="shared" si="8"/>
        <v>12</v>
      </c>
      <c r="B258" t="str">
        <f>"12.0409"</f>
        <v>12.0409</v>
      </c>
      <c r="E258" t="s">
        <v>361</v>
      </c>
    </row>
    <row r="259" spans="1:5" x14ac:dyDescent="0.25">
      <c r="A259" t="str">
        <f t="shared" si="8"/>
        <v>12</v>
      </c>
      <c r="B259" t="str">
        <f>"12.0410"</f>
        <v>12.0410</v>
      </c>
      <c r="E259" t="s">
        <v>362</v>
      </c>
    </row>
    <row r="260" spans="1:5" x14ac:dyDescent="0.25">
      <c r="A260" t="str">
        <f t="shared" si="8"/>
        <v>12</v>
      </c>
      <c r="B260" t="str">
        <f>"12.0411"</f>
        <v>12.0411</v>
      </c>
      <c r="E260" t="s">
        <v>363</v>
      </c>
    </row>
    <row r="261" spans="1:5" x14ac:dyDescent="0.25">
      <c r="A261" t="str">
        <f t="shared" si="8"/>
        <v>12</v>
      </c>
      <c r="B261" t="str">
        <f>"12.0412"</f>
        <v>12.0412</v>
      </c>
      <c r="E261" t="s">
        <v>364</v>
      </c>
    </row>
    <row r="262" spans="1:5" x14ac:dyDescent="0.25">
      <c r="A262" t="str">
        <f t="shared" si="8"/>
        <v>12</v>
      </c>
      <c r="B262" t="str">
        <f>"12.0413"</f>
        <v>12.0413</v>
      </c>
      <c r="E262" t="s">
        <v>365</v>
      </c>
    </row>
    <row r="263" spans="1:5" x14ac:dyDescent="0.25">
      <c r="A263" t="str">
        <f t="shared" si="8"/>
        <v>12</v>
      </c>
      <c r="B263" t="str">
        <f>"12.0414"</f>
        <v>12.0414</v>
      </c>
      <c r="E263" t="s">
        <v>366</v>
      </c>
    </row>
    <row r="264" spans="1:5" x14ac:dyDescent="0.25">
      <c r="A264" t="str">
        <f t="shared" si="8"/>
        <v>12</v>
      </c>
      <c r="B264" t="str">
        <f>"12.0499"</f>
        <v>12.0499</v>
      </c>
      <c r="E264" t="s">
        <v>367</v>
      </c>
    </row>
    <row r="265" spans="1:5" x14ac:dyDescent="0.25">
      <c r="A265" t="str">
        <f t="shared" si="8"/>
        <v>12</v>
      </c>
      <c r="B265" t="str">
        <f>"12.05"</f>
        <v>12.05</v>
      </c>
      <c r="D265" t="s">
        <v>368</v>
      </c>
    </row>
    <row r="266" spans="1:5" x14ac:dyDescent="0.25">
      <c r="A266" t="str">
        <f t="shared" si="8"/>
        <v>12</v>
      </c>
      <c r="B266" t="str">
        <f>"12.0500"</f>
        <v>12.0500</v>
      </c>
      <c r="E266" t="s">
        <v>369</v>
      </c>
    </row>
    <row r="267" spans="1:5" x14ac:dyDescent="0.25">
      <c r="A267" t="str">
        <f t="shared" si="8"/>
        <v>12</v>
      </c>
      <c r="B267" t="str">
        <f>"12.0501"</f>
        <v>12.0501</v>
      </c>
      <c r="E267" t="s">
        <v>370</v>
      </c>
    </row>
    <row r="268" spans="1:5" x14ac:dyDescent="0.25">
      <c r="A268" t="str">
        <f t="shared" si="8"/>
        <v>12</v>
      </c>
      <c r="B268" t="str">
        <f>"12.0502"</f>
        <v>12.0502</v>
      </c>
      <c r="E268" t="s">
        <v>371</v>
      </c>
    </row>
    <row r="269" spans="1:5" x14ac:dyDescent="0.25">
      <c r="A269" t="str">
        <f t="shared" si="8"/>
        <v>12</v>
      </c>
      <c r="B269" t="str">
        <f>"12.0503"</f>
        <v>12.0503</v>
      </c>
      <c r="E269" t="s">
        <v>372</v>
      </c>
    </row>
    <row r="270" spans="1:5" x14ac:dyDescent="0.25">
      <c r="A270" t="str">
        <f t="shared" si="8"/>
        <v>12</v>
      </c>
      <c r="B270" t="str">
        <f>"12.0504"</f>
        <v>12.0504</v>
      </c>
      <c r="E270" t="s">
        <v>373</v>
      </c>
    </row>
    <row r="271" spans="1:5" x14ac:dyDescent="0.25">
      <c r="A271" t="str">
        <f t="shared" si="8"/>
        <v>12</v>
      </c>
      <c r="B271" t="str">
        <f>"12.0505"</f>
        <v>12.0505</v>
      </c>
      <c r="E271" t="s">
        <v>374</v>
      </c>
    </row>
    <row r="272" spans="1:5" x14ac:dyDescent="0.25">
      <c r="A272" t="str">
        <f t="shared" si="8"/>
        <v>12</v>
      </c>
      <c r="B272" t="str">
        <f>"12.0506"</f>
        <v>12.0506</v>
      </c>
      <c r="E272" t="s">
        <v>375</v>
      </c>
    </row>
    <row r="273" spans="1:5" x14ac:dyDescent="0.25">
      <c r="A273" t="str">
        <f t="shared" si="8"/>
        <v>12</v>
      </c>
      <c r="B273" t="str">
        <f>"12.0507"</f>
        <v>12.0507</v>
      </c>
      <c r="E273" t="s">
        <v>376</v>
      </c>
    </row>
    <row r="274" spans="1:5" x14ac:dyDescent="0.25">
      <c r="A274" t="str">
        <f t="shared" si="8"/>
        <v>12</v>
      </c>
      <c r="B274" t="str">
        <f>"12.0508"</f>
        <v>12.0508</v>
      </c>
      <c r="E274" t="s">
        <v>377</v>
      </c>
    </row>
    <row r="275" spans="1:5" x14ac:dyDescent="0.25">
      <c r="A275" t="str">
        <f t="shared" si="8"/>
        <v>12</v>
      </c>
      <c r="B275" t="str">
        <f>"12.0509"</f>
        <v>12.0509</v>
      </c>
      <c r="E275" t="s">
        <v>378</v>
      </c>
    </row>
    <row r="276" spans="1:5" x14ac:dyDescent="0.25">
      <c r="A276" t="str">
        <f t="shared" si="8"/>
        <v>12</v>
      </c>
      <c r="B276" t="str">
        <f>"12.0510"</f>
        <v>12.0510</v>
      </c>
      <c r="E276" t="s">
        <v>379</v>
      </c>
    </row>
    <row r="277" spans="1:5" x14ac:dyDescent="0.25">
      <c r="A277" t="str">
        <f t="shared" si="8"/>
        <v>12</v>
      </c>
      <c r="B277" t="str">
        <f>"12.0599"</f>
        <v>12.0599</v>
      </c>
      <c r="E277" t="s">
        <v>380</v>
      </c>
    </row>
    <row r="278" spans="1:5" x14ac:dyDescent="0.25">
      <c r="A278" t="str">
        <f t="shared" si="8"/>
        <v>12</v>
      </c>
      <c r="B278" t="str">
        <f>"12.99"</f>
        <v>12.99</v>
      </c>
      <c r="D278" t="s">
        <v>381</v>
      </c>
    </row>
    <row r="279" spans="1:5" x14ac:dyDescent="0.25">
      <c r="A279" t="str">
        <f>"13"</f>
        <v>13</v>
      </c>
      <c r="B279" t="str">
        <f>"13"</f>
        <v>13</v>
      </c>
      <c r="C279" t="s">
        <v>382</v>
      </c>
    </row>
    <row r="280" spans="1:5" x14ac:dyDescent="0.25">
      <c r="A280" t="str">
        <f t="shared" ref="A280:A343" si="9">"13"</f>
        <v>13</v>
      </c>
      <c r="B280" t="str">
        <f>"13.01"</f>
        <v>13.01</v>
      </c>
      <c r="D280" t="s">
        <v>383</v>
      </c>
    </row>
    <row r="281" spans="1:5" x14ac:dyDescent="0.25">
      <c r="A281" t="str">
        <f t="shared" si="9"/>
        <v>13</v>
      </c>
      <c r="B281" t="str">
        <f>"13.02"</f>
        <v>13.02</v>
      </c>
      <c r="D281" t="s">
        <v>384</v>
      </c>
    </row>
    <row r="282" spans="1:5" x14ac:dyDescent="0.25">
      <c r="A282" t="str">
        <f t="shared" si="9"/>
        <v>13</v>
      </c>
      <c r="B282" t="str">
        <f>"13.0201"</f>
        <v>13.0201</v>
      </c>
      <c r="E282" t="s">
        <v>385</v>
      </c>
    </row>
    <row r="283" spans="1:5" x14ac:dyDescent="0.25">
      <c r="A283" t="str">
        <f t="shared" si="9"/>
        <v>13</v>
      </c>
      <c r="B283" t="str">
        <f>"13.0202"</f>
        <v>13.0202</v>
      </c>
      <c r="E283" t="s">
        <v>386</v>
      </c>
    </row>
    <row r="284" spans="1:5" x14ac:dyDescent="0.25">
      <c r="A284" t="str">
        <f t="shared" si="9"/>
        <v>13</v>
      </c>
      <c r="B284" t="str">
        <f>"13.0203"</f>
        <v>13.0203</v>
      </c>
      <c r="E284" t="s">
        <v>387</v>
      </c>
    </row>
    <row r="285" spans="1:5" x14ac:dyDescent="0.25">
      <c r="A285" t="str">
        <f t="shared" si="9"/>
        <v>13</v>
      </c>
      <c r="B285" t="str">
        <f>"13.0299"</f>
        <v>13.0299</v>
      </c>
      <c r="E285" t="s">
        <v>388</v>
      </c>
    </row>
    <row r="286" spans="1:5" x14ac:dyDescent="0.25">
      <c r="A286" t="str">
        <f t="shared" si="9"/>
        <v>13</v>
      </c>
      <c r="B286" t="str">
        <f>"13.03"</f>
        <v>13.03</v>
      </c>
      <c r="D286" t="s">
        <v>389</v>
      </c>
    </row>
    <row r="287" spans="1:5" x14ac:dyDescent="0.25">
      <c r="A287" t="str">
        <f t="shared" si="9"/>
        <v>13</v>
      </c>
      <c r="B287" t="str">
        <f>"13.04"</f>
        <v>13.04</v>
      </c>
      <c r="D287" t="s">
        <v>390</v>
      </c>
    </row>
    <row r="288" spans="1:5" x14ac:dyDescent="0.25">
      <c r="A288" t="str">
        <f t="shared" si="9"/>
        <v>13</v>
      </c>
      <c r="B288" t="str">
        <f>"13.0401"</f>
        <v>13.0401</v>
      </c>
      <c r="E288" t="s">
        <v>391</v>
      </c>
    </row>
    <row r="289" spans="1:5" x14ac:dyDescent="0.25">
      <c r="A289" t="str">
        <f t="shared" si="9"/>
        <v>13</v>
      </c>
      <c r="B289" t="str">
        <f>"13.0402"</f>
        <v>13.0402</v>
      </c>
      <c r="E289" t="s">
        <v>392</v>
      </c>
    </row>
    <row r="290" spans="1:5" x14ac:dyDescent="0.25">
      <c r="A290" t="str">
        <f t="shared" si="9"/>
        <v>13</v>
      </c>
      <c r="B290" t="str">
        <f>"13.0403"</f>
        <v>13.0403</v>
      </c>
      <c r="E290" t="s">
        <v>393</v>
      </c>
    </row>
    <row r="291" spans="1:5" x14ac:dyDescent="0.25">
      <c r="A291" t="str">
        <f t="shared" si="9"/>
        <v>13</v>
      </c>
      <c r="B291" t="str">
        <f>"13.0404"</f>
        <v>13.0404</v>
      </c>
      <c r="E291" t="s">
        <v>394</v>
      </c>
    </row>
    <row r="292" spans="1:5" x14ac:dyDescent="0.25">
      <c r="A292" t="str">
        <f t="shared" si="9"/>
        <v>13</v>
      </c>
      <c r="B292" t="str">
        <f>"13.0406"</f>
        <v>13.0406</v>
      </c>
      <c r="E292" t="s">
        <v>395</v>
      </c>
    </row>
    <row r="293" spans="1:5" x14ac:dyDescent="0.25">
      <c r="A293" t="str">
        <f t="shared" si="9"/>
        <v>13</v>
      </c>
      <c r="B293" t="str">
        <f>"13.0407"</f>
        <v>13.0407</v>
      </c>
      <c r="E293" t="s">
        <v>396</v>
      </c>
    </row>
    <row r="294" spans="1:5" x14ac:dyDescent="0.25">
      <c r="A294" t="str">
        <f t="shared" si="9"/>
        <v>13</v>
      </c>
      <c r="B294" t="str">
        <f>"13.0408"</f>
        <v>13.0408</v>
      </c>
      <c r="E294" t="s">
        <v>397</v>
      </c>
    </row>
    <row r="295" spans="1:5" x14ac:dyDescent="0.25">
      <c r="A295" t="str">
        <f t="shared" si="9"/>
        <v>13</v>
      </c>
      <c r="B295" t="str">
        <f>"13.0409"</f>
        <v>13.0409</v>
      </c>
      <c r="E295" t="s">
        <v>398</v>
      </c>
    </row>
    <row r="296" spans="1:5" x14ac:dyDescent="0.25">
      <c r="A296" t="str">
        <f t="shared" si="9"/>
        <v>13</v>
      </c>
      <c r="B296" t="str">
        <f>"13.0410"</f>
        <v>13.0410</v>
      </c>
      <c r="E296" t="s">
        <v>399</v>
      </c>
    </row>
    <row r="297" spans="1:5" x14ac:dyDescent="0.25">
      <c r="A297" t="str">
        <f t="shared" si="9"/>
        <v>13</v>
      </c>
      <c r="B297" t="str">
        <f>"13.0411"</f>
        <v>13.0411</v>
      </c>
      <c r="E297" t="s">
        <v>400</v>
      </c>
    </row>
    <row r="298" spans="1:5" x14ac:dyDescent="0.25">
      <c r="A298" t="str">
        <f t="shared" si="9"/>
        <v>13</v>
      </c>
      <c r="B298" t="str">
        <f>"13.0499"</f>
        <v>13.0499</v>
      </c>
      <c r="E298" t="s">
        <v>401</v>
      </c>
    </row>
    <row r="299" spans="1:5" x14ac:dyDescent="0.25">
      <c r="A299" t="str">
        <f t="shared" si="9"/>
        <v>13</v>
      </c>
      <c r="B299" t="str">
        <f>"13.05"</f>
        <v>13.05</v>
      </c>
      <c r="D299" t="s">
        <v>402</v>
      </c>
    </row>
    <row r="300" spans="1:5" x14ac:dyDescent="0.25">
      <c r="A300" t="str">
        <f t="shared" si="9"/>
        <v>13</v>
      </c>
      <c r="B300" t="str">
        <f>"13.06"</f>
        <v>13.06</v>
      </c>
      <c r="D300" t="s">
        <v>403</v>
      </c>
    </row>
    <row r="301" spans="1:5" x14ac:dyDescent="0.25">
      <c r="A301" t="str">
        <f t="shared" si="9"/>
        <v>13</v>
      </c>
      <c r="B301" t="str">
        <f>"13.0601"</f>
        <v>13.0601</v>
      </c>
      <c r="E301" t="s">
        <v>404</v>
      </c>
    </row>
    <row r="302" spans="1:5" x14ac:dyDescent="0.25">
      <c r="A302" t="str">
        <f t="shared" si="9"/>
        <v>13</v>
      </c>
      <c r="B302" t="str">
        <f>"13.0603"</f>
        <v>13.0603</v>
      </c>
      <c r="E302" t="s">
        <v>405</v>
      </c>
    </row>
    <row r="303" spans="1:5" x14ac:dyDescent="0.25">
      <c r="A303" t="str">
        <f t="shared" si="9"/>
        <v>13</v>
      </c>
      <c r="B303" t="str">
        <f>"13.0604"</f>
        <v>13.0604</v>
      </c>
      <c r="E303" t="s">
        <v>406</v>
      </c>
    </row>
    <row r="304" spans="1:5" x14ac:dyDescent="0.25">
      <c r="A304" t="str">
        <f t="shared" si="9"/>
        <v>13</v>
      </c>
      <c r="B304" t="str">
        <f>"13.0607"</f>
        <v>13.0607</v>
      </c>
      <c r="E304" t="s">
        <v>407</v>
      </c>
    </row>
    <row r="305" spans="1:5" x14ac:dyDescent="0.25">
      <c r="A305" t="str">
        <f t="shared" si="9"/>
        <v>13</v>
      </c>
      <c r="B305" t="str">
        <f>"13.0699"</f>
        <v>13.0699</v>
      </c>
      <c r="E305" t="s">
        <v>408</v>
      </c>
    </row>
    <row r="306" spans="1:5" x14ac:dyDescent="0.25">
      <c r="A306" t="str">
        <f t="shared" si="9"/>
        <v>13</v>
      </c>
      <c r="B306" t="str">
        <f>"13.07"</f>
        <v>13.07</v>
      </c>
      <c r="D306" t="s">
        <v>409</v>
      </c>
    </row>
    <row r="307" spans="1:5" x14ac:dyDescent="0.25">
      <c r="A307" t="str">
        <f t="shared" si="9"/>
        <v>13</v>
      </c>
      <c r="B307" t="str">
        <f>"13.09"</f>
        <v>13.09</v>
      </c>
      <c r="D307" t="s">
        <v>410</v>
      </c>
    </row>
    <row r="308" spans="1:5" x14ac:dyDescent="0.25">
      <c r="A308" t="str">
        <f t="shared" si="9"/>
        <v>13</v>
      </c>
      <c r="B308" t="str">
        <f>"13.10"</f>
        <v>13.10</v>
      </c>
      <c r="D308" t="s">
        <v>411</v>
      </c>
    </row>
    <row r="309" spans="1:5" x14ac:dyDescent="0.25">
      <c r="A309" t="str">
        <f t="shared" si="9"/>
        <v>13</v>
      </c>
      <c r="B309" t="str">
        <f>"13.1001"</f>
        <v>13.1001</v>
      </c>
      <c r="E309" t="s">
        <v>412</v>
      </c>
    </row>
    <row r="310" spans="1:5" x14ac:dyDescent="0.25">
      <c r="A310" t="str">
        <f t="shared" si="9"/>
        <v>13</v>
      </c>
      <c r="B310" t="str">
        <f>"13.1003"</f>
        <v>13.1003</v>
      </c>
      <c r="E310" t="s">
        <v>413</v>
      </c>
    </row>
    <row r="311" spans="1:5" x14ac:dyDescent="0.25">
      <c r="A311" t="str">
        <f t="shared" si="9"/>
        <v>13</v>
      </c>
      <c r="B311" t="str">
        <f>"13.1004"</f>
        <v>13.1004</v>
      </c>
      <c r="E311" t="s">
        <v>414</v>
      </c>
    </row>
    <row r="312" spans="1:5" x14ac:dyDescent="0.25">
      <c r="A312" t="str">
        <f t="shared" si="9"/>
        <v>13</v>
      </c>
      <c r="B312" t="str">
        <f>"13.1005"</f>
        <v>13.1005</v>
      </c>
      <c r="E312" t="s">
        <v>415</v>
      </c>
    </row>
    <row r="313" spans="1:5" x14ac:dyDescent="0.25">
      <c r="A313" t="str">
        <f t="shared" si="9"/>
        <v>13</v>
      </c>
      <c r="B313" t="str">
        <f>"13.1006"</f>
        <v>13.1006</v>
      </c>
      <c r="E313" t="s">
        <v>416</v>
      </c>
    </row>
    <row r="314" spans="1:5" x14ac:dyDescent="0.25">
      <c r="A314" t="str">
        <f t="shared" si="9"/>
        <v>13</v>
      </c>
      <c r="B314" t="str">
        <f>"13.1007"</f>
        <v>13.1007</v>
      </c>
      <c r="E314" t="s">
        <v>417</v>
      </c>
    </row>
    <row r="315" spans="1:5" x14ac:dyDescent="0.25">
      <c r="A315" t="str">
        <f t="shared" si="9"/>
        <v>13</v>
      </c>
      <c r="B315" t="str">
        <f>"13.1008"</f>
        <v>13.1008</v>
      </c>
      <c r="E315" t="s">
        <v>418</v>
      </c>
    </row>
    <row r="316" spans="1:5" x14ac:dyDescent="0.25">
      <c r="A316" t="str">
        <f t="shared" si="9"/>
        <v>13</v>
      </c>
      <c r="B316" t="str">
        <f>"13.1009"</f>
        <v>13.1009</v>
      </c>
      <c r="E316" t="s">
        <v>419</v>
      </c>
    </row>
    <row r="317" spans="1:5" x14ac:dyDescent="0.25">
      <c r="A317" t="str">
        <f t="shared" si="9"/>
        <v>13</v>
      </c>
      <c r="B317" t="str">
        <f>"13.1011"</f>
        <v>13.1011</v>
      </c>
      <c r="E317" t="s">
        <v>420</v>
      </c>
    </row>
    <row r="318" spans="1:5" x14ac:dyDescent="0.25">
      <c r="A318" t="str">
        <f t="shared" si="9"/>
        <v>13</v>
      </c>
      <c r="B318" t="str">
        <f>"13.1012"</f>
        <v>13.1012</v>
      </c>
      <c r="E318" t="s">
        <v>421</v>
      </c>
    </row>
    <row r="319" spans="1:5" x14ac:dyDescent="0.25">
      <c r="A319" t="str">
        <f t="shared" si="9"/>
        <v>13</v>
      </c>
      <c r="B319" t="str">
        <f>"13.1013"</f>
        <v>13.1013</v>
      </c>
      <c r="E319" t="s">
        <v>422</v>
      </c>
    </row>
    <row r="320" spans="1:5" x14ac:dyDescent="0.25">
      <c r="A320" t="str">
        <f t="shared" si="9"/>
        <v>13</v>
      </c>
      <c r="B320" t="str">
        <f>"13.1014"</f>
        <v>13.1014</v>
      </c>
      <c r="E320" t="s">
        <v>423</v>
      </c>
    </row>
    <row r="321" spans="1:5" x14ac:dyDescent="0.25">
      <c r="A321" t="str">
        <f t="shared" si="9"/>
        <v>13</v>
      </c>
      <c r="B321" t="str">
        <f>"13.1015"</f>
        <v>13.1015</v>
      </c>
      <c r="E321" t="s">
        <v>424</v>
      </c>
    </row>
    <row r="322" spans="1:5" x14ac:dyDescent="0.25">
      <c r="A322" t="str">
        <f t="shared" si="9"/>
        <v>13</v>
      </c>
      <c r="B322" t="str">
        <f>"13.1016"</f>
        <v>13.1016</v>
      </c>
      <c r="E322" t="s">
        <v>425</v>
      </c>
    </row>
    <row r="323" spans="1:5" x14ac:dyDescent="0.25">
      <c r="A323" t="str">
        <f t="shared" si="9"/>
        <v>13</v>
      </c>
      <c r="B323" t="str">
        <f>"13.1017"</f>
        <v>13.1017</v>
      </c>
      <c r="E323" t="s">
        <v>426</v>
      </c>
    </row>
    <row r="324" spans="1:5" x14ac:dyDescent="0.25">
      <c r="A324" t="str">
        <f t="shared" si="9"/>
        <v>13</v>
      </c>
      <c r="B324" t="str">
        <f>"13.1018"</f>
        <v>13.1018</v>
      </c>
      <c r="E324" t="s">
        <v>427</v>
      </c>
    </row>
    <row r="325" spans="1:5" x14ac:dyDescent="0.25">
      <c r="A325" t="str">
        <f t="shared" si="9"/>
        <v>13</v>
      </c>
      <c r="B325" t="str">
        <f>"13.1019"</f>
        <v>13.1019</v>
      </c>
      <c r="E325" t="s">
        <v>428</v>
      </c>
    </row>
    <row r="326" spans="1:5" x14ac:dyDescent="0.25">
      <c r="A326" t="str">
        <f t="shared" si="9"/>
        <v>13</v>
      </c>
      <c r="B326" t="str">
        <f>"13.1099"</f>
        <v>13.1099</v>
      </c>
      <c r="E326" t="s">
        <v>429</v>
      </c>
    </row>
    <row r="327" spans="1:5" x14ac:dyDescent="0.25">
      <c r="A327" t="str">
        <f t="shared" si="9"/>
        <v>13</v>
      </c>
      <c r="B327" t="str">
        <f>"13.11"</f>
        <v>13.11</v>
      </c>
      <c r="D327" t="s">
        <v>430</v>
      </c>
    </row>
    <row r="328" spans="1:5" x14ac:dyDescent="0.25">
      <c r="A328" t="str">
        <f t="shared" si="9"/>
        <v>13</v>
      </c>
      <c r="B328" t="str">
        <f>"13.1101"</f>
        <v>13.1101</v>
      </c>
      <c r="E328" t="s">
        <v>431</v>
      </c>
    </row>
    <row r="329" spans="1:5" x14ac:dyDescent="0.25">
      <c r="A329" t="str">
        <f t="shared" si="9"/>
        <v>13</v>
      </c>
      <c r="B329" t="str">
        <f>"13.1102"</f>
        <v>13.1102</v>
      </c>
      <c r="E329" t="s">
        <v>432</v>
      </c>
    </row>
    <row r="330" spans="1:5" x14ac:dyDescent="0.25">
      <c r="A330" t="str">
        <f t="shared" si="9"/>
        <v>13</v>
      </c>
      <c r="B330" t="str">
        <f>"13.1199"</f>
        <v>13.1199</v>
      </c>
      <c r="E330" t="s">
        <v>433</v>
      </c>
    </row>
    <row r="331" spans="1:5" x14ac:dyDescent="0.25">
      <c r="A331" t="str">
        <f t="shared" si="9"/>
        <v>13</v>
      </c>
      <c r="B331" t="str">
        <f>"13.12"</f>
        <v>13.12</v>
      </c>
      <c r="D331" t="s">
        <v>434</v>
      </c>
    </row>
    <row r="332" spans="1:5" x14ac:dyDescent="0.25">
      <c r="A332" t="str">
        <f t="shared" si="9"/>
        <v>13</v>
      </c>
      <c r="B332" t="str">
        <f>"13.1201"</f>
        <v>13.1201</v>
      </c>
      <c r="E332" t="s">
        <v>435</v>
      </c>
    </row>
    <row r="333" spans="1:5" x14ac:dyDescent="0.25">
      <c r="A333" t="str">
        <f t="shared" si="9"/>
        <v>13</v>
      </c>
      <c r="B333" t="str">
        <f>"13.1202"</f>
        <v>13.1202</v>
      </c>
      <c r="E333" t="s">
        <v>436</v>
      </c>
    </row>
    <row r="334" spans="1:5" x14ac:dyDescent="0.25">
      <c r="A334" t="str">
        <f t="shared" si="9"/>
        <v>13</v>
      </c>
      <c r="B334" t="str">
        <f>"13.1203"</f>
        <v>13.1203</v>
      </c>
      <c r="E334" t="s">
        <v>437</v>
      </c>
    </row>
    <row r="335" spans="1:5" x14ac:dyDescent="0.25">
      <c r="A335" t="str">
        <f t="shared" si="9"/>
        <v>13</v>
      </c>
      <c r="B335" t="str">
        <f>"13.1205"</f>
        <v>13.1205</v>
      </c>
      <c r="E335" t="s">
        <v>438</v>
      </c>
    </row>
    <row r="336" spans="1:5" x14ac:dyDescent="0.25">
      <c r="A336" t="str">
        <f t="shared" si="9"/>
        <v>13</v>
      </c>
      <c r="B336" t="str">
        <f>"13.1206"</f>
        <v>13.1206</v>
      </c>
      <c r="E336" t="s">
        <v>439</v>
      </c>
    </row>
    <row r="337" spans="1:5" x14ac:dyDescent="0.25">
      <c r="A337" t="str">
        <f t="shared" si="9"/>
        <v>13</v>
      </c>
      <c r="B337" t="str">
        <f>"13.1207"</f>
        <v>13.1207</v>
      </c>
      <c r="E337" t="s">
        <v>440</v>
      </c>
    </row>
    <row r="338" spans="1:5" x14ac:dyDescent="0.25">
      <c r="A338" t="str">
        <f t="shared" si="9"/>
        <v>13</v>
      </c>
      <c r="B338" t="str">
        <f>"13.1208"</f>
        <v>13.1208</v>
      </c>
      <c r="E338" t="s">
        <v>441</v>
      </c>
    </row>
    <row r="339" spans="1:5" x14ac:dyDescent="0.25">
      <c r="A339" t="str">
        <f t="shared" si="9"/>
        <v>13</v>
      </c>
      <c r="B339" t="str">
        <f>"13.1209"</f>
        <v>13.1209</v>
      </c>
      <c r="E339" t="s">
        <v>442</v>
      </c>
    </row>
    <row r="340" spans="1:5" x14ac:dyDescent="0.25">
      <c r="A340" t="str">
        <f t="shared" si="9"/>
        <v>13</v>
      </c>
      <c r="B340" t="str">
        <f>"13.1210"</f>
        <v>13.1210</v>
      </c>
      <c r="E340" t="s">
        <v>443</v>
      </c>
    </row>
    <row r="341" spans="1:5" x14ac:dyDescent="0.25">
      <c r="A341" t="str">
        <f t="shared" si="9"/>
        <v>13</v>
      </c>
      <c r="B341" t="str">
        <f>"13.1299"</f>
        <v>13.1299</v>
      </c>
      <c r="E341" t="s">
        <v>444</v>
      </c>
    </row>
    <row r="342" spans="1:5" x14ac:dyDescent="0.25">
      <c r="A342" t="str">
        <f t="shared" si="9"/>
        <v>13</v>
      </c>
      <c r="B342" t="str">
        <f>"13.13"</f>
        <v>13.13</v>
      </c>
      <c r="D342" t="s">
        <v>445</v>
      </c>
    </row>
    <row r="343" spans="1:5" x14ac:dyDescent="0.25">
      <c r="A343" t="str">
        <f t="shared" si="9"/>
        <v>13</v>
      </c>
      <c r="B343" t="str">
        <f>"13.1301"</f>
        <v>13.1301</v>
      </c>
      <c r="E343" t="s">
        <v>446</v>
      </c>
    </row>
    <row r="344" spans="1:5" x14ac:dyDescent="0.25">
      <c r="A344" t="str">
        <f t="shared" ref="A344:A388" si="10">"13"</f>
        <v>13</v>
      </c>
      <c r="B344" t="str">
        <f>"13.1302"</f>
        <v>13.1302</v>
      </c>
      <c r="E344" t="s">
        <v>447</v>
      </c>
    </row>
    <row r="345" spans="1:5" x14ac:dyDescent="0.25">
      <c r="A345" t="str">
        <f t="shared" si="10"/>
        <v>13</v>
      </c>
      <c r="B345" t="str">
        <f>"13.1303"</f>
        <v>13.1303</v>
      </c>
      <c r="E345" t="s">
        <v>448</v>
      </c>
    </row>
    <row r="346" spans="1:5" x14ac:dyDescent="0.25">
      <c r="A346" t="str">
        <f t="shared" si="10"/>
        <v>13</v>
      </c>
      <c r="B346" t="str">
        <f>"13.1304"</f>
        <v>13.1304</v>
      </c>
      <c r="E346" t="s">
        <v>449</v>
      </c>
    </row>
    <row r="347" spans="1:5" x14ac:dyDescent="0.25">
      <c r="A347" t="str">
        <f t="shared" si="10"/>
        <v>13</v>
      </c>
      <c r="B347" t="str">
        <f>"13.1305"</f>
        <v>13.1305</v>
      </c>
      <c r="E347" t="s">
        <v>450</v>
      </c>
    </row>
    <row r="348" spans="1:5" x14ac:dyDescent="0.25">
      <c r="A348" t="str">
        <f t="shared" si="10"/>
        <v>13</v>
      </c>
      <c r="B348" t="str">
        <f>"13.1306"</f>
        <v>13.1306</v>
      </c>
      <c r="E348" t="s">
        <v>451</v>
      </c>
    </row>
    <row r="349" spans="1:5" x14ac:dyDescent="0.25">
      <c r="A349" t="str">
        <f t="shared" si="10"/>
        <v>13</v>
      </c>
      <c r="B349" t="str">
        <f>"13.1307"</f>
        <v>13.1307</v>
      </c>
      <c r="E349" t="s">
        <v>452</v>
      </c>
    </row>
    <row r="350" spans="1:5" x14ac:dyDescent="0.25">
      <c r="A350" t="str">
        <f t="shared" si="10"/>
        <v>13</v>
      </c>
      <c r="B350" t="str">
        <f>"13.1308"</f>
        <v>13.1308</v>
      </c>
      <c r="E350" t="s">
        <v>453</v>
      </c>
    </row>
    <row r="351" spans="1:5" x14ac:dyDescent="0.25">
      <c r="A351" t="str">
        <f t="shared" si="10"/>
        <v>13</v>
      </c>
      <c r="B351" t="str">
        <f>"13.1309"</f>
        <v>13.1309</v>
      </c>
      <c r="E351" t="s">
        <v>454</v>
      </c>
    </row>
    <row r="352" spans="1:5" x14ac:dyDescent="0.25">
      <c r="A352" t="str">
        <f t="shared" si="10"/>
        <v>13</v>
      </c>
      <c r="B352" t="str">
        <f>"13.1310"</f>
        <v>13.1310</v>
      </c>
      <c r="E352" t="s">
        <v>455</v>
      </c>
    </row>
    <row r="353" spans="1:5" x14ac:dyDescent="0.25">
      <c r="A353" t="str">
        <f t="shared" si="10"/>
        <v>13</v>
      </c>
      <c r="B353" t="str">
        <f>"13.1311"</f>
        <v>13.1311</v>
      </c>
      <c r="E353" t="s">
        <v>456</v>
      </c>
    </row>
    <row r="354" spans="1:5" x14ac:dyDescent="0.25">
      <c r="A354" t="str">
        <f t="shared" si="10"/>
        <v>13</v>
      </c>
      <c r="B354" t="str">
        <f>"13.1312"</f>
        <v>13.1312</v>
      </c>
      <c r="E354" t="s">
        <v>457</v>
      </c>
    </row>
    <row r="355" spans="1:5" x14ac:dyDescent="0.25">
      <c r="A355" t="str">
        <f t="shared" si="10"/>
        <v>13</v>
      </c>
      <c r="B355" t="str">
        <f>"13.1314"</f>
        <v>13.1314</v>
      </c>
      <c r="E355" t="s">
        <v>458</v>
      </c>
    </row>
    <row r="356" spans="1:5" x14ac:dyDescent="0.25">
      <c r="A356" t="str">
        <f t="shared" si="10"/>
        <v>13</v>
      </c>
      <c r="B356" t="str">
        <f>"13.1315"</f>
        <v>13.1315</v>
      </c>
      <c r="E356" t="s">
        <v>459</v>
      </c>
    </row>
    <row r="357" spans="1:5" x14ac:dyDescent="0.25">
      <c r="A357" t="str">
        <f t="shared" si="10"/>
        <v>13</v>
      </c>
      <c r="B357" t="str">
        <f>"13.1316"</f>
        <v>13.1316</v>
      </c>
      <c r="E357" t="s">
        <v>460</v>
      </c>
    </row>
    <row r="358" spans="1:5" x14ac:dyDescent="0.25">
      <c r="A358" t="str">
        <f t="shared" si="10"/>
        <v>13</v>
      </c>
      <c r="B358" t="str">
        <f>"13.1317"</f>
        <v>13.1317</v>
      </c>
      <c r="E358" t="s">
        <v>461</v>
      </c>
    </row>
    <row r="359" spans="1:5" x14ac:dyDescent="0.25">
      <c r="A359" t="str">
        <f t="shared" si="10"/>
        <v>13</v>
      </c>
      <c r="B359" t="str">
        <f>"13.1318"</f>
        <v>13.1318</v>
      </c>
      <c r="E359" t="s">
        <v>462</v>
      </c>
    </row>
    <row r="360" spans="1:5" x14ac:dyDescent="0.25">
      <c r="A360" t="str">
        <f t="shared" si="10"/>
        <v>13</v>
      </c>
      <c r="B360" t="str">
        <f>"13.1319"</f>
        <v>13.1319</v>
      </c>
      <c r="E360" t="s">
        <v>463</v>
      </c>
    </row>
    <row r="361" spans="1:5" x14ac:dyDescent="0.25">
      <c r="A361" t="str">
        <f t="shared" si="10"/>
        <v>13</v>
      </c>
      <c r="B361" t="str">
        <f>"13.1320"</f>
        <v>13.1320</v>
      </c>
      <c r="E361" t="s">
        <v>464</v>
      </c>
    </row>
    <row r="362" spans="1:5" x14ac:dyDescent="0.25">
      <c r="A362" t="str">
        <f t="shared" si="10"/>
        <v>13</v>
      </c>
      <c r="B362" t="str">
        <f>"13.1321"</f>
        <v>13.1321</v>
      </c>
      <c r="E362" t="s">
        <v>465</v>
      </c>
    </row>
    <row r="363" spans="1:5" x14ac:dyDescent="0.25">
      <c r="A363" t="str">
        <f t="shared" si="10"/>
        <v>13</v>
      </c>
      <c r="B363" t="str">
        <f>"13.1322"</f>
        <v>13.1322</v>
      </c>
      <c r="E363" t="s">
        <v>466</v>
      </c>
    </row>
    <row r="364" spans="1:5" x14ac:dyDescent="0.25">
      <c r="A364" t="str">
        <f t="shared" si="10"/>
        <v>13</v>
      </c>
      <c r="B364" t="str">
        <f>"13.1323"</f>
        <v>13.1323</v>
      </c>
      <c r="E364" t="s">
        <v>467</v>
      </c>
    </row>
    <row r="365" spans="1:5" x14ac:dyDescent="0.25">
      <c r="A365" t="str">
        <f t="shared" si="10"/>
        <v>13</v>
      </c>
      <c r="B365" t="str">
        <f>"13.1324"</f>
        <v>13.1324</v>
      </c>
      <c r="E365" t="s">
        <v>468</v>
      </c>
    </row>
    <row r="366" spans="1:5" x14ac:dyDescent="0.25">
      <c r="A366" t="str">
        <f t="shared" si="10"/>
        <v>13</v>
      </c>
      <c r="B366" t="str">
        <f>"13.1325"</f>
        <v>13.1325</v>
      </c>
      <c r="E366" t="s">
        <v>469</v>
      </c>
    </row>
    <row r="367" spans="1:5" x14ac:dyDescent="0.25">
      <c r="A367" t="str">
        <f t="shared" si="10"/>
        <v>13</v>
      </c>
      <c r="B367" t="str">
        <f>"13.1326"</f>
        <v>13.1326</v>
      </c>
      <c r="E367" t="s">
        <v>470</v>
      </c>
    </row>
    <row r="368" spans="1:5" x14ac:dyDescent="0.25">
      <c r="A368" t="str">
        <f t="shared" si="10"/>
        <v>13</v>
      </c>
      <c r="B368" t="str">
        <f>"13.1327"</f>
        <v>13.1327</v>
      </c>
      <c r="E368" t="s">
        <v>471</v>
      </c>
    </row>
    <row r="369" spans="1:5" x14ac:dyDescent="0.25">
      <c r="A369" t="str">
        <f t="shared" si="10"/>
        <v>13</v>
      </c>
      <c r="B369" t="str">
        <f>"13.1328"</f>
        <v>13.1328</v>
      </c>
      <c r="E369" t="s">
        <v>472</v>
      </c>
    </row>
    <row r="370" spans="1:5" x14ac:dyDescent="0.25">
      <c r="A370" t="str">
        <f t="shared" si="10"/>
        <v>13</v>
      </c>
      <c r="B370" t="str">
        <f>"13.1329"</f>
        <v>13.1329</v>
      </c>
      <c r="E370" t="s">
        <v>473</v>
      </c>
    </row>
    <row r="371" spans="1:5" x14ac:dyDescent="0.25">
      <c r="A371" t="str">
        <f t="shared" si="10"/>
        <v>13</v>
      </c>
      <c r="B371" t="str">
        <f>"13.1330"</f>
        <v>13.1330</v>
      </c>
      <c r="E371" t="s">
        <v>474</v>
      </c>
    </row>
    <row r="372" spans="1:5" x14ac:dyDescent="0.25">
      <c r="A372" t="str">
        <f t="shared" si="10"/>
        <v>13</v>
      </c>
      <c r="B372" t="str">
        <f>"13.1331"</f>
        <v>13.1331</v>
      </c>
      <c r="E372" t="s">
        <v>475</v>
      </c>
    </row>
    <row r="373" spans="1:5" x14ac:dyDescent="0.25">
      <c r="A373" t="str">
        <f t="shared" si="10"/>
        <v>13</v>
      </c>
      <c r="B373" t="str">
        <f>"13.1332"</f>
        <v>13.1332</v>
      </c>
      <c r="E373" t="s">
        <v>476</v>
      </c>
    </row>
    <row r="374" spans="1:5" x14ac:dyDescent="0.25">
      <c r="A374" t="str">
        <f t="shared" si="10"/>
        <v>13</v>
      </c>
      <c r="B374" t="str">
        <f>"13.1333"</f>
        <v>13.1333</v>
      </c>
      <c r="E374" t="s">
        <v>477</v>
      </c>
    </row>
    <row r="375" spans="1:5" x14ac:dyDescent="0.25">
      <c r="A375" t="str">
        <f t="shared" si="10"/>
        <v>13</v>
      </c>
      <c r="B375" t="str">
        <f>"13.1334"</f>
        <v>13.1334</v>
      </c>
      <c r="E375" t="s">
        <v>478</v>
      </c>
    </row>
    <row r="376" spans="1:5" x14ac:dyDescent="0.25">
      <c r="A376" t="str">
        <f t="shared" si="10"/>
        <v>13</v>
      </c>
      <c r="B376" t="str">
        <f>"13.1335"</f>
        <v>13.1335</v>
      </c>
      <c r="E376" t="s">
        <v>479</v>
      </c>
    </row>
    <row r="377" spans="1:5" x14ac:dyDescent="0.25">
      <c r="A377" t="str">
        <f t="shared" si="10"/>
        <v>13</v>
      </c>
      <c r="B377" t="str">
        <f>"13.1337"</f>
        <v>13.1337</v>
      </c>
      <c r="E377" t="s">
        <v>480</v>
      </c>
    </row>
    <row r="378" spans="1:5" x14ac:dyDescent="0.25">
      <c r="A378" t="str">
        <f t="shared" si="10"/>
        <v>13</v>
      </c>
      <c r="B378" t="str">
        <f>"13.1338"</f>
        <v>13.1338</v>
      </c>
      <c r="E378" t="s">
        <v>481</v>
      </c>
    </row>
    <row r="379" spans="1:5" x14ac:dyDescent="0.25">
      <c r="A379" t="str">
        <f t="shared" si="10"/>
        <v>13</v>
      </c>
      <c r="B379" t="str">
        <f>"13.1399"</f>
        <v>13.1399</v>
      </c>
      <c r="E379" t="s">
        <v>482</v>
      </c>
    </row>
    <row r="380" spans="1:5" x14ac:dyDescent="0.25">
      <c r="A380" t="str">
        <f t="shared" si="10"/>
        <v>13</v>
      </c>
      <c r="B380" t="str">
        <f>"13.14"</f>
        <v>13.14</v>
      </c>
      <c r="D380" t="s">
        <v>483</v>
      </c>
    </row>
    <row r="381" spans="1:5" x14ac:dyDescent="0.25">
      <c r="A381" t="str">
        <f t="shared" si="10"/>
        <v>13</v>
      </c>
      <c r="B381" t="str">
        <f>"13.1401"</f>
        <v>13.1401</v>
      </c>
      <c r="E381" t="s">
        <v>484</v>
      </c>
    </row>
    <row r="382" spans="1:5" x14ac:dyDescent="0.25">
      <c r="A382" t="str">
        <f t="shared" si="10"/>
        <v>13</v>
      </c>
      <c r="B382" t="str">
        <f>"13.1402"</f>
        <v>13.1402</v>
      </c>
      <c r="E382" t="s">
        <v>485</v>
      </c>
    </row>
    <row r="383" spans="1:5" x14ac:dyDescent="0.25">
      <c r="A383" t="str">
        <f t="shared" si="10"/>
        <v>13</v>
      </c>
      <c r="B383" t="str">
        <f>"13.1499"</f>
        <v>13.1499</v>
      </c>
      <c r="E383" t="s">
        <v>486</v>
      </c>
    </row>
    <row r="384" spans="1:5" x14ac:dyDescent="0.25">
      <c r="A384" t="str">
        <f t="shared" si="10"/>
        <v>13</v>
      </c>
      <c r="B384" t="str">
        <f>"13.15"</f>
        <v>13.15</v>
      </c>
      <c r="D384" t="s">
        <v>487</v>
      </c>
    </row>
    <row r="385" spans="1:5" x14ac:dyDescent="0.25">
      <c r="A385" t="str">
        <f t="shared" si="10"/>
        <v>13</v>
      </c>
      <c r="B385" t="str">
        <f>"13.1501"</f>
        <v>13.1501</v>
      </c>
      <c r="E385" t="s">
        <v>488</v>
      </c>
    </row>
    <row r="386" spans="1:5" x14ac:dyDescent="0.25">
      <c r="A386" t="str">
        <f t="shared" si="10"/>
        <v>13</v>
      </c>
      <c r="B386" t="str">
        <f>"13.1502"</f>
        <v>13.1502</v>
      </c>
      <c r="E386" t="s">
        <v>489</v>
      </c>
    </row>
    <row r="387" spans="1:5" x14ac:dyDescent="0.25">
      <c r="A387" t="str">
        <f t="shared" si="10"/>
        <v>13</v>
      </c>
      <c r="B387" t="str">
        <f>"13.1599"</f>
        <v>13.1599</v>
      </c>
      <c r="E387" t="s">
        <v>490</v>
      </c>
    </row>
    <row r="388" spans="1:5" x14ac:dyDescent="0.25">
      <c r="A388" t="str">
        <f t="shared" si="10"/>
        <v>13</v>
      </c>
      <c r="B388" t="str">
        <f>"13.99"</f>
        <v>13.99</v>
      </c>
      <c r="D388" t="s">
        <v>491</v>
      </c>
    </row>
    <row r="389" spans="1:5" x14ac:dyDescent="0.25">
      <c r="A389" t="str">
        <f>"14"</f>
        <v>14</v>
      </c>
      <c r="B389" t="str">
        <f>"14"</f>
        <v>14</v>
      </c>
      <c r="C389" t="s">
        <v>492</v>
      </c>
    </row>
    <row r="390" spans="1:5" x14ac:dyDescent="0.25">
      <c r="A390" t="str">
        <f t="shared" ref="A390:A447" si="11">"14"</f>
        <v>14</v>
      </c>
      <c r="B390" t="str">
        <f>"14.01"</f>
        <v>14.01</v>
      </c>
      <c r="D390" t="s">
        <v>493</v>
      </c>
    </row>
    <row r="391" spans="1:5" x14ac:dyDescent="0.25">
      <c r="A391" t="str">
        <f t="shared" si="11"/>
        <v>14</v>
      </c>
      <c r="B391" t="str">
        <f>"14.0101"</f>
        <v>14.0101</v>
      </c>
      <c r="E391" t="s">
        <v>493</v>
      </c>
    </row>
    <row r="392" spans="1:5" x14ac:dyDescent="0.25">
      <c r="A392" t="str">
        <f t="shared" si="11"/>
        <v>14</v>
      </c>
      <c r="B392" t="str">
        <f>"14.0102"</f>
        <v>14.0102</v>
      </c>
      <c r="E392" t="s">
        <v>494</v>
      </c>
    </row>
    <row r="393" spans="1:5" x14ac:dyDescent="0.25">
      <c r="A393" t="str">
        <f t="shared" si="11"/>
        <v>14</v>
      </c>
      <c r="B393" t="str">
        <f>"14.02"</f>
        <v>14.02</v>
      </c>
      <c r="D393" t="s">
        <v>495</v>
      </c>
    </row>
    <row r="394" spans="1:5" x14ac:dyDescent="0.25">
      <c r="A394" t="str">
        <f t="shared" si="11"/>
        <v>14</v>
      </c>
      <c r="B394" t="str">
        <f>"14.03"</f>
        <v>14.03</v>
      </c>
      <c r="D394" t="s">
        <v>496</v>
      </c>
    </row>
    <row r="395" spans="1:5" x14ac:dyDescent="0.25">
      <c r="A395" t="str">
        <f t="shared" si="11"/>
        <v>14</v>
      </c>
      <c r="B395" t="str">
        <f>"14.04"</f>
        <v>14.04</v>
      </c>
      <c r="D395" t="s">
        <v>497</v>
      </c>
    </row>
    <row r="396" spans="1:5" x14ac:dyDescent="0.25">
      <c r="A396" t="str">
        <f t="shared" si="11"/>
        <v>14</v>
      </c>
      <c r="B396" t="str">
        <f>"14.05"</f>
        <v>14.05</v>
      </c>
      <c r="D396" t="s">
        <v>498</v>
      </c>
    </row>
    <row r="397" spans="1:5" x14ac:dyDescent="0.25">
      <c r="A397" t="str">
        <f t="shared" si="11"/>
        <v>14</v>
      </c>
      <c r="B397" t="str">
        <f>"14.06"</f>
        <v>14.06</v>
      </c>
      <c r="D397" t="s">
        <v>499</v>
      </c>
    </row>
    <row r="398" spans="1:5" x14ac:dyDescent="0.25">
      <c r="A398" t="str">
        <f t="shared" si="11"/>
        <v>14</v>
      </c>
      <c r="B398" t="str">
        <f>"14.07"</f>
        <v>14.07</v>
      </c>
      <c r="D398" t="s">
        <v>500</v>
      </c>
    </row>
    <row r="399" spans="1:5" x14ac:dyDescent="0.25">
      <c r="A399" t="str">
        <f t="shared" si="11"/>
        <v>14</v>
      </c>
      <c r="B399" t="str">
        <f>"14.0701"</f>
        <v>14.0701</v>
      </c>
      <c r="E399" t="s">
        <v>500</v>
      </c>
    </row>
    <row r="400" spans="1:5" x14ac:dyDescent="0.25">
      <c r="A400" t="str">
        <f t="shared" si="11"/>
        <v>14</v>
      </c>
      <c r="B400" t="str">
        <f>"14.0702"</f>
        <v>14.0702</v>
      </c>
      <c r="E400" t="s">
        <v>501</v>
      </c>
    </row>
    <row r="401" spans="1:5" x14ac:dyDescent="0.25">
      <c r="A401" t="str">
        <f t="shared" si="11"/>
        <v>14</v>
      </c>
      <c r="B401" t="str">
        <f>"14.0799"</f>
        <v>14.0799</v>
      </c>
      <c r="E401" t="s">
        <v>502</v>
      </c>
    </row>
    <row r="402" spans="1:5" x14ac:dyDescent="0.25">
      <c r="A402" t="str">
        <f t="shared" si="11"/>
        <v>14</v>
      </c>
      <c r="B402" t="str">
        <f>"14.08"</f>
        <v>14.08</v>
      </c>
      <c r="D402" t="s">
        <v>503</v>
      </c>
    </row>
    <row r="403" spans="1:5" x14ac:dyDescent="0.25">
      <c r="A403" t="str">
        <f t="shared" si="11"/>
        <v>14</v>
      </c>
      <c r="B403" t="str">
        <f>"14.0801"</f>
        <v>14.0801</v>
      </c>
      <c r="E403" t="s">
        <v>504</v>
      </c>
    </row>
    <row r="404" spans="1:5" x14ac:dyDescent="0.25">
      <c r="A404" t="str">
        <f t="shared" si="11"/>
        <v>14</v>
      </c>
      <c r="B404" t="str">
        <f>"14.0802"</f>
        <v>14.0802</v>
      </c>
      <c r="E404" t="s">
        <v>505</v>
      </c>
    </row>
    <row r="405" spans="1:5" x14ac:dyDescent="0.25">
      <c r="A405" t="str">
        <f t="shared" si="11"/>
        <v>14</v>
      </c>
      <c r="B405" t="str">
        <f>"14.0803"</f>
        <v>14.0803</v>
      </c>
      <c r="E405" t="s">
        <v>506</v>
      </c>
    </row>
    <row r="406" spans="1:5" x14ac:dyDescent="0.25">
      <c r="A406" t="str">
        <f t="shared" si="11"/>
        <v>14</v>
      </c>
      <c r="B406" t="str">
        <f>"14.0804"</f>
        <v>14.0804</v>
      </c>
      <c r="E406" t="s">
        <v>507</v>
      </c>
    </row>
    <row r="407" spans="1:5" x14ac:dyDescent="0.25">
      <c r="A407" t="str">
        <f t="shared" si="11"/>
        <v>14</v>
      </c>
      <c r="B407" t="str">
        <f>"14.0805"</f>
        <v>14.0805</v>
      </c>
      <c r="E407" t="s">
        <v>508</v>
      </c>
    </row>
    <row r="408" spans="1:5" x14ac:dyDescent="0.25">
      <c r="A408" t="str">
        <f t="shared" si="11"/>
        <v>14</v>
      </c>
      <c r="B408" t="str">
        <f>"14.0899"</f>
        <v>14.0899</v>
      </c>
      <c r="E408" t="s">
        <v>509</v>
      </c>
    </row>
    <row r="409" spans="1:5" x14ac:dyDescent="0.25">
      <c r="A409" t="str">
        <f t="shared" si="11"/>
        <v>14</v>
      </c>
      <c r="B409" t="str">
        <f>"14.09"</f>
        <v>14.09</v>
      </c>
      <c r="D409" t="s">
        <v>510</v>
      </c>
    </row>
    <row r="410" spans="1:5" x14ac:dyDescent="0.25">
      <c r="A410" t="str">
        <f t="shared" si="11"/>
        <v>14</v>
      </c>
      <c r="B410" t="str">
        <f>"14.0901"</f>
        <v>14.0901</v>
      </c>
      <c r="E410" t="s">
        <v>511</v>
      </c>
    </row>
    <row r="411" spans="1:5" x14ac:dyDescent="0.25">
      <c r="A411" t="str">
        <f t="shared" si="11"/>
        <v>14</v>
      </c>
      <c r="B411" t="str">
        <f>"14.0902"</f>
        <v>14.0902</v>
      </c>
      <c r="E411" t="s">
        <v>512</v>
      </c>
    </row>
    <row r="412" spans="1:5" x14ac:dyDescent="0.25">
      <c r="A412" t="str">
        <f t="shared" si="11"/>
        <v>14</v>
      </c>
      <c r="B412" t="str">
        <f>"14.0903"</f>
        <v>14.0903</v>
      </c>
      <c r="E412" t="s">
        <v>513</v>
      </c>
    </row>
    <row r="413" spans="1:5" x14ac:dyDescent="0.25">
      <c r="A413" t="str">
        <f t="shared" si="11"/>
        <v>14</v>
      </c>
      <c r="B413" t="str">
        <f>"14.0999"</f>
        <v>14.0999</v>
      </c>
      <c r="E413" t="s">
        <v>514</v>
      </c>
    </row>
    <row r="414" spans="1:5" x14ac:dyDescent="0.25">
      <c r="A414" t="str">
        <f t="shared" si="11"/>
        <v>14</v>
      </c>
      <c r="B414" t="str">
        <f>"14.10"</f>
        <v>14.10</v>
      </c>
      <c r="D414" t="s">
        <v>515</v>
      </c>
    </row>
    <row r="415" spans="1:5" x14ac:dyDescent="0.25">
      <c r="A415" t="str">
        <f t="shared" si="11"/>
        <v>14</v>
      </c>
      <c r="B415" t="str">
        <f>"14.1001"</f>
        <v>14.1001</v>
      </c>
      <c r="E415" t="s">
        <v>516</v>
      </c>
    </row>
    <row r="416" spans="1:5" x14ac:dyDescent="0.25">
      <c r="A416" t="str">
        <f t="shared" si="11"/>
        <v>14</v>
      </c>
      <c r="B416" t="str">
        <f>"14.1003"</f>
        <v>14.1003</v>
      </c>
      <c r="E416" t="s">
        <v>517</v>
      </c>
    </row>
    <row r="417" spans="1:5" x14ac:dyDescent="0.25">
      <c r="A417" t="str">
        <f t="shared" si="11"/>
        <v>14</v>
      </c>
      <c r="B417" t="str">
        <f>"14.1004"</f>
        <v>14.1004</v>
      </c>
      <c r="E417" t="s">
        <v>518</v>
      </c>
    </row>
    <row r="418" spans="1:5" x14ac:dyDescent="0.25">
      <c r="A418" t="str">
        <f t="shared" si="11"/>
        <v>14</v>
      </c>
      <c r="B418" t="str">
        <f>"14.1099"</f>
        <v>14.1099</v>
      </c>
      <c r="E418" t="s">
        <v>519</v>
      </c>
    </row>
    <row r="419" spans="1:5" x14ac:dyDescent="0.25">
      <c r="A419" t="str">
        <f t="shared" si="11"/>
        <v>14</v>
      </c>
      <c r="B419" t="str">
        <f>"14.11"</f>
        <v>14.11</v>
      </c>
      <c r="D419" t="s">
        <v>520</v>
      </c>
    </row>
    <row r="420" spans="1:5" x14ac:dyDescent="0.25">
      <c r="A420" t="str">
        <f t="shared" si="11"/>
        <v>14</v>
      </c>
      <c r="B420" t="str">
        <f>"14.12"</f>
        <v>14.12</v>
      </c>
      <c r="D420" t="s">
        <v>521</v>
      </c>
    </row>
    <row r="421" spans="1:5" x14ac:dyDescent="0.25">
      <c r="A421" t="str">
        <f t="shared" si="11"/>
        <v>14</v>
      </c>
      <c r="B421" t="str">
        <f>"14.13"</f>
        <v>14.13</v>
      </c>
      <c r="D421" t="s">
        <v>522</v>
      </c>
    </row>
    <row r="422" spans="1:5" x14ac:dyDescent="0.25">
      <c r="A422" t="str">
        <f t="shared" si="11"/>
        <v>14</v>
      </c>
      <c r="B422" t="str">
        <f>"14.14"</f>
        <v>14.14</v>
      </c>
      <c r="D422" t="s">
        <v>523</v>
      </c>
    </row>
    <row r="423" spans="1:5" x14ac:dyDescent="0.25">
      <c r="A423" t="str">
        <f t="shared" si="11"/>
        <v>14</v>
      </c>
      <c r="B423" t="str">
        <f>"14.18"</f>
        <v>14.18</v>
      </c>
      <c r="D423" t="s">
        <v>524</v>
      </c>
    </row>
    <row r="424" spans="1:5" x14ac:dyDescent="0.25">
      <c r="A424" t="str">
        <f t="shared" si="11"/>
        <v>14</v>
      </c>
      <c r="B424" t="str">
        <f>"14.19"</f>
        <v>14.19</v>
      </c>
      <c r="D424" t="s">
        <v>525</v>
      </c>
    </row>
    <row r="425" spans="1:5" x14ac:dyDescent="0.25">
      <c r="A425" t="str">
        <f t="shared" si="11"/>
        <v>14</v>
      </c>
      <c r="B425" t="str">
        <f>"14.20"</f>
        <v>14.20</v>
      </c>
      <c r="D425" t="s">
        <v>526</v>
      </c>
    </row>
    <row r="426" spans="1:5" x14ac:dyDescent="0.25">
      <c r="A426" t="str">
        <f t="shared" si="11"/>
        <v>14</v>
      </c>
      <c r="B426" t="str">
        <f>"14.21"</f>
        <v>14.21</v>
      </c>
      <c r="D426" t="s">
        <v>527</v>
      </c>
    </row>
    <row r="427" spans="1:5" x14ac:dyDescent="0.25">
      <c r="A427" t="str">
        <f t="shared" si="11"/>
        <v>14</v>
      </c>
      <c r="B427" t="str">
        <f>"14.22"</f>
        <v>14.22</v>
      </c>
      <c r="D427" t="s">
        <v>528</v>
      </c>
    </row>
    <row r="428" spans="1:5" x14ac:dyDescent="0.25">
      <c r="A428" t="str">
        <f t="shared" si="11"/>
        <v>14</v>
      </c>
      <c r="B428" t="str">
        <f>"14.23"</f>
        <v>14.23</v>
      </c>
      <c r="D428" t="s">
        <v>529</v>
      </c>
    </row>
    <row r="429" spans="1:5" x14ac:dyDescent="0.25">
      <c r="A429" t="str">
        <f t="shared" si="11"/>
        <v>14</v>
      </c>
      <c r="B429" t="str">
        <f>"14.24"</f>
        <v>14.24</v>
      </c>
      <c r="D429" t="s">
        <v>530</v>
      </c>
    </row>
    <row r="430" spans="1:5" x14ac:dyDescent="0.25">
      <c r="A430" t="str">
        <f t="shared" si="11"/>
        <v>14</v>
      </c>
      <c r="B430" t="str">
        <f>"14.25"</f>
        <v>14.25</v>
      </c>
      <c r="D430" t="s">
        <v>531</v>
      </c>
    </row>
    <row r="431" spans="1:5" x14ac:dyDescent="0.25">
      <c r="A431" t="str">
        <f t="shared" si="11"/>
        <v>14</v>
      </c>
      <c r="B431" t="str">
        <f>"14.27"</f>
        <v>14.27</v>
      </c>
      <c r="D431" t="s">
        <v>532</v>
      </c>
    </row>
    <row r="432" spans="1:5" x14ac:dyDescent="0.25">
      <c r="A432" t="str">
        <f t="shared" si="11"/>
        <v>14</v>
      </c>
      <c r="B432" t="str">
        <f>"14.28"</f>
        <v>14.28</v>
      </c>
      <c r="D432" t="s">
        <v>533</v>
      </c>
    </row>
    <row r="433" spans="1:4" x14ac:dyDescent="0.25">
      <c r="A433" t="str">
        <f t="shared" si="11"/>
        <v>14</v>
      </c>
      <c r="B433" t="str">
        <f>"14.32"</f>
        <v>14.32</v>
      </c>
      <c r="D433" t="s">
        <v>535</v>
      </c>
    </row>
    <row r="434" spans="1:4" x14ac:dyDescent="0.25">
      <c r="A434" t="str">
        <f t="shared" si="11"/>
        <v>14</v>
      </c>
      <c r="B434" t="str">
        <f>"14.33"</f>
        <v>14.33</v>
      </c>
      <c r="D434" t="s">
        <v>536</v>
      </c>
    </row>
    <row r="435" spans="1:4" x14ac:dyDescent="0.25">
      <c r="A435" t="str">
        <f t="shared" si="11"/>
        <v>14</v>
      </c>
      <c r="B435" t="str">
        <f>"14.34"</f>
        <v>14.34</v>
      </c>
      <c r="D435" t="s">
        <v>537</v>
      </c>
    </row>
    <row r="436" spans="1:4" x14ac:dyDescent="0.25">
      <c r="A436" t="str">
        <f t="shared" si="11"/>
        <v>14</v>
      </c>
      <c r="B436" t="str">
        <f>"14.35"</f>
        <v>14.35</v>
      </c>
      <c r="D436" t="s">
        <v>538</v>
      </c>
    </row>
    <row r="437" spans="1:4" x14ac:dyDescent="0.25">
      <c r="A437" t="str">
        <f t="shared" si="11"/>
        <v>14</v>
      </c>
      <c r="B437" t="str">
        <f>"14.36"</f>
        <v>14.36</v>
      </c>
      <c r="D437" t="s">
        <v>539</v>
      </c>
    </row>
    <row r="438" spans="1:4" x14ac:dyDescent="0.25">
      <c r="A438" t="str">
        <f t="shared" si="11"/>
        <v>14</v>
      </c>
      <c r="B438" t="str">
        <f>"14.37"</f>
        <v>14.37</v>
      </c>
      <c r="D438" t="s">
        <v>540</v>
      </c>
    </row>
    <row r="439" spans="1:4" x14ac:dyDescent="0.25">
      <c r="A439" t="str">
        <f t="shared" si="11"/>
        <v>14</v>
      </c>
      <c r="B439" t="str">
        <f>"14.38"</f>
        <v>14.38</v>
      </c>
      <c r="D439" t="s">
        <v>541</v>
      </c>
    </row>
    <row r="440" spans="1:4" x14ac:dyDescent="0.25">
      <c r="A440" t="str">
        <f t="shared" si="11"/>
        <v>14</v>
      </c>
      <c r="B440" t="str">
        <f>"14.39"</f>
        <v>14.39</v>
      </c>
      <c r="D440" t="s">
        <v>542</v>
      </c>
    </row>
    <row r="441" spans="1:4" x14ac:dyDescent="0.25">
      <c r="A441" t="str">
        <f t="shared" si="11"/>
        <v>14</v>
      </c>
      <c r="B441" t="str">
        <f>"14.40"</f>
        <v>14.40</v>
      </c>
      <c r="D441" t="s">
        <v>543</v>
      </c>
    </row>
    <row r="442" spans="1:4" x14ac:dyDescent="0.25">
      <c r="A442" t="str">
        <f t="shared" si="11"/>
        <v>14</v>
      </c>
      <c r="B442" t="str">
        <f>"14.41"</f>
        <v>14.41</v>
      </c>
      <c r="D442" t="s">
        <v>544</v>
      </c>
    </row>
    <row r="443" spans="1:4" x14ac:dyDescent="0.25">
      <c r="A443" t="str">
        <f t="shared" si="11"/>
        <v>14</v>
      </c>
      <c r="B443" t="str">
        <f>"14.42"</f>
        <v>14.42</v>
      </c>
      <c r="D443" t="s">
        <v>545</v>
      </c>
    </row>
    <row r="444" spans="1:4" x14ac:dyDescent="0.25">
      <c r="A444" t="str">
        <f t="shared" si="11"/>
        <v>14</v>
      </c>
      <c r="B444" t="str">
        <f>"14.43"</f>
        <v>14.43</v>
      </c>
      <c r="D444" t="s">
        <v>546</v>
      </c>
    </row>
    <row r="445" spans="1:4" x14ac:dyDescent="0.25">
      <c r="A445" t="str">
        <f t="shared" si="11"/>
        <v>14</v>
      </c>
      <c r="B445" t="str">
        <f>"14.44"</f>
        <v>14.44</v>
      </c>
      <c r="D445" t="s">
        <v>547</v>
      </c>
    </row>
    <row r="446" spans="1:4" x14ac:dyDescent="0.25">
      <c r="A446" t="str">
        <f t="shared" si="11"/>
        <v>14</v>
      </c>
      <c r="B446" t="str">
        <f>"14.45"</f>
        <v>14.45</v>
      </c>
      <c r="D446" t="s">
        <v>548</v>
      </c>
    </row>
    <row r="447" spans="1:4" x14ac:dyDescent="0.25">
      <c r="A447" t="str">
        <f t="shared" si="11"/>
        <v>14</v>
      </c>
      <c r="B447" t="str">
        <f>"14.99"</f>
        <v>14.99</v>
      </c>
      <c r="D447" t="s">
        <v>549</v>
      </c>
    </row>
    <row r="448" spans="1:4" x14ac:dyDescent="0.25">
      <c r="A448" t="str">
        <f>"15"</f>
        <v>15</v>
      </c>
      <c r="B448" t="str">
        <f>"15"</f>
        <v>15</v>
      </c>
      <c r="C448" t="s">
        <v>550</v>
      </c>
    </row>
    <row r="449" spans="1:5" x14ac:dyDescent="0.25">
      <c r="A449" t="str">
        <f t="shared" ref="A449:A512" si="12">"15"</f>
        <v>15</v>
      </c>
      <c r="B449" t="str">
        <f>"15.00"</f>
        <v>15.00</v>
      </c>
      <c r="D449" t="s">
        <v>551</v>
      </c>
    </row>
    <row r="450" spans="1:5" x14ac:dyDescent="0.25">
      <c r="A450" t="str">
        <f t="shared" si="12"/>
        <v>15</v>
      </c>
      <c r="B450" t="str">
        <f>"15.01"</f>
        <v>15.01</v>
      </c>
      <c r="D450" t="s">
        <v>552</v>
      </c>
    </row>
    <row r="451" spans="1:5" x14ac:dyDescent="0.25">
      <c r="A451" t="str">
        <f t="shared" si="12"/>
        <v>15</v>
      </c>
      <c r="B451" t="str">
        <f>"15.02"</f>
        <v>15.02</v>
      </c>
      <c r="D451" t="s">
        <v>553</v>
      </c>
    </row>
    <row r="452" spans="1:5" x14ac:dyDescent="0.25">
      <c r="A452" t="str">
        <f t="shared" si="12"/>
        <v>15</v>
      </c>
      <c r="B452" t="str">
        <f>"15.03"</f>
        <v>15.03</v>
      </c>
      <c r="D452" t="s">
        <v>554</v>
      </c>
    </row>
    <row r="453" spans="1:5" x14ac:dyDescent="0.25">
      <c r="A453" t="str">
        <f t="shared" si="12"/>
        <v>15</v>
      </c>
      <c r="B453" t="str">
        <f>"15.0303"</f>
        <v>15.0303</v>
      </c>
      <c r="E453" t="s">
        <v>555</v>
      </c>
    </row>
    <row r="454" spans="1:5" x14ac:dyDescent="0.25">
      <c r="A454" t="str">
        <f t="shared" si="12"/>
        <v>15</v>
      </c>
      <c r="B454" t="str">
        <f>"15.0304"</f>
        <v>15.0304</v>
      </c>
      <c r="E454" t="s">
        <v>556</v>
      </c>
    </row>
    <row r="455" spans="1:5" x14ac:dyDescent="0.25">
      <c r="A455" t="str">
        <f t="shared" si="12"/>
        <v>15</v>
      </c>
      <c r="B455" t="str">
        <f>"15.0305"</f>
        <v>15.0305</v>
      </c>
      <c r="E455" t="s">
        <v>557</v>
      </c>
    </row>
    <row r="456" spans="1:5" x14ac:dyDescent="0.25">
      <c r="A456" t="str">
        <f t="shared" si="12"/>
        <v>15</v>
      </c>
      <c r="B456" t="str">
        <f>"15.0306"</f>
        <v>15.0306</v>
      </c>
      <c r="E456" t="s">
        <v>558</v>
      </c>
    </row>
    <row r="457" spans="1:5" x14ac:dyDescent="0.25">
      <c r="A457" t="str">
        <f t="shared" si="12"/>
        <v>15</v>
      </c>
      <c r="B457" t="str">
        <f>"15.0399"</f>
        <v>15.0399</v>
      </c>
      <c r="E457" t="s">
        <v>559</v>
      </c>
    </row>
    <row r="458" spans="1:5" x14ac:dyDescent="0.25">
      <c r="A458" t="str">
        <f t="shared" si="12"/>
        <v>15</v>
      </c>
      <c r="B458" t="str">
        <f>"15.04"</f>
        <v>15.04</v>
      </c>
      <c r="D458" t="s">
        <v>560</v>
      </c>
    </row>
    <row r="459" spans="1:5" x14ac:dyDescent="0.25">
      <c r="A459" t="str">
        <f t="shared" si="12"/>
        <v>15</v>
      </c>
      <c r="B459" t="str">
        <f>"15.0401"</f>
        <v>15.0401</v>
      </c>
      <c r="E459" t="s">
        <v>561</v>
      </c>
    </row>
    <row r="460" spans="1:5" x14ac:dyDescent="0.25">
      <c r="A460" t="str">
        <f t="shared" si="12"/>
        <v>15</v>
      </c>
      <c r="B460" t="str">
        <f>"15.0403"</f>
        <v>15.0403</v>
      </c>
      <c r="E460" t="s">
        <v>562</v>
      </c>
    </row>
    <row r="461" spans="1:5" x14ac:dyDescent="0.25">
      <c r="A461" t="str">
        <f t="shared" si="12"/>
        <v>15</v>
      </c>
      <c r="B461" t="str">
        <f>"15.0404"</f>
        <v>15.0404</v>
      </c>
      <c r="E461" t="s">
        <v>563</v>
      </c>
    </row>
    <row r="462" spans="1:5" x14ac:dyDescent="0.25">
      <c r="A462" t="str">
        <f t="shared" si="12"/>
        <v>15</v>
      </c>
      <c r="B462" t="str">
        <f>"15.0405"</f>
        <v>15.0405</v>
      </c>
      <c r="E462" t="s">
        <v>564</v>
      </c>
    </row>
    <row r="463" spans="1:5" x14ac:dyDescent="0.25">
      <c r="A463" t="str">
        <f t="shared" si="12"/>
        <v>15</v>
      </c>
      <c r="B463" t="str">
        <f>"15.0406"</f>
        <v>15.0406</v>
      </c>
      <c r="E463" t="s">
        <v>565</v>
      </c>
    </row>
    <row r="464" spans="1:5" x14ac:dyDescent="0.25">
      <c r="A464" t="str">
        <f t="shared" si="12"/>
        <v>15</v>
      </c>
      <c r="B464" t="str">
        <f>"15.0499"</f>
        <v>15.0499</v>
      </c>
      <c r="E464" t="s">
        <v>566</v>
      </c>
    </row>
    <row r="465" spans="1:5" x14ac:dyDescent="0.25">
      <c r="A465" t="str">
        <f t="shared" si="12"/>
        <v>15</v>
      </c>
      <c r="B465" t="str">
        <f>"15.05"</f>
        <v>15.05</v>
      </c>
      <c r="D465" t="s">
        <v>567</v>
      </c>
    </row>
    <row r="466" spans="1:5" x14ac:dyDescent="0.25">
      <c r="A466" t="str">
        <f t="shared" si="12"/>
        <v>15</v>
      </c>
      <c r="B466" t="str">
        <f>"15.0501"</f>
        <v>15.0501</v>
      </c>
      <c r="E466" t="s">
        <v>568</v>
      </c>
    </row>
    <row r="467" spans="1:5" x14ac:dyDescent="0.25">
      <c r="A467" t="str">
        <f t="shared" si="12"/>
        <v>15</v>
      </c>
      <c r="B467" t="str">
        <f>"15.0503"</f>
        <v>15.0503</v>
      </c>
      <c r="E467" t="s">
        <v>569</v>
      </c>
    </row>
    <row r="468" spans="1:5" x14ac:dyDescent="0.25">
      <c r="A468" t="str">
        <f t="shared" si="12"/>
        <v>15</v>
      </c>
      <c r="B468" t="str">
        <f>"15.0505"</f>
        <v>15.0505</v>
      </c>
      <c r="E468" t="s">
        <v>570</v>
      </c>
    </row>
    <row r="469" spans="1:5" x14ac:dyDescent="0.25">
      <c r="A469" t="str">
        <f t="shared" si="12"/>
        <v>15</v>
      </c>
      <c r="B469" t="str">
        <f>"15.0506"</f>
        <v>15.0506</v>
      </c>
      <c r="E469" t="s">
        <v>571</v>
      </c>
    </row>
    <row r="470" spans="1:5" x14ac:dyDescent="0.25">
      <c r="A470" t="str">
        <f t="shared" si="12"/>
        <v>15</v>
      </c>
      <c r="B470" t="str">
        <f>"15.0507"</f>
        <v>15.0507</v>
      </c>
      <c r="E470" t="s">
        <v>572</v>
      </c>
    </row>
    <row r="471" spans="1:5" x14ac:dyDescent="0.25">
      <c r="A471" t="str">
        <f t="shared" si="12"/>
        <v>15</v>
      </c>
      <c r="B471" t="str">
        <f>"15.0508"</f>
        <v>15.0508</v>
      </c>
      <c r="E471" t="s">
        <v>573</v>
      </c>
    </row>
    <row r="472" spans="1:5" x14ac:dyDescent="0.25">
      <c r="A472" t="str">
        <f t="shared" si="12"/>
        <v>15</v>
      </c>
      <c r="B472" t="str">
        <f>"15.0599"</f>
        <v>15.0599</v>
      </c>
      <c r="E472" t="s">
        <v>574</v>
      </c>
    </row>
    <row r="473" spans="1:5" x14ac:dyDescent="0.25">
      <c r="A473" t="str">
        <f t="shared" si="12"/>
        <v>15</v>
      </c>
      <c r="B473" t="str">
        <f>"15.06"</f>
        <v>15.06</v>
      </c>
      <c r="D473" t="s">
        <v>575</v>
      </c>
    </row>
    <row r="474" spans="1:5" x14ac:dyDescent="0.25">
      <c r="A474" t="str">
        <f t="shared" si="12"/>
        <v>15</v>
      </c>
      <c r="B474" t="str">
        <f>"15.0607"</f>
        <v>15.0607</v>
      </c>
      <c r="E474" t="s">
        <v>576</v>
      </c>
    </row>
    <row r="475" spans="1:5" x14ac:dyDescent="0.25">
      <c r="A475" t="str">
        <f t="shared" si="12"/>
        <v>15</v>
      </c>
      <c r="B475" t="str">
        <f>"15.0611"</f>
        <v>15.0611</v>
      </c>
      <c r="E475" t="s">
        <v>577</v>
      </c>
    </row>
    <row r="476" spans="1:5" x14ac:dyDescent="0.25">
      <c r="A476" t="str">
        <f t="shared" si="12"/>
        <v>15</v>
      </c>
      <c r="B476" t="str">
        <f>"15.0612"</f>
        <v>15.0612</v>
      </c>
      <c r="E476" t="s">
        <v>578</v>
      </c>
    </row>
    <row r="477" spans="1:5" x14ac:dyDescent="0.25">
      <c r="A477" t="str">
        <f t="shared" si="12"/>
        <v>15</v>
      </c>
      <c r="B477" t="str">
        <f>"15.0613"</f>
        <v>15.0613</v>
      </c>
      <c r="E477" t="s">
        <v>579</v>
      </c>
    </row>
    <row r="478" spans="1:5" x14ac:dyDescent="0.25">
      <c r="A478" t="str">
        <f t="shared" si="12"/>
        <v>15</v>
      </c>
      <c r="B478" t="str">
        <f>"15.0614"</f>
        <v>15.0614</v>
      </c>
      <c r="E478" t="s">
        <v>580</v>
      </c>
    </row>
    <row r="479" spans="1:5" x14ac:dyDescent="0.25">
      <c r="A479" t="str">
        <f t="shared" si="12"/>
        <v>15</v>
      </c>
      <c r="B479" t="str">
        <f>"15.0615"</f>
        <v>15.0615</v>
      </c>
      <c r="E479" t="s">
        <v>581</v>
      </c>
    </row>
    <row r="480" spans="1:5" x14ac:dyDescent="0.25">
      <c r="A480" t="str">
        <f t="shared" si="12"/>
        <v>15</v>
      </c>
      <c r="B480" t="str">
        <f>"15.0616"</f>
        <v>15.0616</v>
      </c>
      <c r="E480" t="s">
        <v>582</v>
      </c>
    </row>
    <row r="481" spans="1:5" x14ac:dyDescent="0.25">
      <c r="A481" t="str">
        <f t="shared" si="12"/>
        <v>15</v>
      </c>
      <c r="B481" t="str">
        <f>"15.0699"</f>
        <v>15.0699</v>
      </c>
      <c r="E481" t="s">
        <v>583</v>
      </c>
    </row>
    <row r="482" spans="1:5" x14ac:dyDescent="0.25">
      <c r="A482" t="str">
        <f t="shared" si="12"/>
        <v>15</v>
      </c>
      <c r="B482" t="str">
        <f>"15.07"</f>
        <v>15.07</v>
      </c>
      <c r="D482" t="s">
        <v>584</v>
      </c>
    </row>
    <row r="483" spans="1:5" x14ac:dyDescent="0.25">
      <c r="A483" t="str">
        <f t="shared" si="12"/>
        <v>15</v>
      </c>
      <c r="B483" t="str">
        <f>"15.0701"</f>
        <v>15.0701</v>
      </c>
      <c r="E483" t="s">
        <v>585</v>
      </c>
    </row>
    <row r="484" spans="1:5" x14ac:dyDescent="0.25">
      <c r="A484" t="str">
        <f t="shared" si="12"/>
        <v>15</v>
      </c>
      <c r="B484" t="str">
        <f>"15.0702"</f>
        <v>15.0702</v>
      </c>
      <c r="E484" t="s">
        <v>586</v>
      </c>
    </row>
    <row r="485" spans="1:5" x14ac:dyDescent="0.25">
      <c r="A485" t="str">
        <f t="shared" si="12"/>
        <v>15</v>
      </c>
      <c r="B485" t="str">
        <f>"15.0703"</f>
        <v>15.0703</v>
      </c>
      <c r="E485" t="s">
        <v>587</v>
      </c>
    </row>
    <row r="486" spans="1:5" x14ac:dyDescent="0.25">
      <c r="A486" t="str">
        <f t="shared" si="12"/>
        <v>15</v>
      </c>
      <c r="B486" t="str">
        <f>"15.0704"</f>
        <v>15.0704</v>
      </c>
      <c r="E486" t="s">
        <v>588</v>
      </c>
    </row>
    <row r="487" spans="1:5" x14ac:dyDescent="0.25">
      <c r="A487" t="str">
        <f t="shared" si="12"/>
        <v>15</v>
      </c>
      <c r="B487" t="str">
        <f>"15.0799"</f>
        <v>15.0799</v>
      </c>
      <c r="E487" t="s">
        <v>589</v>
      </c>
    </row>
    <row r="488" spans="1:5" x14ac:dyDescent="0.25">
      <c r="A488" t="str">
        <f t="shared" si="12"/>
        <v>15</v>
      </c>
      <c r="B488" t="str">
        <f>"15.08"</f>
        <v>15.08</v>
      </c>
      <c r="D488" t="s">
        <v>590</v>
      </c>
    </row>
    <row r="489" spans="1:5" x14ac:dyDescent="0.25">
      <c r="A489" t="str">
        <f t="shared" si="12"/>
        <v>15</v>
      </c>
      <c r="B489" t="str">
        <f>"15.0801"</f>
        <v>15.0801</v>
      </c>
      <c r="E489" t="s">
        <v>591</v>
      </c>
    </row>
    <row r="490" spans="1:5" x14ac:dyDescent="0.25">
      <c r="A490" t="str">
        <f t="shared" si="12"/>
        <v>15</v>
      </c>
      <c r="B490" t="str">
        <f>"15.0803"</f>
        <v>15.0803</v>
      </c>
      <c r="E490" t="s">
        <v>592</v>
      </c>
    </row>
    <row r="491" spans="1:5" x14ac:dyDescent="0.25">
      <c r="A491" t="str">
        <f t="shared" si="12"/>
        <v>15</v>
      </c>
      <c r="B491" t="str">
        <f>"15.0805"</f>
        <v>15.0805</v>
      </c>
      <c r="E491" t="s">
        <v>593</v>
      </c>
    </row>
    <row r="492" spans="1:5" x14ac:dyDescent="0.25">
      <c r="A492" t="str">
        <f t="shared" si="12"/>
        <v>15</v>
      </c>
      <c r="B492" t="str">
        <f>"15.0899"</f>
        <v>15.0899</v>
      </c>
      <c r="E492" t="s">
        <v>594</v>
      </c>
    </row>
    <row r="493" spans="1:5" x14ac:dyDescent="0.25">
      <c r="A493" t="str">
        <f t="shared" si="12"/>
        <v>15</v>
      </c>
      <c r="B493" t="str">
        <f>"15.09"</f>
        <v>15.09</v>
      </c>
      <c r="D493" t="s">
        <v>595</v>
      </c>
    </row>
    <row r="494" spans="1:5" x14ac:dyDescent="0.25">
      <c r="A494" t="str">
        <f t="shared" si="12"/>
        <v>15</v>
      </c>
      <c r="B494" t="str">
        <f>"15.0901"</f>
        <v>15.0901</v>
      </c>
      <c r="E494" t="s">
        <v>596</v>
      </c>
    </row>
    <row r="495" spans="1:5" x14ac:dyDescent="0.25">
      <c r="A495" t="str">
        <f t="shared" si="12"/>
        <v>15</v>
      </c>
      <c r="B495" t="str">
        <f>"15.0903"</f>
        <v>15.0903</v>
      </c>
      <c r="E495" t="s">
        <v>597</v>
      </c>
    </row>
    <row r="496" spans="1:5" x14ac:dyDescent="0.25">
      <c r="A496" t="str">
        <f t="shared" si="12"/>
        <v>15</v>
      </c>
      <c r="B496" t="str">
        <f>"15.0999"</f>
        <v>15.0999</v>
      </c>
      <c r="E496" t="s">
        <v>598</v>
      </c>
    </row>
    <row r="497" spans="1:5" x14ac:dyDescent="0.25">
      <c r="A497" t="str">
        <f t="shared" si="12"/>
        <v>15</v>
      </c>
      <c r="B497" t="str">
        <f>"15.10"</f>
        <v>15.10</v>
      </c>
      <c r="D497" t="s">
        <v>599</v>
      </c>
    </row>
    <row r="498" spans="1:5" x14ac:dyDescent="0.25">
      <c r="A498" t="str">
        <f t="shared" si="12"/>
        <v>15</v>
      </c>
      <c r="B498" t="str">
        <f>"15.11"</f>
        <v>15.11</v>
      </c>
      <c r="D498" t="s">
        <v>600</v>
      </c>
    </row>
    <row r="499" spans="1:5" x14ac:dyDescent="0.25">
      <c r="A499" t="str">
        <f t="shared" si="12"/>
        <v>15</v>
      </c>
      <c r="B499" t="str">
        <f>"15.1102"</f>
        <v>15.1102</v>
      </c>
      <c r="E499" t="s">
        <v>601</v>
      </c>
    </row>
    <row r="500" spans="1:5" x14ac:dyDescent="0.25">
      <c r="A500" t="str">
        <f t="shared" si="12"/>
        <v>15</v>
      </c>
      <c r="B500" t="str">
        <f>"15.1103"</f>
        <v>15.1103</v>
      </c>
      <c r="E500" t="s">
        <v>602</v>
      </c>
    </row>
    <row r="501" spans="1:5" x14ac:dyDescent="0.25">
      <c r="A501" t="str">
        <f t="shared" si="12"/>
        <v>15</v>
      </c>
      <c r="B501" t="str">
        <f>"15.1199"</f>
        <v>15.1199</v>
      </c>
      <c r="E501" t="s">
        <v>603</v>
      </c>
    </row>
    <row r="502" spans="1:5" x14ac:dyDescent="0.25">
      <c r="A502" t="str">
        <f t="shared" si="12"/>
        <v>15</v>
      </c>
      <c r="B502" t="str">
        <f>"15.12"</f>
        <v>15.12</v>
      </c>
      <c r="D502" t="s">
        <v>604</v>
      </c>
    </row>
    <row r="503" spans="1:5" x14ac:dyDescent="0.25">
      <c r="A503" t="str">
        <f t="shared" si="12"/>
        <v>15</v>
      </c>
      <c r="B503" t="str">
        <f>"15.1201"</f>
        <v>15.1201</v>
      </c>
      <c r="E503" t="s">
        <v>605</v>
      </c>
    </row>
    <row r="504" spans="1:5" x14ac:dyDescent="0.25">
      <c r="A504" t="str">
        <f t="shared" si="12"/>
        <v>15</v>
      </c>
      <c r="B504" t="str">
        <f>"15.1202"</f>
        <v>15.1202</v>
      </c>
      <c r="E504" t="s">
        <v>606</v>
      </c>
    </row>
    <row r="505" spans="1:5" x14ac:dyDescent="0.25">
      <c r="A505" t="str">
        <f t="shared" si="12"/>
        <v>15</v>
      </c>
      <c r="B505" t="str">
        <f>"15.1203"</f>
        <v>15.1203</v>
      </c>
      <c r="E505" t="s">
        <v>607</v>
      </c>
    </row>
    <row r="506" spans="1:5" x14ac:dyDescent="0.25">
      <c r="A506" t="str">
        <f t="shared" si="12"/>
        <v>15</v>
      </c>
      <c r="B506" t="str">
        <f>"15.1204"</f>
        <v>15.1204</v>
      </c>
      <c r="E506" t="s">
        <v>608</v>
      </c>
    </row>
    <row r="507" spans="1:5" x14ac:dyDescent="0.25">
      <c r="A507" t="str">
        <f t="shared" si="12"/>
        <v>15</v>
      </c>
      <c r="B507" t="str">
        <f>"15.1299"</f>
        <v>15.1299</v>
      </c>
      <c r="E507" t="s">
        <v>609</v>
      </c>
    </row>
    <row r="508" spans="1:5" x14ac:dyDescent="0.25">
      <c r="A508" t="str">
        <f t="shared" si="12"/>
        <v>15</v>
      </c>
      <c r="B508" t="str">
        <f>"15.13"</f>
        <v>15.13</v>
      </c>
      <c r="D508" t="s">
        <v>610</v>
      </c>
    </row>
    <row r="509" spans="1:5" x14ac:dyDescent="0.25">
      <c r="A509" t="str">
        <f t="shared" si="12"/>
        <v>15</v>
      </c>
      <c r="B509" t="str">
        <f>"15.1301"</f>
        <v>15.1301</v>
      </c>
      <c r="E509" t="s">
        <v>611</v>
      </c>
    </row>
    <row r="510" spans="1:5" x14ac:dyDescent="0.25">
      <c r="A510" t="str">
        <f t="shared" si="12"/>
        <v>15</v>
      </c>
      <c r="B510" t="str">
        <f>"15.1302"</f>
        <v>15.1302</v>
      </c>
      <c r="E510" t="s">
        <v>612</v>
      </c>
    </row>
    <row r="511" spans="1:5" x14ac:dyDescent="0.25">
      <c r="A511" t="str">
        <f t="shared" si="12"/>
        <v>15</v>
      </c>
      <c r="B511" t="str">
        <f>"15.1303"</f>
        <v>15.1303</v>
      </c>
      <c r="E511" t="s">
        <v>613</v>
      </c>
    </row>
    <row r="512" spans="1:5" x14ac:dyDescent="0.25">
      <c r="A512" t="str">
        <f t="shared" si="12"/>
        <v>15</v>
      </c>
      <c r="B512" t="str">
        <f>"15.1304"</f>
        <v>15.1304</v>
      </c>
      <c r="E512" t="s">
        <v>614</v>
      </c>
    </row>
    <row r="513" spans="1:5" x14ac:dyDescent="0.25">
      <c r="A513" t="str">
        <f t="shared" ref="A513:A523" si="13">"15"</f>
        <v>15</v>
      </c>
      <c r="B513" t="str">
        <f>"15.1305"</f>
        <v>15.1305</v>
      </c>
      <c r="E513" t="s">
        <v>615</v>
      </c>
    </row>
    <row r="514" spans="1:5" x14ac:dyDescent="0.25">
      <c r="A514" t="str">
        <f t="shared" si="13"/>
        <v>15</v>
      </c>
      <c r="B514" t="str">
        <f>"15.1306"</f>
        <v>15.1306</v>
      </c>
      <c r="E514" t="s">
        <v>616</v>
      </c>
    </row>
    <row r="515" spans="1:5" x14ac:dyDescent="0.25">
      <c r="A515" t="str">
        <f t="shared" si="13"/>
        <v>15</v>
      </c>
      <c r="B515" t="str">
        <f>"15.1399"</f>
        <v>15.1399</v>
      </c>
      <c r="E515" t="s">
        <v>617</v>
      </c>
    </row>
    <row r="516" spans="1:5" x14ac:dyDescent="0.25">
      <c r="A516" t="str">
        <f t="shared" si="13"/>
        <v>15</v>
      </c>
      <c r="B516" t="str">
        <f>"15.14"</f>
        <v>15.14</v>
      </c>
      <c r="D516" t="s">
        <v>618</v>
      </c>
    </row>
    <row r="517" spans="1:5" x14ac:dyDescent="0.25">
      <c r="A517" t="str">
        <f t="shared" si="13"/>
        <v>15</v>
      </c>
      <c r="B517" t="str">
        <f>"15.15"</f>
        <v>15.15</v>
      </c>
      <c r="D517" t="s">
        <v>619</v>
      </c>
    </row>
    <row r="518" spans="1:5" x14ac:dyDescent="0.25">
      <c r="A518" t="str">
        <f t="shared" si="13"/>
        <v>15</v>
      </c>
      <c r="B518" t="str">
        <f>"15.1501"</f>
        <v>15.1501</v>
      </c>
      <c r="E518" t="s">
        <v>620</v>
      </c>
    </row>
    <row r="519" spans="1:5" x14ac:dyDescent="0.25">
      <c r="A519" t="str">
        <f t="shared" si="13"/>
        <v>15</v>
      </c>
      <c r="B519" t="str">
        <f>"15.1502"</f>
        <v>15.1502</v>
      </c>
      <c r="E519" t="s">
        <v>621</v>
      </c>
    </row>
    <row r="520" spans="1:5" x14ac:dyDescent="0.25">
      <c r="A520" t="str">
        <f t="shared" si="13"/>
        <v>15</v>
      </c>
      <c r="B520" t="str">
        <f>"15.1503"</f>
        <v>15.1503</v>
      </c>
      <c r="E520" t="s">
        <v>622</v>
      </c>
    </row>
    <row r="521" spans="1:5" x14ac:dyDescent="0.25">
      <c r="A521" t="str">
        <f t="shared" si="13"/>
        <v>15</v>
      </c>
      <c r="B521" t="str">
        <f>"15.1599"</f>
        <v>15.1599</v>
      </c>
      <c r="E521" t="s">
        <v>623</v>
      </c>
    </row>
    <row r="522" spans="1:5" x14ac:dyDescent="0.25">
      <c r="A522" t="str">
        <f t="shared" si="13"/>
        <v>15</v>
      </c>
      <c r="B522" t="str">
        <f>"15.16"</f>
        <v>15.16</v>
      </c>
      <c r="D522" t="s">
        <v>624</v>
      </c>
    </row>
    <row r="523" spans="1:5" x14ac:dyDescent="0.25">
      <c r="A523" t="str">
        <f t="shared" si="13"/>
        <v>15</v>
      </c>
      <c r="B523" t="str">
        <f>"15.99"</f>
        <v>15.99</v>
      </c>
      <c r="D523" t="s">
        <v>625</v>
      </c>
    </row>
    <row r="524" spans="1:5" x14ac:dyDescent="0.25">
      <c r="A524" t="str">
        <f>"16"</f>
        <v>16</v>
      </c>
      <c r="B524" t="str">
        <f>"16"</f>
        <v>16</v>
      </c>
      <c r="C524" t="s">
        <v>626</v>
      </c>
    </row>
    <row r="525" spans="1:5" x14ac:dyDescent="0.25">
      <c r="A525" t="str">
        <f t="shared" ref="A525:A588" si="14">"16"</f>
        <v>16</v>
      </c>
      <c r="B525" t="str">
        <f>"16.01"</f>
        <v>16.01</v>
      </c>
      <c r="D525" t="s">
        <v>627</v>
      </c>
    </row>
    <row r="526" spans="1:5" x14ac:dyDescent="0.25">
      <c r="A526" t="str">
        <f t="shared" si="14"/>
        <v>16</v>
      </c>
      <c r="B526" t="str">
        <f>"16.0101"</f>
        <v>16.0101</v>
      </c>
      <c r="E526" t="s">
        <v>628</v>
      </c>
    </row>
    <row r="527" spans="1:5" x14ac:dyDescent="0.25">
      <c r="A527" t="str">
        <f t="shared" si="14"/>
        <v>16</v>
      </c>
      <c r="B527" t="str">
        <f>"16.0102"</f>
        <v>16.0102</v>
      </c>
      <c r="E527" t="s">
        <v>629</v>
      </c>
    </row>
    <row r="528" spans="1:5" x14ac:dyDescent="0.25">
      <c r="A528" t="str">
        <f t="shared" si="14"/>
        <v>16</v>
      </c>
      <c r="B528" t="str">
        <f>"16.0103"</f>
        <v>16.0103</v>
      </c>
      <c r="E528" t="s">
        <v>630</v>
      </c>
    </row>
    <row r="529" spans="1:5" x14ac:dyDescent="0.25">
      <c r="A529" t="str">
        <f t="shared" si="14"/>
        <v>16</v>
      </c>
      <c r="B529" t="str">
        <f>"16.0104"</f>
        <v>16.0104</v>
      </c>
      <c r="E529" t="s">
        <v>631</v>
      </c>
    </row>
    <row r="530" spans="1:5" x14ac:dyDescent="0.25">
      <c r="A530" t="str">
        <f t="shared" si="14"/>
        <v>16</v>
      </c>
      <c r="B530" t="str">
        <f>"16.0105"</f>
        <v>16.0105</v>
      </c>
      <c r="E530" t="s">
        <v>632</v>
      </c>
    </row>
    <row r="531" spans="1:5" x14ac:dyDescent="0.25">
      <c r="A531" t="str">
        <f t="shared" si="14"/>
        <v>16</v>
      </c>
      <c r="B531" t="str">
        <f>"16.0199"</f>
        <v>16.0199</v>
      </c>
      <c r="E531" t="s">
        <v>633</v>
      </c>
    </row>
    <row r="532" spans="1:5" x14ac:dyDescent="0.25">
      <c r="A532" t="str">
        <f t="shared" si="14"/>
        <v>16</v>
      </c>
      <c r="B532" t="str">
        <f>"16.02"</f>
        <v>16.02</v>
      </c>
      <c r="D532" t="s">
        <v>634</v>
      </c>
    </row>
    <row r="533" spans="1:5" x14ac:dyDescent="0.25">
      <c r="A533" t="str">
        <f t="shared" si="14"/>
        <v>16</v>
      </c>
      <c r="B533" t="str">
        <f>"16.03"</f>
        <v>16.03</v>
      </c>
      <c r="D533" t="s">
        <v>635</v>
      </c>
    </row>
    <row r="534" spans="1:5" x14ac:dyDescent="0.25">
      <c r="A534" t="str">
        <f t="shared" si="14"/>
        <v>16</v>
      </c>
      <c r="B534" t="str">
        <f>"16.0300"</f>
        <v>16.0300</v>
      </c>
      <c r="E534" t="s">
        <v>636</v>
      </c>
    </row>
    <row r="535" spans="1:5" x14ac:dyDescent="0.25">
      <c r="A535" t="str">
        <f t="shared" si="14"/>
        <v>16</v>
      </c>
      <c r="B535" t="str">
        <f>"16.0301"</f>
        <v>16.0301</v>
      </c>
      <c r="E535" t="s">
        <v>637</v>
      </c>
    </row>
    <row r="536" spans="1:5" x14ac:dyDescent="0.25">
      <c r="A536" t="str">
        <f t="shared" si="14"/>
        <v>16</v>
      </c>
      <c r="B536" t="str">
        <f>"16.0302"</f>
        <v>16.0302</v>
      </c>
      <c r="E536" t="s">
        <v>638</v>
      </c>
    </row>
    <row r="537" spans="1:5" x14ac:dyDescent="0.25">
      <c r="A537" t="str">
        <f t="shared" si="14"/>
        <v>16</v>
      </c>
      <c r="B537" t="str">
        <f>"16.0303"</f>
        <v>16.0303</v>
      </c>
      <c r="E537" t="s">
        <v>639</v>
      </c>
    </row>
    <row r="538" spans="1:5" x14ac:dyDescent="0.25">
      <c r="A538" t="str">
        <f t="shared" si="14"/>
        <v>16</v>
      </c>
      <c r="B538" t="str">
        <f>"16.0304"</f>
        <v>16.0304</v>
      </c>
      <c r="E538" t="s">
        <v>640</v>
      </c>
    </row>
    <row r="539" spans="1:5" x14ac:dyDescent="0.25">
      <c r="A539" t="str">
        <f t="shared" si="14"/>
        <v>16</v>
      </c>
      <c r="B539" t="str">
        <f>"16.0399"</f>
        <v>16.0399</v>
      </c>
      <c r="E539" t="s">
        <v>641</v>
      </c>
    </row>
    <row r="540" spans="1:5" x14ac:dyDescent="0.25">
      <c r="A540" t="str">
        <f t="shared" si="14"/>
        <v>16</v>
      </c>
      <c r="B540" t="str">
        <f>"16.04"</f>
        <v>16.04</v>
      </c>
      <c r="D540" t="s">
        <v>642</v>
      </c>
    </row>
    <row r="541" spans="1:5" x14ac:dyDescent="0.25">
      <c r="A541" t="str">
        <f t="shared" si="14"/>
        <v>16</v>
      </c>
      <c r="B541" t="str">
        <f>"16.0400"</f>
        <v>16.0400</v>
      </c>
      <c r="E541" t="s">
        <v>643</v>
      </c>
    </row>
    <row r="542" spans="1:5" x14ac:dyDescent="0.25">
      <c r="A542" t="str">
        <f t="shared" si="14"/>
        <v>16</v>
      </c>
      <c r="B542" t="str">
        <f>"16.0401"</f>
        <v>16.0401</v>
      </c>
      <c r="E542" t="s">
        <v>644</v>
      </c>
    </row>
    <row r="543" spans="1:5" x14ac:dyDescent="0.25">
      <c r="A543" t="str">
        <f t="shared" si="14"/>
        <v>16</v>
      </c>
      <c r="B543" t="str">
        <f>"16.0402"</f>
        <v>16.0402</v>
      </c>
      <c r="E543" t="s">
        <v>645</v>
      </c>
    </row>
    <row r="544" spans="1:5" x14ac:dyDescent="0.25">
      <c r="A544" t="str">
        <f t="shared" si="14"/>
        <v>16</v>
      </c>
      <c r="B544" t="str">
        <f>"16.0404"</f>
        <v>16.0404</v>
      </c>
      <c r="E544" t="s">
        <v>646</v>
      </c>
    </row>
    <row r="545" spans="1:5" x14ac:dyDescent="0.25">
      <c r="A545" t="str">
        <f t="shared" si="14"/>
        <v>16</v>
      </c>
      <c r="B545" t="str">
        <f>"16.0405"</f>
        <v>16.0405</v>
      </c>
      <c r="E545" t="s">
        <v>647</v>
      </c>
    </row>
    <row r="546" spans="1:5" x14ac:dyDescent="0.25">
      <c r="A546" t="str">
        <f t="shared" si="14"/>
        <v>16</v>
      </c>
      <c r="B546" t="str">
        <f>"16.0406"</f>
        <v>16.0406</v>
      </c>
      <c r="E546" t="s">
        <v>648</v>
      </c>
    </row>
    <row r="547" spans="1:5" x14ac:dyDescent="0.25">
      <c r="A547" t="str">
        <f t="shared" si="14"/>
        <v>16</v>
      </c>
      <c r="B547" t="str">
        <f>"16.0407"</f>
        <v>16.0407</v>
      </c>
      <c r="E547" t="s">
        <v>649</v>
      </c>
    </row>
    <row r="548" spans="1:5" x14ac:dyDescent="0.25">
      <c r="A548" t="str">
        <f t="shared" si="14"/>
        <v>16</v>
      </c>
      <c r="B548" t="str">
        <f>"16.0408"</f>
        <v>16.0408</v>
      </c>
      <c r="E548" t="s">
        <v>650</v>
      </c>
    </row>
    <row r="549" spans="1:5" x14ac:dyDescent="0.25">
      <c r="A549" t="str">
        <f t="shared" si="14"/>
        <v>16</v>
      </c>
      <c r="B549" t="str">
        <f>"16.0409"</f>
        <v>16.0409</v>
      </c>
      <c r="E549" t="s">
        <v>651</v>
      </c>
    </row>
    <row r="550" spans="1:5" x14ac:dyDescent="0.25">
      <c r="A550" t="str">
        <f t="shared" si="14"/>
        <v>16</v>
      </c>
      <c r="B550" t="str">
        <f>"16.0410"</f>
        <v>16.0410</v>
      </c>
      <c r="E550" t="s">
        <v>652</v>
      </c>
    </row>
    <row r="551" spans="1:5" x14ac:dyDescent="0.25">
      <c r="A551" t="str">
        <f t="shared" si="14"/>
        <v>16</v>
      </c>
      <c r="B551" t="str">
        <f>"16.0499"</f>
        <v>16.0499</v>
      </c>
      <c r="E551" t="s">
        <v>653</v>
      </c>
    </row>
    <row r="552" spans="1:5" x14ac:dyDescent="0.25">
      <c r="A552" t="str">
        <f t="shared" si="14"/>
        <v>16</v>
      </c>
      <c r="B552" t="str">
        <f>"16.05"</f>
        <v>16.05</v>
      </c>
      <c r="D552" t="s">
        <v>654</v>
      </c>
    </row>
    <row r="553" spans="1:5" x14ac:dyDescent="0.25">
      <c r="A553" t="str">
        <f t="shared" si="14"/>
        <v>16</v>
      </c>
      <c r="B553" t="str">
        <f>"16.0500"</f>
        <v>16.0500</v>
      </c>
      <c r="E553" t="s">
        <v>655</v>
      </c>
    </row>
    <row r="554" spans="1:5" x14ac:dyDescent="0.25">
      <c r="A554" t="str">
        <f t="shared" si="14"/>
        <v>16</v>
      </c>
      <c r="B554" t="str">
        <f>"16.0501"</f>
        <v>16.0501</v>
      </c>
      <c r="E554" t="s">
        <v>656</v>
      </c>
    </row>
    <row r="555" spans="1:5" x14ac:dyDescent="0.25">
      <c r="A555" t="str">
        <f t="shared" si="14"/>
        <v>16</v>
      </c>
      <c r="B555" t="str">
        <f>"16.0502"</f>
        <v>16.0502</v>
      </c>
      <c r="E555" t="s">
        <v>657</v>
      </c>
    </row>
    <row r="556" spans="1:5" x14ac:dyDescent="0.25">
      <c r="A556" t="str">
        <f t="shared" si="14"/>
        <v>16</v>
      </c>
      <c r="B556" t="str">
        <f>"16.0503"</f>
        <v>16.0503</v>
      </c>
      <c r="E556" t="s">
        <v>658</v>
      </c>
    </row>
    <row r="557" spans="1:5" x14ac:dyDescent="0.25">
      <c r="A557" t="str">
        <f t="shared" si="14"/>
        <v>16</v>
      </c>
      <c r="B557" t="str">
        <f>"16.0504"</f>
        <v>16.0504</v>
      </c>
      <c r="E557" t="s">
        <v>659</v>
      </c>
    </row>
    <row r="558" spans="1:5" x14ac:dyDescent="0.25">
      <c r="A558" t="str">
        <f t="shared" si="14"/>
        <v>16</v>
      </c>
      <c r="B558" t="str">
        <f>"16.0505"</f>
        <v>16.0505</v>
      </c>
      <c r="E558" t="s">
        <v>660</v>
      </c>
    </row>
    <row r="559" spans="1:5" x14ac:dyDescent="0.25">
      <c r="A559" t="str">
        <f t="shared" si="14"/>
        <v>16</v>
      </c>
      <c r="B559" t="str">
        <f>"16.0506"</f>
        <v>16.0506</v>
      </c>
      <c r="E559" t="s">
        <v>661</v>
      </c>
    </row>
    <row r="560" spans="1:5" x14ac:dyDescent="0.25">
      <c r="A560" t="str">
        <f t="shared" si="14"/>
        <v>16</v>
      </c>
      <c r="B560" t="str">
        <f>"16.0599"</f>
        <v>16.0599</v>
      </c>
      <c r="E560" t="s">
        <v>662</v>
      </c>
    </row>
    <row r="561" spans="1:5" x14ac:dyDescent="0.25">
      <c r="A561" t="str">
        <f t="shared" si="14"/>
        <v>16</v>
      </c>
      <c r="B561" t="str">
        <f>"16.06"</f>
        <v>16.06</v>
      </c>
      <c r="D561" t="s">
        <v>663</v>
      </c>
    </row>
    <row r="562" spans="1:5" x14ac:dyDescent="0.25">
      <c r="A562" t="str">
        <f t="shared" si="14"/>
        <v>16</v>
      </c>
      <c r="B562" t="str">
        <f>"16.07"</f>
        <v>16.07</v>
      </c>
      <c r="D562" t="s">
        <v>664</v>
      </c>
    </row>
    <row r="563" spans="1:5" x14ac:dyDescent="0.25">
      <c r="A563" t="str">
        <f t="shared" si="14"/>
        <v>16</v>
      </c>
      <c r="B563" t="str">
        <f>"16.0700"</f>
        <v>16.0700</v>
      </c>
      <c r="E563" t="s">
        <v>665</v>
      </c>
    </row>
    <row r="564" spans="1:5" x14ac:dyDescent="0.25">
      <c r="A564" t="str">
        <f t="shared" si="14"/>
        <v>16</v>
      </c>
      <c r="B564" t="str">
        <f>"16.0701"</f>
        <v>16.0701</v>
      </c>
      <c r="E564" t="s">
        <v>666</v>
      </c>
    </row>
    <row r="565" spans="1:5" x14ac:dyDescent="0.25">
      <c r="A565" t="str">
        <f t="shared" si="14"/>
        <v>16</v>
      </c>
      <c r="B565" t="str">
        <f>"16.0702"</f>
        <v>16.0702</v>
      </c>
      <c r="E565" t="s">
        <v>667</v>
      </c>
    </row>
    <row r="566" spans="1:5" x14ac:dyDescent="0.25">
      <c r="A566" t="str">
        <f t="shared" si="14"/>
        <v>16</v>
      </c>
      <c r="B566" t="str">
        <f>"16.0704"</f>
        <v>16.0704</v>
      </c>
      <c r="E566" t="s">
        <v>668</v>
      </c>
    </row>
    <row r="567" spans="1:5" x14ac:dyDescent="0.25">
      <c r="A567" t="str">
        <f t="shared" si="14"/>
        <v>16</v>
      </c>
      <c r="B567" t="str">
        <f>"16.0705"</f>
        <v>16.0705</v>
      </c>
      <c r="E567" t="s">
        <v>669</v>
      </c>
    </row>
    <row r="568" spans="1:5" x14ac:dyDescent="0.25">
      <c r="A568" t="str">
        <f t="shared" si="14"/>
        <v>16</v>
      </c>
      <c r="B568" t="str">
        <f>"16.0706"</f>
        <v>16.0706</v>
      </c>
      <c r="E568" t="s">
        <v>670</v>
      </c>
    </row>
    <row r="569" spans="1:5" x14ac:dyDescent="0.25">
      <c r="A569" t="str">
        <f t="shared" si="14"/>
        <v>16</v>
      </c>
      <c r="B569" t="str">
        <f>"16.0707"</f>
        <v>16.0707</v>
      </c>
      <c r="E569" t="s">
        <v>671</v>
      </c>
    </row>
    <row r="570" spans="1:5" x14ac:dyDescent="0.25">
      <c r="A570" t="str">
        <f t="shared" si="14"/>
        <v>16</v>
      </c>
      <c r="B570" t="str">
        <f>"16.0799"</f>
        <v>16.0799</v>
      </c>
      <c r="E570" t="s">
        <v>672</v>
      </c>
    </row>
    <row r="571" spans="1:5" x14ac:dyDescent="0.25">
      <c r="A571" t="str">
        <f t="shared" si="14"/>
        <v>16</v>
      </c>
      <c r="B571" t="str">
        <f>"16.08"</f>
        <v>16.08</v>
      </c>
      <c r="D571" t="s">
        <v>673</v>
      </c>
    </row>
    <row r="572" spans="1:5" x14ac:dyDescent="0.25">
      <c r="A572" t="str">
        <f t="shared" si="14"/>
        <v>16</v>
      </c>
      <c r="B572" t="str">
        <f>"16.09"</f>
        <v>16.09</v>
      </c>
      <c r="D572" t="s">
        <v>674</v>
      </c>
    </row>
    <row r="573" spans="1:5" x14ac:dyDescent="0.25">
      <c r="A573" t="str">
        <f t="shared" si="14"/>
        <v>16</v>
      </c>
      <c r="B573" t="str">
        <f>"16.0900"</f>
        <v>16.0900</v>
      </c>
      <c r="E573" t="s">
        <v>675</v>
      </c>
    </row>
    <row r="574" spans="1:5" x14ac:dyDescent="0.25">
      <c r="A574" t="str">
        <f t="shared" si="14"/>
        <v>16</v>
      </c>
      <c r="B574" t="str">
        <f>"16.0901"</f>
        <v>16.0901</v>
      </c>
      <c r="E574" t="s">
        <v>676</v>
      </c>
    </row>
    <row r="575" spans="1:5" x14ac:dyDescent="0.25">
      <c r="A575" t="str">
        <f t="shared" si="14"/>
        <v>16</v>
      </c>
      <c r="B575" t="str">
        <f>"16.0902"</f>
        <v>16.0902</v>
      </c>
      <c r="E575" t="s">
        <v>677</v>
      </c>
    </row>
    <row r="576" spans="1:5" x14ac:dyDescent="0.25">
      <c r="A576" t="str">
        <f t="shared" si="14"/>
        <v>16</v>
      </c>
      <c r="B576" t="str">
        <f>"16.0904"</f>
        <v>16.0904</v>
      </c>
      <c r="E576" t="s">
        <v>678</v>
      </c>
    </row>
    <row r="577" spans="1:5" x14ac:dyDescent="0.25">
      <c r="A577" t="str">
        <f t="shared" si="14"/>
        <v>16</v>
      </c>
      <c r="B577" t="str">
        <f>"16.0905"</f>
        <v>16.0905</v>
      </c>
      <c r="E577" t="s">
        <v>679</v>
      </c>
    </row>
    <row r="578" spans="1:5" x14ac:dyDescent="0.25">
      <c r="A578" t="str">
        <f t="shared" si="14"/>
        <v>16</v>
      </c>
      <c r="B578" t="str">
        <f>"16.0906"</f>
        <v>16.0906</v>
      </c>
      <c r="E578" t="s">
        <v>680</v>
      </c>
    </row>
    <row r="579" spans="1:5" x14ac:dyDescent="0.25">
      <c r="A579" t="str">
        <f t="shared" si="14"/>
        <v>16</v>
      </c>
      <c r="B579" t="str">
        <f>"16.0907"</f>
        <v>16.0907</v>
      </c>
      <c r="E579" t="s">
        <v>681</v>
      </c>
    </row>
    <row r="580" spans="1:5" x14ac:dyDescent="0.25">
      <c r="A580" t="str">
        <f t="shared" si="14"/>
        <v>16</v>
      </c>
      <c r="B580" t="str">
        <f>"16.0908"</f>
        <v>16.0908</v>
      </c>
      <c r="E580" t="s">
        <v>682</v>
      </c>
    </row>
    <row r="581" spans="1:5" x14ac:dyDescent="0.25">
      <c r="A581" t="str">
        <f t="shared" si="14"/>
        <v>16</v>
      </c>
      <c r="B581" t="str">
        <f>"16.0999"</f>
        <v>16.0999</v>
      </c>
      <c r="E581" t="s">
        <v>683</v>
      </c>
    </row>
    <row r="582" spans="1:5" x14ac:dyDescent="0.25">
      <c r="A582" t="str">
        <f t="shared" si="14"/>
        <v>16</v>
      </c>
      <c r="B582" t="str">
        <f>"16.10"</f>
        <v>16.10</v>
      </c>
      <c r="D582" t="s">
        <v>684</v>
      </c>
    </row>
    <row r="583" spans="1:5" x14ac:dyDescent="0.25">
      <c r="A583" t="str">
        <f t="shared" si="14"/>
        <v>16</v>
      </c>
      <c r="B583" t="str">
        <f>"16.11"</f>
        <v>16.11</v>
      </c>
      <c r="D583" t="s">
        <v>685</v>
      </c>
    </row>
    <row r="584" spans="1:5" x14ac:dyDescent="0.25">
      <c r="A584" t="str">
        <f t="shared" si="14"/>
        <v>16</v>
      </c>
      <c r="B584" t="str">
        <f>"16.1100"</f>
        <v>16.1100</v>
      </c>
      <c r="E584" t="s">
        <v>686</v>
      </c>
    </row>
    <row r="585" spans="1:5" x14ac:dyDescent="0.25">
      <c r="A585" t="str">
        <f t="shared" si="14"/>
        <v>16</v>
      </c>
      <c r="B585" t="str">
        <f>"16.1101"</f>
        <v>16.1101</v>
      </c>
      <c r="E585" t="s">
        <v>687</v>
      </c>
    </row>
    <row r="586" spans="1:5" x14ac:dyDescent="0.25">
      <c r="A586" t="str">
        <f t="shared" si="14"/>
        <v>16</v>
      </c>
      <c r="B586" t="str">
        <f>"16.1102"</f>
        <v>16.1102</v>
      </c>
      <c r="E586" t="s">
        <v>688</v>
      </c>
    </row>
    <row r="587" spans="1:5" x14ac:dyDescent="0.25">
      <c r="A587" t="str">
        <f t="shared" si="14"/>
        <v>16</v>
      </c>
      <c r="B587" t="str">
        <f>"16.1103"</f>
        <v>16.1103</v>
      </c>
      <c r="E587" t="s">
        <v>689</v>
      </c>
    </row>
    <row r="588" spans="1:5" x14ac:dyDescent="0.25">
      <c r="A588" t="str">
        <f t="shared" si="14"/>
        <v>16</v>
      </c>
      <c r="B588" t="str">
        <f>"16.1199"</f>
        <v>16.1199</v>
      </c>
      <c r="E588" t="s">
        <v>690</v>
      </c>
    </row>
    <row r="589" spans="1:5" x14ac:dyDescent="0.25">
      <c r="A589" t="str">
        <f t="shared" ref="A589:A617" si="15">"16"</f>
        <v>16</v>
      </c>
      <c r="B589" t="str">
        <f>"16.12"</f>
        <v>16.12</v>
      </c>
      <c r="D589" t="s">
        <v>691</v>
      </c>
    </row>
    <row r="590" spans="1:5" x14ac:dyDescent="0.25">
      <c r="A590" t="str">
        <f t="shared" si="15"/>
        <v>16</v>
      </c>
      <c r="B590" t="str">
        <f>"16.1200"</f>
        <v>16.1200</v>
      </c>
      <c r="E590" t="s">
        <v>692</v>
      </c>
    </row>
    <row r="591" spans="1:5" x14ac:dyDescent="0.25">
      <c r="A591" t="str">
        <f t="shared" si="15"/>
        <v>16</v>
      </c>
      <c r="B591" t="str">
        <f>"16.1202"</f>
        <v>16.1202</v>
      </c>
      <c r="E591" t="s">
        <v>693</v>
      </c>
    </row>
    <row r="592" spans="1:5" x14ac:dyDescent="0.25">
      <c r="A592" t="str">
        <f t="shared" si="15"/>
        <v>16</v>
      </c>
      <c r="B592" t="str">
        <f>"16.1203"</f>
        <v>16.1203</v>
      </c>
      <c r="E592" t="s">
        <v>694</v>
      </c>
    </row>
    <row r="593" spans="1:5" x14ac:dyDescent="0.25">
      <c r="A593" t="str">
        <f t="shared" si="15"/>
        <v>16</v>
      </c>
      <c r="B593" t="str">
        <f>"16.1299"</f>
        <v>16.1299</v>
      </c>
      <c r="E593" t="s">
        <v>695</v>
      </c>
    </row>
    <row r="594" spans="1:5" x14ac:dyDescent="0.25">
      <c r="A594" t="str">
        <f t="shared" si="15"/>
        <v>16</v>
      </c>
      <c r="B594" t="str">
        <f>"16.13"</f>
        <v>16.13</v>
      </c>
      <c r="D594" t="s">
        <v>696</v>
      </c>
    </row>
    <row r="595" spans="1:5" x14ac:dyDescent="0.25">
      <c r="A595" t="str">
        <f t="shared" si="15"/>
        <v>16</v>
      </c>
      <c r="B595" t="str">
        <f>"16.14"</f>
        <v>16.14</v>
      </c>
      <c r="D595" t="s">
        <v>697</v>
      </c>
    </row>
    <row r="596" spans="1:5" x14ac:dyDescent="0.25">
      <c r="A596" t="str">
        <f t="shared" si="15"/>
        <v>16</v>
      </c>
      <c r="B596" t="str">
        <f>"16.1400"</f>
        <v>16.1400</v>
      </c>
      <c r="E596" t="s">
        <v>698</v>
      </c>
    </row>
    <row r="597" spans="1:5" x14ac:dyDescent="0.25">
      <c r="A597" t="str">
        <f t="shared" si="15"/>
        <v>16</v>
      </c>
      <c r="B597" t="str">
        <f>"16.1401"</f>
        <v>16.1401</v>
      </c>
      <c r="E597" t="s">
        <v>699</v>
      </c>
    </row>
    <row r="598" spans="1:5" x14ac:dyDescent="0.25">
      <c r="A598" t="str">
        <f t="shared" si="15"/>
        <v>16</v>
      </c>
      <c r="B598" t="str">
        <f>"16.1402"</f>
        <v>16.1402</v>
      </c>
      <c r="E598" t="s">
        <v>700</v>
      </c>
    </row>
    <row r="599" spans="1:5" x14ac:dyDescent="0.25">
      <c r="A599" t="str">
        <f t="shared" si="15"/>
        <v>16</v>
      </c>
      <c r="B599" t="str">
        <f>"16.1403"</f>
        <v>16.1403</v>
      </c>
      <c r="E599" t="s">
        <v>701</v>
      </c>
    </row>
    <row r="600" spans="1:5" x14ac:dyDescent="0.25">
      <c r="A600" t="str">
        <f t="shared" si="15"/>
        <v>16</v>
      </c>
      <c r="B600" t="str">
        <f>"16.1404"</f>
        <v>16.1404</v>
      </c>
      <c r="E600" t="s">
        <v>702</v>
      </c>
    </row>
    <row r="601" spans="1:5" x14ac:dyDescent="0.25">
      <c r="A601" t="str">
        <f t="shared" si="15"/>
        <v>16</v>
      </c>
      <c r="B601" t="str">
        <f>"16.1405"</f>
        <v>16.1405</v>
      </c>
      <c r="E601" t="s">
        <v>703</v>
      </c>
    </row>
    <row r="602" spans="1:5" x14ac:dyDescent="0.25">
      <c r="A602" t="str">
        <f t="shared" si="15"/>
        <v>16</v>
      </c>
      <c r="B602" t="str">
        <f>"16.1406"</f>
        <v>16.1406</v>
      </c>
      <c r="E602" t="s">
        <v>704</v>
      </c>
    </row>
    <row r="603" spans="1:5" x14ac:dyDescent="0.25">
      <c r="A603" t="str">
        <f t="shared" si="15"/>
        <v>16</v>
      </c>
      <c r="B603" t="str">
        <f>"16.1407"</f>
        <v>16.1407</v>
      </c>
      <c r="E603" t="s">
        <v>705</v>
      </c>
    </row>
    <row r="604" spans="1:5" x14ac:dyDescent="0.25">
      <c r="A604" t="str">
        <f t="shared" si="15"/>
        <v>16</v>
      </c>
      <c r="B604" t="str">
        <f>"16.1408"</f>
        <v>16.1408</v>
      </c>
      <c r="E604" t="s">
        <v>706</v>
      </c>
    </row>
    <row r="605" spans="1:5" x14ac:dyDescent="0.25">
      <c r="A605" t="str">
        <f t="shared" si="15"/>
        <v>16</v>
      </c>
      <c r="B605" t="str">
        <f>"16.1499"</f>
        <v>16.1499</v>
      </c>
      <c r="E605" t="s">
        <v>707</v>
      </c>
    </row>
    <row r="606" spans="1:5" x14ac:dyDescent="0.25">
      <c r="A606" t="str">
        <f t="shared" si="15"/>
        <v>16</v>
      </c>
      <c r="B606" t="str">
        <f>"16.15"</f>
        <v>16.15</v>
      </c>
      <c r="D606" t="s">
        <v>708</v>
      </c>
    </row>
    <row r="607" spans="1:5" x14ac:dyDescent="0.25">
      <c r="A607" t="str">
        <f t="shared" si="15"/>
        <v>16</v>
      </c>
      <c r="B607" t="str">
        <f>"16.1501"</f>
        <v>16.1501</v>
      </c>
      <c r="E607" t="s">
        <v>709</v>
      </c>
    </row>
    <row r="608" spans="1:5" x14ac:dyDescent="0.25">
      <c r="A608" t="str">
        <f t="shared" si="15"/>
        <v>16</v>
      </c>
      <c r="B608" t="str">
        <f>"16.1502"</f>
        <v>16.1502</v>
      </c>
      <c r="E608" t="s">
        <v>710</v>
      </c>
    </row>
    <row r="609" spans="1:5" x14ac:dyDescent="0.25">
      <c r="A609" t="str">
        <f t="shared" si="15"/>
        <v>16</v>
      </c>
      <c r="B609" t="str">
        <f>"16.1503"</f>
        <v>16.1503</v>
      </c>
      <c r="E609" t="s">
        <v>711</v>
      </c>
    </row>
    <row r="610" spans="1:5" x14ac:dyDescent="0.25">
      <c r="A610" t="str">
        <f t="shared" si="15"/>
        <v>16</v>
      </c>
      <c r="B610" t="str">
        <f>"16.1504"</f>
        <v>16.1504</v>
      </c>
      <c r="E610" t="s">
        <v>712</v>
      </c>
    </row>
    <row r="611" spans="1:5" x14ac:dyDescent="0.25">
      <c r="A611" t="str">
        <f t="shared" si="15"/>
        <v>16</v>
      </c>
      <c r="B611" t="str">
        <f>"16.1599"</f>
        <v>16.1599</v>
      </c>
      <c r="E611" t="s">
        <v>713</v>
      </c>
    </row>
    <row r="612" spans="1:5" x14ac:dyDescent="0.25">
      <c r="A612" t="str">
        <f t="shared" si="15"/>
        <v>16</v>
      </c>
      <c r="B612" t="str">
        <f>"16.16"</f>
        <v>16.16</v>
      </c>
      <c r="D612" t="s">
        <v>714</v>
      </c>
    </row>
    <row r="613" spans="1:5" x14ac:dyDescent="0.25">
      <c r="A613" t="str">
        <f t="shared" si="15"/>
        <v>16</v>
      </c>
      <c r="B613" t="str">
        <f>"16.1601"</f>
        <v>16.1601</v>
      </c>
      <c r="E613" t="s">
        <v>715</v>
      </c>
    </row>
    <row r="614" spans="1:5" x14ac:dyDescent="0.25">
      <c r="A614" t="str">
        <f t="shared" si="15"/>
        <v>16</v>
      </c>
      <c r="B614" t="str">
        <f>"16.1602"</f>
        <v>16.1602</v>
      </c>
      <c r="E614" t="s">
        <v>716</v>
      </c>
    </row>
    <row r="615" spans="1:5" x14ac:dyDescent="0.25">
      <c r="A615" t="str">
        <f t="shared" si="15"/>
        <v>16</v>
      </c>
      <c r="B615" t="str">
        <f>"16.1603"</f>
        <v>16.1603</v>
      </c>
      <c r="E615" t="s">
        <v>717</v>
      </c>
    </row>
    <row r="616" spans="1:5" x14ac:dyDescent="0.25">
      <c r="A616" t="str">
        <f t="shared" si="15"/>
        <v>16</v>
      </c>
      <c r="B616" t="str">
        <f>"16.1699"</f>
        <v>16.1699</v>
      </c>
      <c r="E616" t="s">
        <v>718</v>
      </c>
    </row>
    <row r="617" spans="1:5" x14ac:dyDescent="0.25">
      <c r="A617" t="str">
        <f t="shared" si="15"/>
        <v>16</v>
      </c>
      <c r="B617" t="str">
        <f>"16.99"</f>
        <v>16.99</v>
      </c>
      <c r="D617" t="s">
        <v>719</v>
      </c>
    </row>
    <row r="618" spans="1:5" x14ac:dyDescent="0.25">
      <c r="A618" t="str">
        <f>"19"</f>
        <v>19</v>
      </c>
      <c r="B618" t="str">
        <f>"19"</f>
        <v>19</v>
      </c>
      <c r="C618" t="s">
        <v>720</v>
      </c>
    </row>
    <row r="619" spans="1:5" x14ac:dyDescent="0.25">
      <c r="A619" t="str">
        <f t="shared" ref="A619:A658" si="16">"19"</f>
        <v>19</v>
      </c>
      <c r="B619" t="str">
        <f>"19.00"</f>
        <v>19.00</v>
      </c>
      <c r="D619" t="s">
        <v>721</v>
      </c>
    </row>
    <row r="620" spans="1:5" x14ac:dyDescent="0.25">
      <c r="A620" t="str">
        <f t="shared" si="16"/>
        <v>19</v>
      </c>
      <c r="B620" t="str">
        <f>"19.01"</f>
        <v>19.01</v>
      </c>
      <c r="D620" t="s">
        <v>722</v>
      </c>
    </row>
    <row r="621" spans="1:5" x14ac:dyDescent="0.25">
      <c r="A621" t="str">
        <f t="shared" si="16"/>
        <v>19</v>
      </c>
      <c r="B621" t="str">
        <f>"19.02"</f>
        <v>19.02</v>
      </c>
      <c r="D621" t="s">
        <v>723</v>
      </c>
    </row>
    <row r="622" spans="1:5" x14ac:dyDescent="0.25">
      <c r="A622" t="str">
        <f t="shared" si="16"/>
        <v>19</v>
      </c>
      <c r="B622" t="str">
        <f>"19.0201"</f>
        <v>19.0201</v>
      </c>
      <c r="E622" t="s">
        <v>724</v>
      </c>
    </row>
    <row r="623" spans="1:5" x14ac:dyDescent="0.25">
      <c r="A623" t="str">
        <f t="shared" si="16"/>
        <v>19</v>
      </c>
      <c r="B623" t="str">
        <f>"19.0202"</f>
        <v>19.0202</v>
      </c>
      <c r="E623" t="s">
        <v>725</v>
      </c>
    </row>
    <row r="624" spans="1:5" x14ac:dyDescent="0.25">
      <c r="A624" t="str">
        <f t="shared" si="16"/>
        <v>19</v>
      </c>
      <c r="B624" t="str">
        <f>"19.0203"</f>
        <v>19.0203</v>
      </c>
      <c r="E624" t="s">
        <v>726</v>
      </c>
    </row>
    <row r="625" spans="1:5" x14ac:dyDescent="0.25">
      <c r="A625" t="str">
        <f t="shared" si="16"/>
        <v>19</v>
      </c>
      <c r="B625" t="str">
        <f>"19.0299"</f>
        <v>19.0299</v>
      </c>
      <c r="E625" t="s">
        <v>727</v>
      </c>
    </row>
    <row r="626" spans="1:5" x14ac:dyDescent="0.25">
      <c r="A626" t="str">
        <f t="shared" si="16"/>
        <v>19</v>
      </c>
      <c r="B626" t="str">
        <f>"19.04"</f>
        <v>19.04</v>
      </c>
      <c r="D626" t="s">
        <v>728</v>
      </c>
    </row>
    <row r="627" spans="1:5" x14ac:dyDescent="0.25">
      <c r="A627" t="str">
        <f t="shared" si="16"/>
        <v>19</v>
      </c>
      <c r="B627" t="str">
        <f>"19.0401"</f>
        <v>19.0401</v>
      </c>
      <c r="E627" t="s">
        <v>729</v>
      </c>
    </row>
    <row r="628" spans="1:5" x14ac:dyDescent="0.25">
      <c r="A628" t="str">
        <f t="shared" si="16"/>
        <v>19</v>
      </c>
      <c r="B628" t="str">
        <f>"19.0402"</f>
        <v>19.0402</v>
      </c>
      <c r="E628" t="s">
        <v>730</v>
      </c>
    </row>
    <row r="629" spans="1:5" x14ac:dyDescent="0.25">
      <c r="A629" t="str">
        <f t="shared" si="16"/>
        <v>19</v>
      </c>
      <c r="B629" t="str">
        <f>"19.0403"</f>
        <v>19.0403</v>
      </c>
      <c r="E629" t="s">
        <v>731</v>
      </c>
    </row>
    <row r="630" spans="1:5" x14ac:dyDescent="0.25">
      <c r="A630" t="str">
        <f t="shared" si="16"/>
        <v>19</v>
      </c>
      <c r="B630" t="str">
        <f>"19.0499"</f>
        <v>19.0499</v>
      </c>
      <c r="E630" t="s">
        <v>732</v>
      </c>
    </row>
    <row r="631" spans="1:5" x14ac:dyDescent="0.25">
      <c r="A631" t="str">
        <f t="shared" si="16"/>
        <v>19</v>
      </c>
      <c r="B631" t="str">
        <f>"19.05"</f>
        <v>19.05</v>
      </c>
      <c r="D631" t="s">
        <v>733</v>
      </c>
    </row>
    <row r="632" spans="1:5" x14ac:dyDescent="0.25">
      <c r="A632" t="str">
        <f t="shared" si="16"/>
        <v>19</v>
      </c>
      <c r="B632" t="str">
        <f>"19.0501"</f>
        <v>19.0501</v>
      </c>
      <c r="E632" t="s">
        <v>734</v>
      </c>
    </row>
    <row r="633" spans="1:5" x14ac:dyDescent="0.25">
      <c r="A633" t="str">
        <f t="shared" si="16"/>
        <v>19</v>
      </c>
      <c r="B633" t="str">
        <f>"19.0504"</f>
        <v>19.0504</v>
      </c>
      <c r="E633" t="s">
        <v>735</v>
      </c>
    </row>
    <row r="634" spans="1:5" x14ac:dyDescent="0.25">
      <c r="A634" t="str">
        <f t="shared" si="16"/>
        <v>19</v>
      </c>
      <c r="B634" t="str">
        <f>"19.0505"</f>
        <v>19.0505</v>
      </c>
      <c r="E634" t="s">
        <v>736</v>
      </c>
    </row>
    <row r="635" spans="1:5" x14ac:dyDescent="0.25">
      <c r="A635" t="str">
        <f t="shared" si="16"/>
        <v>19</v>
      </c>
      <c r="B635" t="str">
        <f>"19.0599"</f>
        <v>19.0599</v>
      </c>
      <c r="E635" t="s">
        <v>737</v>
      </c>
    </row>
    <row r="636" spans="1:5" x14ac:dyDescent="0.25">
      <c r="A636" t="str">
        <f t="shared" si="16"/>
        <v>19</v>
      </c>
      <c r="B636" t="str">
        <f>"19.06"</f>
        <v>19.06</v>
      </c>
      <c r="D636" t="s">
        <v>738</v>
      </c>
    </row>
    <row r="637" spans="1:5" x14ac:dyDescent="0.25">
      <c r="A637" t="str">
        <f t="shared" si="16"/>
        <v>19</v>
      </c>
      <c r="B637" t="str">
        <f>"19.0601"</f>
        <v>19.0601</v>
      </c>
      <c r="E637" t="s">
        <v>739</v>
      </c>
    </row>
    <row r="638" spans="1:5" x14ac:dyDescent="0.25">
      <c r="A638" t="str">
        <f t="shared" si="16"/>
        <v>19</v>
      </c>
      <c r="B638" t="str">
        <f>"19.0604"</f>
        <v>19.0604</v>
      </c>
      <c r="E638" t="s">
        <v>740</v>
      </c>
    </row>
    <row r="639" spans="1:5" x14ac:dyDescent="0.25">
      <c r="A639" t="str">
        <f t="shared" si="16"/>
        <v>19</v>
      </c>
      <c r="B639" t="str">
        <f>"19.0605"</f>
        <v>19.0605</v>
      </c>
      <c r="E639" t="s">
        <v>741</v>
      </c>
    </row>
    <row r="640" spans="1:5" x14ac:dyDescent="0.25">
      <c r="A640" t="str">
        <f t="shared" si="16"/>
        <v>19</v>
      </c>
      <c r="B640" t="str">
        <f>"19.0699"</f>
        <v>19.0699</v>
      </c>
      <c r="E640" t="s">
        <v>742</v>
      </c>
    </row>
    <row r="641" spans="1:5" x14ac:dyDescent="0.25">
      <c r="A641" t="str">
        <f t="shared" si="16"/>
        <v>19</v>
      </c>
      <c r="B641" t="str">
        <f>"19.07"</f>
        <v>19.07</v>
      </c>
      <c r="D641" t="s">
        <v>743</v>
      </c>
    </row>
    <row r="642" spans="1:5" x14ac:dyDescent="0.25">
      <c r="A642" t="str">
        <f t="shared" si="16"/>
        <v>19</v>
      </c>
      <c r="B642" t="str">
        <f>"19.0701"</f>
        <v>19.0701</v>
      </c>
      <c r="E642" t="s">
        <v>744</v>
      </c>
    </row>
    <row r="643" spans="1:5" x14ac:dyDescent="0.25">
      <c r="A643" t="str">
        <f t="shared" si="16"/>
        <v>19</v>
      </c>
      <c r="B643" t="str">
        <f>"19.0702"</f>
        <v>19.0702</v>
      </c>
      <c r="E643" t="s">
        <v>745</v>
      </c>
    </row>
    <row r="644" spans="1:5" x14ac:dyDescent="0.25">
      <c r="A644" t="str">
        <f t="shared" si="16"/>
        <v>19</v>
      </c>
      <c r="B644" t="str">
        <f>"19.0704"</f>
        <v>19.0704</v>
      </c>
      <c r="E644" t="s">
        <v>746</v>
      </c>
    </row>
    <row r="645" spans="1:5" x14ac:dyDescent="0.25">
      <c r="A645" t="str">
        <f t="shared" si="16"/>
        <v>19</v>
      </c>
      <c r="B645" t="str">
        <f>"19.0706"</f>
        <v>19.0706</v>
      </c>
      <c r="E645" t="s">
        <v>747</v>
      </c>
    </row>
    <row r="646" spans="1:5" x14ac:dyDescent="0.25">
      <c r="A646" t="str">
        <f t="shared" si="16"/>
        <v>19</v>
      </c>
      <c r="B646" t="str">
        <f>"19.0707"</f>
        <v>19.0707</v>
      </c>
      <c r="E646" t="s">
        <v>748</v>
      </c>
    </row>
    <row r="647" spans="1:5" x14ac:dyDescent="0.25">
      <c r="A647" t="str">
        <f t="shared" si="16"/>
        <v>19</v>
      </c>
      <c r="B647" t="str">
        <f>"19.0708"</f>
        <v>19.0708</v>
      </c>
      <c r="E647" t="s">
        <v>749</v>
      </c>
    </row>
    <row r="648" spans="1:5" x14ac:dyDescent="0.25">
      <c r="A648" t="str">
        <f t="shared" si="16"/>
        <v>19</v>
      </c>
      <c r="B648" t="str">
        <f>"19.0709"</f>
        <v>19.0709</v>
      </c>
      <c r="E648" t="s">
        <v>750</v>
      </c>
    </row>
    <row r="649" spans="1:5" x14ac:dyDescent="0.25">
      <c r="A649" t="str">
        <f t="shared" si="16"/>
        <v>19</v>
      </c>
      <c r="B649" t="str">
        <f>"19.0710"</f>
        <v>19.0710</v>
      </c>
      <c r="E649" t="s">
        <v>751</v>
      </c>
    </row>
    <row r="650" spans="1:5" x14ac:dyDescent="0.25">
      <c r="A650" t="str">
        <f t="shared" si="16"/>
        <v>19</v>
      </c>
      <c r="B650" t="str">
        <f>"19.0799"</f>
        <v>19.0799</v>
      </c>
      <c r="E650" t="s">
        <v>752</v>
      </c>
    </row>
    <row r="651" spans="1:5" x14ac:dyDescent="0.25">
      <c r="A651" t="str">
        <f t="shared" si="16"/>
        <v>19</v>
      </c>
      <c r="B651" t="str">
        <f>"19.09"</f>
        <v>19.09</v>
      </c>
      <c r="D651" t="s">
        <v>753</v>
      </c>
    </row>
    <row r="652" spans="1:5" x14ac:dyDescent="0.25">
      <c r="A652" t="str">
        <f t="shared" si="16"/>
        <v>19</v>
      </c>
      <c r="B652" t="str">
        <f>"19.0901"</f>
        <v>19.0901</v>
      </c>
      <c r="E652" t="s">
        <v>754</v>
      </c>
    </row>
    <row r="653" spans="1:5" x14ac:dyDescent="0.25">
      <c r="A653" t="str">
        <f t="shared" si="16"/>
        <v>19</v>
      </c>
      <c r="B653" t="str">
        <f>"19.0902"</f>
        <v>19.0902</v>
      </c>
      <c r="E653" t="s">
        <v>755</v>
      </c>
    </row>
    <row r="654" spans="1:5" x14ac:dyDescent="0.25">
      <c r="A654" t="str">
        <f t="shared" si="16"/>
        <v>19</v>
      </c>
      <c r="B654" t="str">
        <f>"19.0904"</f>
        <v>19.0904</v>
      </c>
      <c r="E654" t="s">
        <v>756</v>
      </c>
    </row>
    <row r="655" spans="1:5" x14ac:dyDescent="0.25">
      <c r="A655" t="str">
        <f t="shared" si="16"/>
        <v>19</v>
      </c>
      <c r="B655" t="str">
        <f>"19.0905"</f>
        <v>19.0905</v>
      </c>
      <c r="E655" t="s">
        <v>757</v>
      </c>
    </row>
    <row r="656" spans="1:5" x14ac:dyDescent="0.25">
      <c r="A656" t="str">
        <f t="shared" si="16"/>
        <v>19</v>
      </c>
      <c r="B656" t="str">
        <f>"19.0906"</f>
        <v>19.0906</v>
      </c>
      <c r="E656" t="s">
        <v>758</v>
      </c>
    </row>
    <row r="657" spans="1:5" x14ac:dyDescent="0.25">
      <c r="A657" t="str">
        <f t="shared" si="16"/>
        <v>19</v>
      </c>
      <c r="B657" t="str">
        <f>"19.0999"</f>
        <v>19.0999</v>
      </c>
      <c r="E657" t="s">
        <v>759</v>
      </c>
    </row>
    <row r="658" spans="1:5" x14ac:dyDescent="0.25">
      <c r="A658" t="str">
        <f t="shared" si="16"/>
        <v>19</v>
      </c>
      <c r="B658" t="str">
        <f>"19.99"</f>
        <v>19.99</v>
      </c>
      <c r="D658" t="s">
        <v>760</v>
      </c>
    </row>
    <row r="659" spans="1:5" x14ac:dyDescent="0.25">
      <c r="A659" t="str">
        <f>"22"</f>
        <v>22</v>
      </c>
      <c r="B659" t="str">
        <f>"22"</f>
        <v>22</v>
      </c>
      <c r="C659" t="s">
        <v>761</v>
      </c>
    </row>
    <row r="660" spans="1:5" x14ac:dyDescent="0.25">
      <c r="A660" t="str">
        <f t="shared" ref="A660:A683" si="17">"22"</f>
        <v>22</v>
      </c>
      <c r="B660" t="str">
        <f>"22.00"</f>
        <v>22.00</v>
      </c>
      <c r="D660" t="s">
        <v>762</v>
      </c>
    </row>
    <row r="661" spans="1:5" x14ac:dyDescent="0.25">
      <c r="A661" t="str">
        <f t="shared" si="17"/>
        <v>22</v>
      </c>
      <c r="B661" t="str">
        <f>"22.0000"</f>
        <v>22.0000</v>
      </c>
      <c r="E661" t="s">
        <v>763</v>
      </c>
    </row>
    <row r="662" spans="1:5" x14ac:dyDescent="0.25">
      <c r="A662" t="str">
        <f t="shared" si="17"/>
        <v>22</v>
      </c>
      <c r="B662" t="str">
        <f>"22.0001"</f>
        <v>22.0001</v>
      </c>
      <c r="E662" t="s">
        <v>764</v>
      </c>
    </row>
    <row r="663" spans="1:5" x14ac:dyDescent="0.25">
      <c r="A663" t="str">
        <f t="shared" si="17"/>
        <v>22</v>
      </c>
      <c r="B663" t="str">
        <f>"22.01"</f>
        <v>22.01</v>
      </c>
      <c r="D663" t="s">
        <v>765</v>
      </c>
    </row>
    <row r="664" spans="1:5" x14ac:dyDescent="0.25">
      <c r="A664" t="str">
        <f t="shared" si="17"/>
        <v>22</v>
      </c>
      <c r="B664" t="str">
        <f>"22.02"</f>
        <v>22.02</v>
      </c>
      <c r="D664" t="s">
        <v>766</v>
      </c>
    </row>
    <row r="665" spans="1:5" x14ac:dyDescent="0.25">
      <c r="A665" t="str">
        <f t="shared" si="17"/>
        <v>22</v>
      </c>
      <c r="B665" t="str">
        <f>"22.0201"</f>
        <v>22.0201</v>
      </c>
      <c r="E665" t="s">
        <v>767</v>
      </c>
    </row>
    <row r="666" spans="1:5" x14ac:dyDescent="0.25">
      <c r="A666" t="str">
        <f t="shared" si="17"/>
        <v>22</v>
      </c>
      <c r="B666" t="str">
        <f>"22.0202"</f>
        <v>22.0202</v>
      </c>
      <c r="E666" t="s">
        <v>768</v>
      </c>
    </row>
    <row r="667" spans="1:5" x14ac:dyDescent="0.25">
      <c r="A667" t="str">
        <f t="shared" si="17"/>
        <v>22</v>
      </c>
      <c r="B667" t="str">
        <f>"22.0203"</f>
        <v>22.0203</v>
      </c>
      <c r="E667" t="s">
        <v>769</v>
      </c>
    </row>
    <row r="668" spans="1:5" x14ac:dyDescent="0.25">
      <c r="A668" t="str">
        <f t="shared" si="17"/>
        <v>22</v>
      </c>
      <c r="B668" t="str">
        <f>"22.0204"</f>
        <v>22.0204</v>
      </c>
      <c r="E668" t="s">
        <v>770</v>
      </c>
    </row>
    <row r="669" spans="1:5" x14ac:dyDescent="0.25">
      <c r="A669" t="str">
        <f t="shared" si="17"/>
        <v>22</v>
      </c>
      <c r="B669" t="str">
        <f>"22.0205"</f>
        <v>22.0205</v>
      </c>
      <c r="E669" t="s">
        <v>771</v>
      </c>
    </row>
    <row r="670" spans="1:5" x14ac:dyDescent="0.25">
      <c r="A670" t="str">
        <f t="shared" si="17"/>
        <v>22</v>
      </c>
      <c r="B670" t="str">
        <f>"22.0206"</f>
        <v>22.0206</v>
      </c>
      <c r="E670" t="s">
        <v>772</v>
      </c>
    </row>
    <row r="671" spans="1:5" x14ac:dyDescent="0.25">
      <c r="A671" t="str">
        <f t="shared" si="17"/>
        <v>22</v>
      </c>
      <c r="B671" t="str">
        <f>"22.0207"</f>
        <v>22.0207</v>
      </c>
      <c r="E671" t="s">
        <v>773</v>
      </c>
    </row>
    <row r="672" spans="1:5" x14ac:dyDescent="0.25">
      <c r="A672" t="str">
        <f t="shared" si="17"/>
        <v>22</v>
      </c>
      <c r="B672" t="str">
        <f>"22.0208"</f>
        <v>22.0208</v>
      </c>
      <c r="E672" t="s">
        <v>774</v>
      </c>
    </row>
    <row r="673" spans="1:5" x14ac:dyDescent="0.25">
      <c r="A673" t="str">
        <f t="shared" si="17"/>
        <v>22</v>
      </c>
      <c r="B673" t="str">
        <f>"22.0209"</f>
        <v>22.0209</v>
      </c>
      <c r="E673" t="s">
        <v>775</v>
      </c>
    </row>
    <row r="674" spans="1:5" x14ac:dyDescent="0.25">
      <c r="A674" t="str">
        <f t="shared" si="17"/>
        <v>22</v>
      </c>
      <c r="B674" t="str">
        <f>"22.0210"</f>
        <v>22.0210</v>
      </c>
      <c r="E674" t="s">
        <v>776</v>
      </c>
    </row>
    <row r="675" spans="1:5" x14ac:dyDescent="0.25">
      <c r="A675" t="str">
        <f t="shared" si="17"/>
        <v>22</v>
      </c>
      <c r="B675" t="str">
        <f>"22.0211"</f>
        <v>22.0211</v>
      </c>
      <c r="E675" t="s">
        <v>777</v>
      </c>
    </row>
    <row r="676" spans="1:5" x14ac:dyDescent="0.25">
      <c r="A676" t="str">
        <f t="shared" si="17"/>
        <v>22</v>
      </c>
      <c r="B676" t="str">
        <f>"22.0212"</f>
        <v>22.0212</v>
      </c>
      <c r="E676" t="s">
        <v>778</v>
      </c>
    </row>
    <row r="677" spans="1:5" x14ac:dyDescent="0.25">
      <c r="A677" t="str">
        <f t="shared" si="17"/>
        <v>22</v>
      </c>
      <c r="B677" t="str">
        <f>"22.0299"</f>
        <v>22.0299</v>
      </c>
      <c r="E677" t="s">
        <v>779</v>
      </c>
    </row>
    <row r="678" spans="1:5" x14ac:dyDescent="0.25">
      <c r="A678" t="str">
        <f t="shared" si="17"/>
        <v>22</v>
      </c>
      <c r="B678" t="str">
        <f>"22.03"</f>
        <v>22.03</v>
      </c>
      <c r="D678" t="s">
        <v>780</v>
      </c>
    </row>
    <row r="679" spans="1:5" x14ac:dyDescent="0.25">
      <c r="A679" t="str">
        <f t="shared" si="17"/>
        <v>22</v>
      </c>
      <c r="B679" t="str">
        <f>"22.0301"</f>
        <v>22.0301</v>
      </c>
      <c r="E679" t="s">
        <v>781</v>
      </c>
    </row>
    <row r="680" spans="1:5" x14ac:dyDescent="0.25">
      <c r="A680" t="str">
        <f t="shared" si="17"/>
        <v>22</v>
      </c>
      <c r="B680" t="str">
        <f>"22.0302"</f>
        <v>22.0302</v>
      </c>
      <c r="E680" t="s">
        <v>782</v>
      </c>
    </row>
    <row r="681" spans="1:5" x14ac:dyDescent="0.25">
      <c r="A681" t="str">
        <f t="shared" si="17"/>
        <v>22</v>
      </c>
      <c r="B681" t="str">
        <f>"22.0303"</f>
        <v>22.0303</v>
      </c>
      <c r="E681" t="s">
        <v>783</v>
      </c>
    </row>
    <row r="682" spans="1:5" x14ac:dyDescent="0.25">
      <c r="A682" t="str">
        <f t="shared" si="17"/>
        <v>22</v>
      </c>
      <c r="B682" t="str">
        <f>"22.0399"</f>
        <v>22.0399</v>
      </c>
      <c r="E682" t="s">
        <v>784</v>
      </c>
    </row>
    <row r="683" spans="1:5" x14ac:dyDescent="0.25">
      <c r="A683" t="str">
        <f t="shared" si="17"/>
        <v>22</v>
      </c>
      <c r="B683" t="str">
        <f>"22.99"</f>
        <v>22.99</v>
      </c>
      <c r="D683" t="s">
        <v>785</v>
      </c>
    </row>
    <row r="684" spans="1:5" x14ac:dyDescent="0.25">
      <c r="A684" t="str">
        <f>"23"</f>
        <v>23</v>
      </c>
      <c r="B684" t="str">
        <f>"23"</f>
        <v>23</v>
      </c>
      <c r="C684" t="s">
        <v>786</v>
      </c>
    </row>
    <row r="685" spans="1:5" x14ac:dyDescent="0.25">
      <c r="A685" t="str">
        <f t="shared" ref="A685:A699" si="18">"23"</f>
        <v>23</v>
      </c>
      <c r="B685" t="str">
        <f>"23.01"</f>
        <v>23.01</v>
      </c>
      <c r="D685" t="s">
        <v>787</v>
      </c>
    </row>
    <row r="686" spans="1:5" x14ac:dyDescent="0.25">
      <c r="A686" t="str">
        <f t="shared" si="18"/>
        <v>23</v>
      </c>
      <c r="B686" t="str">
        <f>"23.13"</f>
        <v>23.13</v>
      </c>
      <c r="D686" t="s">
        <v>792</v>
      </c>
    </row>
    <row r="687" spans="1:5" x14ac:dyDescent="0.25">
      <c r="A687" t="str">
        <f t="shared" si="18"/>
        <v>23</v>
      </c>
      <c r="B687" t="str">
        <f>"23.1301"</f>
        <v>23.1301</v>
      </c>
      <c r="E687" t="s">
        <v>793</v>
      </c>
    </row>
    <row r="688" spans="1:5" x14ac:dyDescent="0.25">
      <c r="A688" t="str">
        <f t="shared" si="18"/>
        <v>23</v>
      </c>
      <c r="B688" t="str">
        <f>"23.1302"</f>
        <v>23.1302</v>
      </c>
      <c r="E688" t="s">
        <v>788</v>
      </c>
    </row>
    <row r="689" spans="1:5" x14ac:dyDescent="0.25">
      <c r="A689" t="str">
        <f t="shared" si="18"/>
        <v>23</v>
      </c>
      <c r="B689" t="str">
        <f>"23.1303"</f>
        <v>23.1303</v>
      </c>
      <c r="E689" t="s">
        <v>794</v>
      </c>
    </row>
    <row r="690" spans="1:5" x14ac:dyDescent="0.25">
      <c r="A690" t="str">
        <f t="shared" si="18"/>
        <v>23</v>
      </c>
      <c r="B690" t="str">
        <f>"23.1304"</f>
        <v>23.1304</v>
      </c>
      <c r="E690" t="s">
        <v>795</v>
      </c>
    </row>
    <row r="691" spans="1:5" x14ac:dyDescent="0.25">
      <c r="A691" t="str">
        <f t="shared" si="18"/>
        <v>23</v>
      </c>
      <c r="B691" t="str">
        <f>"23.1399"</f>
        <v>23.1399</v>
      </c>
      <c r="E691" t="s">
        <v>796</v>
      </c>
    </row>
    <row r="692" spans="1:5" x14ac:dyDescent="0.25">
      <c r="A692" t="str">
        <f t="shared" si="18"/>
        <v>23</v>
      </c>
      <c r="B692" t="str">
        <f>"23.14"</f>
        <v>23.14</v>
      </c>
      <c r="D692" t="s">
        <v>797</v>
      </c>
    </row>
    <row r="693" spans="1:5" x14ac:dyDescent="0.25">
      <c r="A693" t="str">
        <f t="shared" si="18"/>
        <v>23</v>
      </c>
      <c r="B693" t="str">
        <f>"23.1401"</f>
        <v>23.1401</v>
      </c>
      <c r="E693" t="s">
        <v>798</v>
      </c>
    </row>
    <row r="694" spans="1:5" x14ac:dyDescent="0.25">
      <c r="A694" t="str">
        <f t="shared" si="18"/>
        <v>23</v>
      </c>
      <c r="B694" t="str">
        <f>"23.1402"</f>
        <v>23.1402</v>
      </c>
      <c r="E694" t="s">
        <v>789</v>
      </c>
    </row>
    <row r="695" spans="1:5" x14ac:dyDescent="0.25">
      <c r="A695" t="str">
        <f t="shared" si="18"/>
        <v>23</v>
      </c>
      <c r="B695" t="str">
        <f>"23.1403"</f>
        <v>23.1403</v>
      </c>
      <c r="E695" t="s">
        <v>790</v>
      </c>
    </row>
    <row r="696" spans="1:5" x14ac:dyDescent="0.25">
      <c r="A696" t="str">
        <f t="shared" si="18"/>
        <v>23</v>
      </c>
      <c r="B696" t="str">
        <f>"23.1404"</f>
        <v>23.1404</v>
      </c>
      <c r="E696" t="s">
        <v>791</v>
      </c>
    </row>
    <row r="697" spans="1:5" x14ac:dyDescent="0.25">
      <c r="A697" t="str">
        <f t="shared" si="18"/>
        <v>23</v>
      </c>
      <c r="B697" t="str">
        <f>"23.1405"</f>
        <v>23.1405</v>
      </c>
      <c r="E697" t="s">
        <v>799</v>
      </c>
    </row>
    <row r="698" spans="1:5" x14ac:dyDescent="0.25">
      <c r="A698" t="str">
        <f t="shared" si="18"/>
        <v>23</v>
      </c>
      <c r="B698" t="str">
        <f>"23.1499"</f>
        <v>23.1499</v>
      </c>
      <c r="E698" t="s">
        <v>800</v>
      </c>
    </row>
    <row r="699" spans="1:5" x14ac:dyDescent="0.25">
      <c r="A699" t="str">
        <f t="shared" si="18"/>
        <v>23</v>
      </c>
      <c r="B699" t="str">
        <f>"23.99"</f>
        <v>23.99</v>
      </c>
      <c r="D699" t="s">
        <v>801</v>
      </c>
    </row>
    <row r="700" spans="1:5" x14ac:dyDescent="0.25">
      <c r="A700" t="str">
        <f>"24"</f>
        <v>24</v>
      </c>
      <c r="B700" t="str">
        <f>"24"</f>
        <v>24</v>
      </c>
      <c r="C700" t="s">
        <v>802</v>
      </c>
    </row>
    <row r="701" spans="1:5" x14ac:dyDescent="0.25">
      <c r="A701" t="str">
        <f>"24"</f>
        <v>24</v>
      </c>
      <c r="B701" t="str">
        <f>"24.01"</f>
        <v>24.01</v>
      </c>
      <c r="D701" t="s">
        <v>803</v>
      </c>
    </row>
    <row r="702" spans="1:5" x14ac:dyDescent="0.25">
      <c r="A702" t="str">
        <f>"24"</f>
        <v>24</v>
      </c>
      <c r="B702" t="str">
        <f>"24.0101"</f>
        <v>24.0101</v>
      </c>
      <c r="E702" t="s">
        <v>804</v>
      </c>
    </row>
    <row r="703" spans="1:5" x14ac:dyDescent="0.25">
      <c r="A703" t="str">
        <f>"24"</f>
        <v>24</v>
      </c>
      <c r="B703" t="str">
        <f>"24.0102"</f>
        <v>24.0102</v>
      </c>
      <c r="E703" t="s">
        <v>805</v>
      </c>
    </row>
    <row r="704" spans="1:5" x14ac:dyDescent="0.25">
      <c r="A704" t="str">
        <f>"24"</f>
        <v>24</v>
      </c>
      <c r="B704" t="str">
        <f>"24.0103"</f>
        <v>24.0103</v>
      </c>
      <c r="E704" t="s">
        <v>806</v>
      </c>
    </row>
    <row r="705" spans="1:5" x14ac:dyDescent="0.25">
      <c r="A705" t="str">
        <f>"24"</f>
        <v>24</v>
      </c>
      <c r="B705" t="str">
        <f>"24.0199"</f>
        <v>24.0199</v>
      </c>
      <c r="E705" t="s">
        <v>807</v>
      </c>
    </row>
    <row r="706" spans="1:5" x14ac:dyDescent="0.25">
      <c r="A706" t="str">
        <f>"25"</f>
        <v>25</v>
      </c>
      <c r="B706" t="str">
        <f>"25"</f>
        <v>25</v>
      </c>
      <c r="C706" t="s">
        <v>808</v>
      </c>
    </row>
    <row r="707" spans="1:5" x14ac:dyDescent="0.25">
      <c r="A707" t="str">
        <f t="shared" ref="A707:A713" si="19">"25"</f>
        <v>25</v>
      </c>
      <c r="B707" t="str">
        <f>"25.01"</f>
        <v>25.01</v>
      </c>
      <c r="D707" t="s">
        <v>809</v>
      </c>
    </row>
    <row r="708" spans="1:5" x14ac:dyDescent="0.25">
      <c r="A708" t="str">
        <f t="shared" si="19"/>
        <v>25</v>
      </c>
      <c r="B708" t="str">
        <f>"25.0101"</f>
        <v>25.0101</v>
      </c>
      <c r="E708" t="s">
        <v>810</v>
      </c>
    </row>
    <row r="709" spans="1:5" x14ac:dyDescent="0.25">
      <c r="A709" t="str">
        <f t="shared" si="19"/>
        <v>25</v>
      </c>
      <c r="B709" t="str">
        <f>"25.0102"</f>
        <v>25.0102</v>
      </c>
      <c r="E709" t="s">
        <v>811</v>
      </c>
    </row>
    <row r="710" spans="1:5" x14ac:dyDescent="0.25">
      <c r="A710" t="str">
        <f t="shared" si="19"/>
        <v>25</v>
      </c>
      <c r="B710" t="str">
        <f>"25.0103"</f>
        <v>25.0103</v>
      </c>
      <c r="E710" t="s">
        <v>812</v>
      </c>
    </row>
    <row r="711" spans="1:5" x14ac:dyDescent="0.25">
      <c r="A711" t="str">
        <f t="shared" si="19"/>
        <v>25</v>
      </c>
      <c r="B711" t="str">
        <f>"25.0199"</f>
        <v>25.0199</v>
      </c>
      <c r="E711" t="s">
        <v>813</v>
      </c>
    </row>
    <row r="712" spans="1:5" x14ac:dyDescent="0.25">
      <c r="A712" t="str">
        <f t="shared" si="19"/>
        <v>25</v>
      </c>
      <c r="B712" t="str">
        <f>"25.03"</f>
        <v>25.03</v>
      </c>
      <c r="D712" t="s">
        <v>814</v>
      </c>
    </row>
    <row r="713" spans="1:5" x14ac:dyDescent="0.25">
      <c r="A713" t="str">
        <f t="shared" si="19"/>
        <v>25</v>
      </c>
      <c r="B713" t="str">
        <f>"25.99"</f>
        <v>25.99</v>
      </c>
      <c r="D713" t="s">
        <v>815</v>
      </c>
    </row>
    <row r="714" spans="1:5" x14ac:dyDescent="0.25">
      <c r="A714" t="str">
        <f>"26"</f>
        <v>26</v>
      </c>
      <c r="B714" t="str">
        <f>"26"</f>
        <v>26</v>
      </c>
      <c r="C714" t="s">
        <v>816</v>
      </c>
    </row>
    <row r="715" spans="1:5" x14ac:dyDescent="0.25">
      <c r="A715" t="str">
        <f t="shared" ref="A715:A778" si="20">"26"</f>
        <v>26</v>
      </c>
      <c r="B715" t="str">
        <f>"26.01"</f>
        <v>26.01</v>
      </c>
      <c r="D715" t="s">
        <v>817</v>
      </c>
    </row>
    <row r="716" spans="1:5" x14ac:dyDescent="0.25">
      <c r="A716" t="str">
        <f t="shared" si="20"/>
        <v>26</v>
      </c>
      <c r="B716" t="str">
        <f>"26.0101"</f>
        <v>26.0101</v>
      </c>
      <c r="E716" t="s">
        <v>818</v>
      </c>
    </row>
    <row r="717" spans="1:5" x14ac:dyDescent="0.25">
      <c r="A717" t="str">
        <f t="shared" si="20"/>
        <v>26</v>
      </c>
      <c r="B717" t="str">
        <f>"26.0102"</f>
        <v>26.0102</v>
      </c>
      <c r="E717" t="s">
        <v>819</v>
      </c>
    </row>
    <row r="718" spans="1:5" x14ac:dyDescent="0.25">
      <c r="A718" t="str">
        <f t="shared" si="20"/>
        <v>26</v>
      </c>
      <c r="B718" t="str">
        <f>"26.02"</f>
        <v>26.02</v>
      </c>
      <c r="D718" t="s">
        <v>820</v>
      </c>
    </row>
    <row r="719" spans="1:5" x14ac:dyDescent="0.25">
      <c r="A719" t="str">
        <f t="shared" si="20"/>
        <v>26</v>
      </c>
      <c r="B719" t="str">
        <f>"26.0202"</f>
        <v>26.0202</v>
      </c>
      <c r="E719" t="s">
        <v>821</v>
      </c>
    </row>
    <row r="720" spans="1:5" x14ac:dyDescent="0.25">
      <c r="A720" t="str">
        <f t="shared" si="20"/>
        <v>26</v>
      </c>
      <c r="B720" t="str">
        <f>"26.0203"</f>
        <v>26.0203</v>
      </c>
      <c r="E720" t="s">
        <v>822</v>
      </c>
    </row>
    <row r="721" spans="1:5" x14ac:dyDescent="0.25">
      <c r="A721" t="str">
        <f t="shared" si="20"/>
        <v>26</v>
      </c>
      <c r="B721" t="str">
        <f>"26.0204"</f>
        <v>26.0204</v>
      </c>
      <c r="E721" t="s">
        <v>823</v>
      </c>
    </row>
    <row r="722" spans="1:5" x14ac:dyDescent="0.25">
      <c r="A722" t="str">
        <f t="shared" si="20"/>
        <v>26</v>
      </c>
      <c r="B722" t="str">
        <f>"26.0205"</f>
        <v>26.0205</v>
      </c>
      <c r="E722" t="s">
        <v>824</v>
      </c>
    </row>
    <row r="723" spans="1:5" x14ac:dyDescent="0.25">
      <c r="A723" t="str">
        <f t="shared" si="20"/>
        <v>26</v>
      </c>
      <c r="B723" t="str">
        <f>"26.0206"</f>
        <v>26.0206</v>
      </c>
      <c r="E723" t="s">
        <v>825</v>
      </c>
    </row>
    <row r="724" spans="1:5" x14ac:dyDescent="0.25">
      <c r="A724" t="str">
        <f t="shared" si="20"/>
        <v>26</v>
      </c>
      <c r="B724" t="str">
        <f>"26.0207"</f>
        <v>26.0207</v>
      </c>
      <c r="E724" t="s">
        <v>826</v>
      </c>
    </row>
    <row r="725" spans="1:5" x14ac:dyDescent="0.25">
      <c r="A725" t="str">
        <f t="shared" si="20"/>
        <v>26</v>
      </c>
      <c r="B725" t="str">
        <f>"26.0208"</f>
        <v>26.0208</v>
      </c>
      <c r="E725" t="s">
        <v>827</v>
      </c>
    </row>
    <row r="726" spans="1:5" x14ac:dyDescent="0.25">
      <c r="A726" t="str">
        <f t="shared" si="20"/>
        <v>26</v>
      </c>
      <c r="B726" t="str">
        <f>"26.0209"</f>
        <v>26.0209</v>
      </c>
      <c r="E726" t="s">
        <v>828</v>
      </c>
    </row>
    <row r="727" spans="1:5" x14ac:dyDescent="0.25">
      <c r="A727" t="str">
        <f t="shared" si="20"/>
        <v>26</v>
      </c>
      <c r="B727" t="str">
        <f>"26.0210"</f>
        <v>26.0210</v>
      </c>
      <c r="E727" t="s">
        <v>829</v>
      </c>
    </row>
    <row r="728" spans="1:5" x14ac:dyDescent="0.25">
      <c r="A728" t="str">
        <f t="shared" si="20"/>
        <v>26</v>
      </c>
      <c r="B728" t="str">
        <f>"26.0299"</f>
        <v>26.0299</v>
      </c>
      <c r="E728" t="s">
        <v>830</v>
      </c>
    </row>
    <row r="729" spans="1:5" x14ac:dyDescent="0.25">
      <c r="A729" t="str">
        <f t="shared" si="20"/>
        <v>26</v>
      </c>
      <c r="B729" t="str">
        <f>"26.03"</f>
        <v>26.03</v>
      </c>
      <c r="D729" t="s">
        <v>831</v>
      </c>
    </row>
    <row r="730" spans="1:5" x14ac:dyDescent="0.25">
      <c r="A730" t="str">
        <f t="shared" si="20"/>
        <v>26</v>
      </c>
      <c r="B730" t="str">
        <f>"26.0301"</f>
        <v>26.0301</v>
      </c>
      <c r="E730" t="s">
        <v>831</v>
      </c>
    </row>
    <row r="731" spans="1:5" x14ac:dyDescent="0.25">
      <c r="A731" t="str">
        <f t="shared" si="20"/>
        <v>26</v>
      </c>
      <c r="B731" t="str">
        <f>"26.0305"</f>
        <v>26.0305</v>
      </c>
      <c r="E731" t="s">
        <v>832</v>
      </c>
    </row>
    <row r="732" spans="1:5" x14ac:dyDescent="0.25">
      <c r="A732" t="str">
        <f t="shared" si="20"/>
        <v>26</v>
      </c>
      <c r="B732" t="str">
        <f>"26.0307"</f>
        <v>26.0307</v>
      </c>
      <c r="E732" t="s">
        <v>833</v>
      </c>
    </row>
    <row r="733" spans="1:5" x14ac:dyDescent="0.25">
      <c r="A733" t="str">
        <f t="shared" si="20"/>
        <v>26</v>
      </c>
      <c r="B733" t="str">
        <f>"26.0308"</f>
        <v>26.0308</v>
      </c>
      <c r="E733" t="s">
        <v>834</v>
      </c>
    </row>
    <row r="734" spans="1:5" x14ac:dyDescent="0.25">
      <c r="A734" t="str">
        <f t="shared" si="20"/>
        <v>26</v>
      </c>
      <c r="B734" t="str">
        <f>"26.0399"</f>
        <v>26.0399</v>
      </c>
      <c r="E734" t="s">
        <v>835</v>
      </c>
    </row>
    <row r="735" spans="1:5" x14ac:dyDescent="0.25">
      <c r="A735" t="str">
        <f t="shared" si="20"/>
        <v>26</v>
      </c>
      <c r="B735" t="str">
        <f>"26.04"</f>
        <v>26.04</v>
      </c>
      <c r="D735" t="s">
        <v>836</v>
      </c>
    </row>
    <row r="736" spans="1:5" x14ac:dyDescent="0.25">
      <c r="A736" t="str">
        <f t="shared" si="20"/>
        <v>26</v>
      </c>
      <c r="B736" t="str">
        <f>"26.0401"</f>
        <v>26.0401</v>
      </c>
      <c r="E736" t="s">
        <v>837</v>
      </c>
    </row>
    <row r="737" spans="1:5" x14ac:dyDescent="0.25">
      <c r="A737" t="str">
        <f t="shared" si="20"/>
        <v>26</v>
      </c>
      <c r="B737" t="str">
        <f>"26.0403"</f>
        <v>26.0403</v>
      </c>
      <c r="E737" t="s">
        <v>838</v>
      </c>
    </row>
    <row r="738" spans="1:5" x14ac:dyDescent="0.25">
      <c r="A738" t="str">
        <f t="shared" si="20"/>
        <v>26</v>
      </c>
      <c r="B738" t="str">
        <f>"26.0404"</f>
        <v>26.0404</v>
      </c>
      <c r="E738" t="s">
        <v>839</v>
      </c>
    </row>
    <row r="739" spans="1:5" x14ac:dyDescent="0.25">
      <c r="A739" t="str">
        <f t="shared" si="20"/>
        <v>26</v>
      </c>
      <c r="B739" t="str">
        <f>"26.0406"</f>
        <v>26.0406</v>
      </c>
      <c r="E739" t="s">
        <v>841</v>
      </c>
    </row>
    <row r="740" spans="1:5" x14ac:dyDescent="0.25">
      <c r="A740" t="str">
        <f t="shared" si="20"/>
        <v>26</v>
      </c>
      <c r="B740" t="str">
        <f>"26.0407"</f>
        <v>26.0407</v>
      </c>
      <c r="E740" t="s">
        <v>842</v>
      </c>
    </row>
    <row r="741" spans="1:5" x14ac:dyDescent="0.25">
      <c r="A741" t="str">
        <f t="shared" si="20"/>
        <v>26</v>
      </c>
      <c r="B741" t="str">
        <f>"26.0499"</f>
        <v>26.0499</v>
      </c>
      <c r="E741" t="s">
        <v>843</v>
      </c>
    </row>
    <row r="742" spans="1:5" x14ac:dyDescent="0.25">
      <c r="A742" t="str">
        <f t="shared" si="20"/>
        <v>26</v>
      </c>
      <c r="B742" t="str">
        <f>"26.05"</f>
        <v>26.05</v>
      </c>
      <c r="D742" t="s">
        <v>844</v>
      </c>
    </row>
    <row r="743" spans="1:5" x14ac:dyDescent="0.25">
      <c r="A743" t="str">
        <f t="shared" si="20"/>
        <v>26</v>
      </c>
      <c r="B743" t="str">
        <f>"26.0502"</f>
        <v>26.0502</v>
      </c>
      <c r="E743" t="s">
        <v>845</v>
      </c>
    </row>
    <row r="744" spans="1:5" x14ac:dyDescent="0.25">
      <c r="A744" t="str">
        <f t="shared" si="20"/>
        <v>26</v>
      </c>
      <c r="B744" t="str">
        <f>"26.0503"</f>
        <v>26.0503</v>
      </c>
      <c r="E744" t="s">
        <v>846</v>
      </c>
    </row>
    <row r="745" spans="1:5" x14ac:dyDescent="0.25">
      <c r="A745" t="str">
        <f t="shared" si="20"/>
        <v>26</v>
      </c>
      <c r="B745" t="str">
        <f>"26.0504"</f>
        <v>26.0504</v>
      </c>
      <c r="E745" t="s">
        <v>847</v>
      </c>
    </row>
    <row r="746" spans="1:5" x14ac:dyDescent="0.25">
      <c r="A746" t="str">
        <f t="shared" si="20"/>
        <v>26</v>
      </c>
      <c r="B746" t="str">
        <f>"26.0505"</f>
        <v>26.0505</v>
      </c>
      <c r="E746" t="s">
        <v>848</v>
      </c>
    </row>
    <row r="747" spans="1:5" x14ac:dyDescent="0.25">
      <c r="A747" t="str">
        <f t="shared" si="20"/>
        <v>26</v>
      </c>
      <c r="B747" t="str">
        <f>"26.0506"</f>
        <v>26.0506</v>
      </c>
      <c r="E747" t="s">
        <v>849</v>
      </c>
    </row>
    <row r="748" spans="1:5" x14ac:dyDescent="0.25">
      <c r="A748" t="str">
        <f t="shared" si="20"/>
        <v>26</v>
      </c>
      <c r="B748" t="str">
        <f>"26.0507"</f>
        <v>26.0507</v>
      </c>
      <c r="E748" t="s">
        <v>850</v>
      </c>
    </row>
    <row r="749" spans="1:5" x14ac:dyDescent="0.25">
      <c r="A749" t="str">
        <f t="shared" si="20"/>
        <v>26</v>
      </c>
      <c r="B749" t="str">
        <f>"26.0508"</f>
        <v>26.0508</v>
      </c>
      <c r="E749" t="s">
        <v>851</v>
      </c>
    </row>
    <row r="750" spans="1:5" x14ac:dyDescent="0.25">
      <c r="A750" t="str">
        <f t="shared" si="20"/>
        <v>26</v>
      </c>
      <c r="B750" t="str">
        <f>"26.0599"</f>
        <v>26.0599</v>
      </c>
      <c r="E750" t="s">
        <v>852</v>
      </c>
    </row>
    <row r="751" spans="1:5" x14ac:dyDescent="0.25">
      <c r="A751" t="str">
        <f t="shared" si="20"/>
        <v>26</v>
      </c>
      <c r="B751" t="str">
        <f>"26.07"</f>
        <v>26.07</v>
      </c>
      <c r="D751" t="s">
        <v>853</v>
      </c>
    </row>
    <row r="752" spans="1:5" x14ac:dyDescent="0.25">
      <c r="A752" t="str">
        <f t="shared" si="20"/>
        <v>26</v>
      </c>
      <c r="B752" t="str">
        <f>"26.0701"</f>
        <v>26.0701</v>
      </c>
      <c r="E752" t="s">
        <v>853</v>
      </c>
    </row>
    <row r="753" spans="1:5" x14ac:dyDescent="0.25">
      <c r="A753" t="str">
        <f t="shared" si="20"/>
        <v>26</v>
      </c>
      <c r="B753" t="str">
        <f>"26.0702"</f>
        <v>26.0702</v>
      </c>
      <c r="E753" t="s">
        <v>854</v>
      </c>
    </row>
    <row r="754" spans="1:5" x14ac:dyDescent="0.25">
      <c r="A754" t="str">
        <f t="shared" si="20"/>
        <v>26</v>
      </c>
      <c r="B754" t="str">
        <f>"26.0707"</f>
        <v>26.0707</v>
      </c>
      <c r="E754" t="s">
        <v>855</v>
      </c>
    </row>
    <row r="755" spans="1:5" x14ac:dyDescent="0.25">
      <c r="A755" t="str">
        <f t="shared" si="20"/>
        <v>26</v>
      </c>
      <c r="B755" t="str">
        <f>"26.0708"</f>
        <v>26.0708</v>
      </c>
      <c r="E755" t="s">
        <v>856</v>
      </c>
    </row>
    <row r="756" spans="1:5" x14ac:dyDescent="0.25">
      <c r="A756" t="str">
        <f t="shared" si="20"/>
        <v>26</v>
      </c>
      <c r="B756" t="str">
        <f>"26.0709"</f>
        <v>26.0709</v>
      </c>
      <c r="E756" t="s">
        <v>857</v>
      </c>
    </row>
    <row r="757" spans="1:5" x14ac:dyDescent="0.25">
      <c r="A757" t="str">
        <f t="shared" si="20"/>
        <v>26</v>
      </c>
      <c r="B757" t="str">
        <f>"26.0799"</f>
        <v>26.0799</v>
      </c>
      <c r="E757" t="s">
        <v>858</v>
      </c>
    </row>
    <row r="758" spans="1:5" x14ac:dyDescent="0.25">
      <c r="A758" t="str">
        <f t="shared" si="20"/>
        <v>26</v>
      </c>
      <c r="B758" t="str">
        <f>"26.08"</f>
        <v>26.08</v>
      </c>
      <c r="D758" t="s">
        <v>859</v>
      </c>
    </row>
    <row r="759" spans="1:5" x14ac:dyDescent="0.25">
      <c r="A759" t="str">
        <f t="shared" si="20"/>
        <v>26</v>
      </c>
      <c r="B759" t="str">
        <f>"26.0801"</f>
        <v>26.0801</v>
      </c>
      <c r="E759" t="s">
        <v>860</v>
      </c>
    </row>
    <row r="760" spans="1:5" x14ac:dyDescent="0.25">
      <c r="A760" t="str">
        <f t="shared" si="20"/>
        <v>26</v>
      </c>
      <c r="B760" t="str">
        <f>"26.0802"</f>
        <v>26.0802</v>
      </c>
      <c r="E760" t="s">
        <v>861</v>
      </c>
    </row>
    <row r="761" spans="1:5" x14ac:dyDescent="0.25">
      <c r="A761" t="str">
        <f t="shared" si="20"/>
        <v>26</v>
      </c>
      <c r="B761" t="str">
        <f>"26.0803"</f>
        <v>26.0803</v>
      </c>
      <c r="E761" t="s">
        <v>862</v>
      </c>
    </row>
    <row r="762" spans="1:5" x14ac:dyDescent="0.25">
      <c r="A762" t="str">
        <f t="shared" si="20"/>
        <v>26</v>
      </c>
      <c r="B762" t="str">
        <f>"26.0804"</f>
        <v>26.0804</v>
      </c>
      <c r="E762" t="s">
        <v>863</v>
      </c>
    </row>
    <row r="763" spans="1:5" x14ac:dyDescent="0.25">
      <c r="A763" t="str">
        <f t="shared" si="20"/>
        <v>26</v>
      </c>
      <c r="B763" t="str">
        <f>"26.0805"</f>
        <v>26.0805</v>
      </c>
      <c r="E763" t="s">
        <v>864</v>
      </c>
    </row>
    <row r="764" spans="1:5" x14ac:dyDescent="0.25">
      <c r="A764" t="str">
        <f t="shared" si="20"/>
        <v>26</v>
      </c>
      <c r="B764" t="str">
        <f>"26.0806"</f>
        <v>26.0806</v>
      </c>
      <c r="E764" t="s">
        <v>865</v>
      </c>
    </row>
    <row r="765" spans="1:5" x14ac:dyDescent="0.25">
      <c r="A765" t="str">
        <f t="shared" si="20"/>
        <v>26</v>
      </c>
      <c r="B765" t="str">
        <f>"26.0807"</f>
        <v>26.0807</v>
      </c>
      <c r="E765" t="s">
        <v>866</v>
      </c>
    </row>
    <row r="766" spans="1:5" x14ac:dyDescent="0.25">
      <c r="A766" t="str">
        <f t="shared" si="20"/>
        <v>26</v>
      </c>
      <c r="B766" t="str">
        <f>"26.0899"</f>
        <v>26.0899</v>
      </c>
      <c r="E766" t="s">
        <v>867</v>
      </c>
    </row>
    <row r="767" spans="1:5" x14ac:dyDescent="0.25">
      <c r="A767" t="str">
        <f t="shared" si="20"/>
        <v>26</v>
      </c>
      <c r="B767" t="str">
        <f>"26.09"</f>
        <v>26.09</v>
      </c>
      <c r="D767" t="s">
        <v>868</v>
      </c>
    </row>
    <row r="768" spans="1:5" x14ac:dyDescent="0.25">
      <c r="A768" t="str">
        <f t="shared" si="20"/>
        <v>26</v>
      </c>
      <c r="B768" t="str">
        <f>"26.0901"</f>
        <v>26.0901</v>
      </c>
      <c r="E768" t="s">
        <v>869</v>
      </c>
    </row>
    <row r="769" spans="1:5" x14ac:dyDescent="0.25">
      <c r="A769" t="str">
        <f t="shared" si="20"/>
        <v>26</v>
      </c>
      <c r="B769" t="str">
        <f>"26.0902"</f>
        <v>26.0902</v>
      </c>
      <c r="E769" t="s">
        <v>870</v>
      </c>
    </row>
    <row r="770" spans="1:5" x14ac:dyDescent="0.25">
      <c r="A770" t="str">
        <f t="shared" si="20"/>
        <v>26</v>
      </c>
      <c r="B770" t="str">
        <f>"26.0903"</f>
        <v>26.0903</v>
      </c>
      <c r="E770" t="s">
        <v>871</v>
      </c>
    </row>
    <row r="771" spans="1:5" x14ac:dyDescent="0.25">
      <c r="A771" t="str">
        <f t="shared" si="20"/>
        <v>26</v>
      </c>
      <c r="B771" t="str">
        <f>"26.0904"</f>
        <v>26.0904</v>
      </c>
      <c r="E771" t="s">
        <v>872</v>
      </c>
    </row>
    <row r="772" spans="1:5" x14ac:dyDescent="0.25">
      <c r="A772" t="str">
        <f t="shared" si="20"/>
        <v>26</v>
      </c>
      <c r="B772" t="str">
        <f>"26.0905"</f>
        <v>26.0905</v>
      </c>
      <c r="E772" t="s">
        <v>873</v>
      </c>
    </row>
    <row r="773" spans="1:5" x14ac:dyDescent="0.25">
      <c r="A773" t="str">
        <f t="shared" si="20"/>
        <v>26</v>
      </c>
      <c r="B773" t="str">
        <f>"26.0907"</f>
        <v>26.0907</v>
      </c>
      <c r="E773" t="s">
        <v>874</v>
      </c>
    </row>
    <row r="774" spans="1:5" x14ac:dyDescent="0.25">
      <c r="A774" t="str">
        <f t="shared" si="20"/>
        <v>26</v>
      </c>
      <c r="B774" t="str">
        <f>"26.0908"</f>
        <v>26.0908</v>
      </c>
      <c r="E774" t="s">
        <v>875</v>
      </c>
    </row>
    <row r="775" spans="1:5" x14ac:dyDescent="0.25">
      <c r="A775" t="str">
        <f t="shared" si="20"/>
        <v>26</v>
      </c>
      <c r="B775" t="str">
        <f>"26.0909"</f>
        <v>26.0909</v>
      </c>
      <c r="E775" t="s">
        <v>876</v>
      </c>
    </row>
    <row r="776" spans="1:5" x14ac:dyDescent="0.25">
      <c r="A776" t="str">
        <f t="shared" si="20"/>
        <v>26</v>
      </c>
      <c r="B776" t="str">
        <f>"26.0910"</f>
        <v>26.0910</v>
      </c>
      <c r="E776" t="s">
        <v>877</v>
      </c>
    </row>
    <row r="777" spans="1:5" x14ac:dyDescent="0.25">
      <c r="A777" t="str">
        <f t="shared" si="20"/>
        <v>26</v>
      </c>
      <c r="B777" t="str">
        <f>"26.0911"</f>
        <v>26.0911</v>
      </c>
      <c r="E777" t="s">
        <v>878</v>
      </c>
    </row>
    <row r="778" spans="1:5" x14ac:dyDescent="0.25">
      <c r="A778" t="str">
        <f t="shared" si="20"/>
        <v>26</v>
      </c>
      <c r="B778" t="str">
        <f>"26.0912"</f>
        <v>26.0912</v>
      </c>
      <c r="E778" t="s">
        <v>879</v>
      </c>
    </row>
    <row r="779" spans="1:5" x14ac:dyDescent="0.25">
      <c r="A779" t="str">
        <f t="shared" ref="A779:A815" si="21">"26"</f>
        <v>26</v>
      </c>
      <c r="B779" t="str">
        <f>"26.0999"</f>
        <v>26.0999</v>
      </c>
      <c r="E779" t="s">
        <v>880</v>
      </c>
    </row>
    <row r="780" spans="1:5" x14ac:dyDescent="0.25">
      <c r="A780" t="str">
        <f t="shared" si="21"/>
        <v>26</v>
      </c>
      <c r="B780" t="str">
        <f>"26.10"</f>
        <v>26.10</v>
      </c>
      <c r="D780" t="s">
        <v>881</v>
      </c>
    </row>
    <row r="781" spans="1:5" x14ac:dyDescent="0.25">
      <c r="A781" t="str">
        <f t="shared" si="21"/>
        <v>26</v>
      </c>
      <c r="B781" t="str">
        <f>"26.1001"</f>
        <v>26.1001</v>
      </c>
      <c r="E781" t="s">
        <v>882</v>
      </c>
    </row>
    <row r="782" spans="1:5" x14ac:dyDescent="0.25">
      <c r="A782" t="str">
        <f t="shared" si="21"/>
        <v>26</v>
      </c>
      <c r="B782" t="str">
        <f>"26.1002"</f>
        <v>26.1002</v>
      </c>
      <c r="E782" t="s">
        <v>883</v>
      </c>
    </row>
    <row r="783" spans="1:5" x14ac:dyDescent="0.25">
      <c r="A783" t="str">
        <f t="shared" si="21"/>
        <v>26</v>
      </c>
      <c r="B783" t="str">
        <f>"26.1003"</f>
        <v>26.1003</v>
      </c>
      <c r="E783" t="s">
        <v>884</v>
      </c>
    </row>
    <row r="784" spans="1:5" x14ac:dyDescent="0.25">
      <c r="A784" t="str">
        <f t="shared" si="21"/>
        <v>26</v>
      </c>
      <c r="B784" t="str">
        <f>"26.1004"</f>
        <v>26.1004</v>
      </c>
      <c r="E784" t="s">
        <v>885</v>
      </c>
    </row>
    <row r="785" spans="1:5" x14ac:dyDescent="0.25">
      <c r="A785" t="str">
        <f t="shared" si="21"/>
        <v>26</v>
      </c>
      <c r="B785" t="str">
        <f>"26.1005"</f>
        <v>26.1005</v>
      </c>
      <c r="E785" t="s">
        <v>886</v>
      </c>
    </row>
    <row r="786" spans="1:5" x14ac:dyDescent="0.25">
      <c r="A786" t="str">
        <f t="shared" si="21"/>
        <v>26</v>
      </c>
      <c r="B786" t="str">
        <f>"26.1006"</f>
        <v>26.1006</v>
      </c>
      <c r="E786" t="s">
        <v>887</v>
      </c>
    </row>
    <row r="787" spans="1:5" x14ac:dyDescent="0.25">
      <c r="A787" t="str">
        <f t="shared" si="21"/>
        <v>26</v>
      </c>
      <c r="B787" t="str">
        <f>"26.1007"</f>
        <v>26.1007</v>
      </c>
      <c r="E787" t="s">
        <v>881</v>
      </c>
    </row>
    <row r="788" spans="1:5" x14ac:dyDescent="0.25">
      <c r="A788" t="str">
        <f t="shared" si="21"/>
        <v>26</v>
      </c>
      <c r="B788" t="str">
        <f>"26.1099"</f>
        <v>26.1099</v>
      </c>
      <c r="E788" t="s">
        <v>888</v>
      </c>
    </row>
    <row r="789" spans="1:5" x14ac:dyDescent="0.25">
      <c r="A789" t="str">
        <f t="shared" si="21"/>
        <v>26</v>
      </c>
      <c r="B789" t="str">
        <f>"26.11"</f>
        <v>26.11</v>
      </c>
      <c r="D789" t="s">
        <v>889</v>
      </c>
    </row>
    <row r="790" spans="1:5" x14ac:dyDescent="0.25">
      <c r="A790" t="str">
        <f t="shared" si="21"/>
        <v>26</v>
      </c>
      <c r="B790" t="str">
        <f>"26.1101"</f>
        <v>26.1101</v>
      </c>
      <c r="E790" t="s">
        <v>890</v>
      </c>
    </row>
    <row r="791" spans="1:5" x14ac:dyDescent="0.25">
      <c r="A791" t="str">
        <f t="shared" si="21"/>
        <v>26</v>
      </c>
      <c r="B791" t="str">
        <f>"26.1102"</f>
        <v>26.1102</v>
      </c>
      <c r="E791" t="s">
        <v>891</v>
      </c>
    </row>
    <row r="792" spans="1:5" x14ac:dyDescent="0.25">
      <c r="A792" t="str">
        <f t="shared" si="21"/>
        <v>26</v>
      </c>
      <c r="B792" t="str">
        <f>"26.1103"</f>
        <v>26.1103</v>
      </c>
      <c r="E792" t="s">
        <v>892</v>
      </c>
    </row>
    <row r="793" spans="1:5" x14ac:dyDescent="0.25">
      <c r="A793" t="str">
        <f t="shared" si="21"/>
        <v>26</v>
      </c>
      <c r="B793" t="str">
        <f>"26.1104"</f>
        <v>26.1104</v>
      </c>
      <c r="E793" t="s">
        <v>893</v>
      </c>
    </row>
    <row r="794" spans="1:5" x14ac:dyDescent="0.25">
      <c r="A794" t="str">
        <f t="shared" si="21"/>
        <v>26</v>
      </c>
      <c r="B794" t="str">
        <f>"26.1199"</f>
        <v>26.1199</v>
      </c>
      <c r="E794" t="s">
        <v>894</v>
      </c>
    </row>
    <row r="795" spans="1:5" x14ac:dyDescent="0.25">
      <c r="A795" t="str">
        <f t="shared" si="21"/>
        <v>26</v>
      </c>
      <c r="B795" t="str">
        <f>"26.12"</f>
        <v>26.12</v>
      </c>
      <c r="D795" t="s">
        <v>895</v>
      </c>
    </row>
    <row r="796" spans="1:5" x14ac:dyDescent="0.25">
      <c r="A796" t="str">
        <f t="shared" si="21"/>
        <v>26</v>
      </c>
      <c r="B796" t="str">
        <f>"26.13"</f>
        <v>26.13</v>
      </c>
      <c r="D796" t="s">
        <v>896</v>
      </c>
    </row>
    <row r="797" spans="1:5" x14ac:dyDescent="0.25">
      <c r="A797" t="str">
        <f t="shared" si="21"/>
        <v>26</v>
      </c>
      <c r="B797" t="str">
        <f>"26.1301"</f>
        <v>26.1301</v>
      </c>
      <c r="E797" t="s">
        <v>897</v>
      </c>
    </row>
    <row r="798" spans="1:5" x14ac:dyDescent="0.25">
      <c r="A798" t="str">
        <f t="shared" si="21"/>
        <v>26</v>
      </c>
      <c r="B798" t="str">
        <f>"26.1302"</f>
        <v>26.1302</v>
      </c>
      <c r="E798" t="s">
        <v>898</v>
      </c>
    </row>
    <row r="799" spans="1:5" x14ac:dyDescent="0.25">
      <c r="A799" t="str">
        <f t="shared" si="21"/>
        <v>26</v>
      </c>
      <c r="B799" t="str">
        <f>"26.1303"</f>
        <v>26.1303</v>
      </c>
      <c r="E799" t="s">
        <v>899</v>
      </c>
    </row>
    <row r="800" spans="1:5" x14ac:dyDescent="0.25">
      <c r="A800" t="str">
        <f t="shared" si="21"/>
        <v>26</v>
      </c>
      <c r="B800" t="str">
        <f>"26.1304"</f>
        <v>26.1304</v>
      </c>
      <c r="E800" t="s">
        <v>900</v>
      </c>
    </row>
    <row r="801" spans="1:5" x14ac:dyDescent="0.25">
      <c r="A801" t="str">
        <f t="shared" si="21"/>
        <v>26</v>
      </c>
      <c r="B801" t="str">
        <f>"26.1305"</f>
        <v>26.1305</v>
      </c>
      <c r="E801" t="s">
        <v>901</v>
      </c>
    </row>
    <row r="802" spans="1:5" x14ac:dyDescent="0.25">
      <c r="A802" t="str">
        <f t="shared" si="21"/>
        <v>26</v>
      </c>
      <c r="B802" t="str">
        <f>"26.1306"</f>
        <v>26.1306</v>
      </c>
      <c r="E802" t="s">
        <v>902</v>
      </c>
    </row>
    <row r="803" spans="1:5" x14ac:dyDescent="0.25">
      <c r="A803" t="str">
        <f t="shared" si="21"/>
        <v>26</v>
      </c>
      <c r="B803" t="str">
        <f>"26.1307"</f>
        <v>26.1307</v>
      </c>
      <c r="E803" t="s">
        <v>903</v>
      </c>
    </row>
    <row r="804" spans="1:5" x14ac:dyDescent="0.25">
      <c r="A804" t="str">
        <f t="shared" si="21"/>
        <v>26</v>
      </c>
      <c r="B804" t="str">
        <f>"26.1308"</f>
        <v>26.1308</v>
      </c>
      <c r="E804" t="s">
        <v>904</v>
      </c>
    </row>
    <row r="805" spans="1:5" x14ac:dyDescent="0.25">
      <c r="A805" t="str">
        <f t="shared" si="21"/>
        <v>26</v>
      </c>
      <c r="B805" t="str">
        <f>"26.1309"</f>
        <v>26.1309</v>
      </c>
      <c r="E805" t="s">
        <v>905</v>
      </c>
    </row>
    <row r="806" spans="1:5" x14ac:dyDescent="0.25">
      <c r="A806" t="str">
        <f t="shared" si="21"/>
        <v>26</v>
      </c>
      <c r="B806" t="str">
        <f>"26.1310"</f>
        <v>26.1310</v>
      </c>
      <c r="E806" t="s">
        <v>906</v>
      </c>
    </row>
    <row r="807" spans="1:5" x14ac:dyDescent="0.25">
      <c r="A807" t="str">
        <f t="shared" si="21"/>
        <v>26</v>
      </c>
      <c r="B807" t="str">
        <f>"26.1399"</f>
        <v>26.1399</v>
      </c>
      <c r="E807" t="s">
        <v>907</v>
      </c>
    </row>
    <row r="808" spans="1:5" x14ac:dyDescent="0.25">
      <c r="A808" t="str">
        <f t="shared" si="21"/>
        <v>26</v>
      </c>
      <c r="B808" t="str">
        <f>"26.14"</f>
        <v>26.14</v>
      </c>
      <c r="D808" t="s">
        <v>908</v>
      </c>
    </row>
    <row r="809" spans="1:5" x14ac:dyDescent="0.25">
      <c r="A809" t="str">
        <f t="shared" si="21"/>
        <v>26</v>
      </c>
      <c r="B809" t="str">
        <f>"26.15"</f>
        <v>26.15</v>
      </c>
      <c r="D809" t="s">
        <v>909</v>
      </c>
    </row>
    <row r="810" spans="1:5" x14ac:dyDescent="0.25">
      <c r="A810" t="str">
        <f t="shared" si="21"/>
        <v>26</v>
      </c>
      <c r="B810" t="str">
        <f>"26.1501"</f>
        <v>26.1501</v>
      </c>
      <c r="E810" t="s">
        <v>910</v>
      </c>
    </row>
    <row r="811" spans="1:5" x14ac:dyDescent="0.25">
      <c r="A811" t="str">
        <f t="shared" si="21"/>
        <v>26</v>
      </c>
      <c r="B811" t="str">
        <f>"26.1502"</f>
        <v>26.1502</v>
      </c>
      <c r="E811" t="s">
        <v>840</v>
      </c>
    </row>
    <row r="812" spans="1:5" x14ac:dyDescent="0.25">
      <c r="A812" t="str">
        <f t="shared" si="21"/>
        <v>26</v>
      </c>
      <c r="B812" t="str">
        <f>"26.1503"</f>
        <v>26.1503</v>
      </c>
      <c r="E812" t="s">
        <v>911</v>
      </c>
    </row>
    <row r="813" spans="1:5" x14ac:dyDescent="0.25">
      <c r="A813" t="str">
        <f t="shared" si="21"/>
        <v>26</v>
      </c>
      <c r="B813" t="str">
        <f>"26.1504"</f>
        <v>26.1504</v>
      </c>
      <c r="E813" t="s">
        <v>912</v>
      </c>
    </row>
    <row r="814" spans="1:5" x14ac:dyDescent="0.25">
      <c r="A814" t="str">
        <f t="shared" si="21"/>
        <v>26</v>
      </c>
      <c r="B814" t="str">
        <f>"26.1599"</f>
        <v>26.1599</v>
      </c>
      <c r="E814" t="s">
        <v>913</v>
      </c>
    </row>
    <row r="815" spans="1:5" x14ac:dyDescent="0.25">
      <c r="A815" t="str">
        <f t="shared" si="21"/>
        <v>26</v>
      </c>
      <c r="B815" t="str">
        <f>"26.99"</f>
        <v>26.99</v>
      </c>
      <c r="D815" t="s">
        <v>914</v>
      </c>
    </row>
    <row r="816" spans="1:5" x14ac:dyDescent="0.25">
      <c r="A816" t="str">
        <f>"27"</f>
        <v>27</v>
      </c>
      <c r="B816" t="str">
        <f>"27"</f>
        <v>27</v>
      </c>
      <c r="C816" t="s">
        <v>915</v>
      </c>
    </row>
    <row r="817" spans="1:5" x14ac:dyDescent="0.25">
      <c r="A817" t="str">
        <f t="shared" ref="A817:A837" si="22">"27"</f>
        <v>27</v>
      </c>
      <c r="B817" t="str">
        <f>"27.01"</f>
        <v>27.01</v>
      </c>
      <c r="D817" t="s">
        <v>916</v>
      </c>
    </row>
    <row r="818" spans="1:5" x14ac:dyDescent="0.25">
      <c r="A818" t="str">
        <f t="shared" si="22"/>
        <v>27</v>
      </c>
      <c r="B818" t="str">
        <f>"27.0101"</f>
        <v>27.0101</v>
      </c>
      <c r="E818" t="s">
        <v>917</v>
      </c>
    </row>
    <row r="819" spans="1:5" x14ac:dyDescent="0.25">
      <c r="A819" t="str">
        <f t="shared" si="22"/>
        <v>27</v>
      </c>
      <c r="B819" t="str">
        <f>"27.0102"</f>
        <v>27.0102</v>
      </c>
      <c r="E819" t="s">
        <v>918</v>
      </c>
    </row>
    <row r="820" spans="1:5" x14ac:dyDescent="0.25">
      <c r="A820" t="str">
        <f t="shared" si="22"/>
        <v>27</v>
      </c>
      <c r="B820" t="str">
        <f>"27.0103"</f>
        <v>27.0103</v>
      </c>
      <c r="E820" t="s">
        <v>919</v>
      </c>
    </row>
    <row r="821" spans="1:5" x14ac:dyDescent="0.25">
      <c r="A821" t="str">
        <f t="shared" si="22"/>
        <v>27</v>
      </c>
      <c r="B821" t="str">
        <f>"27.0104"</f>
        <v>27.0104</v>
      </c>
      <c r="E821" t="s">
        <v>920</v>
      </c>
    </row>
    <row r="822" spans="1:5" x14ac:dyDescent="0.25">
      <c r="A822" t="str">
        <f t="shared" si="22"/>
        <v>27</v>
      </c>
      <c r="B822" t="str">
        <f>"27.0105"</f>
        <v>27.0105</v>
      </c>
      <c r="E822" t="s">
        <v>921</v>
      </c>
    </row>
    <row r="823" spans="1:5" x14ac:dyDescent="0.25">
      <c r="A823" t="str">
        <f t="shared" si="22"/>
        <v>27</v>
      </c>
      <c r="B823" t="str">
        <f>"27.0199"</f>
        <v>27.0199</v>
      </c>
      <c r="E823" t="s">
        <v>922</v>
      </c>
    </row>
    <row r="824" spans="1:5" x14ac:dyDescent="0.25">
      <c r="A824" t="str">
        <f t="shared" si="22"/>
        <v>27</v>
      </c>
      <c r="B824" t="str">
        <f>"27.03"</f>
        <v>27.03</v>
      </c>
      <c r="D824" t="s">
        <v>923</v>
      </c>
    </row>
    <row r="825" spans="1:5" x14ac:dyDescent="0.25">
      <c r="A825" t="str">
        <f t="shared" si="22"/>
        <v>27</v>
      </c>
      <c r="B825" t="str">
        <f>"27.0301"</f>
        <v>27.0301</v>
      </c>
      <c r="E825" t="s">
        <v>924</v>
      </c>
    </row>
    <row r="826" spans="1:5" x14ac:dyDescent="0.25">
      <c r="A826" t="str">
        <f t="shared" si="22"/>
        <v>27</v>
      </c>
      <c r="B826" t="str">
        <f>"27.0303"</f>
        <v>27.0303</v>
      </c>
      <c r="E826" t="s">
        <v>925</v>
      </c>
    </row>
    <row r="827" spans="1:5" x14ac:dyDescent="0.25">
      <c r="A827" t="str">
        <f t="shared" si="22"/>
        <v>27</v>
      </c>
      <c r="B827" t="str">
        <f>"27.0304"</f>
        <v>27.0304</v>
      </c>
      <c r="E827" t="s">
        <v>926</v>
      </c>
    </row>
    <row r="828" spans="1:5" x14ac:dyDescent="0.25">
      <c r="A828" t="str">
        <f t="shared" si="22"/>
        <v>27</v>
      </c>
      <c r="B828" t="str">
        <f>"27.0305"</f>
        <v>27.0305</v>
      </c>
      <c r="E828" t="s">
        <v>927</v>
      </c>
    </row>
    <row r="829" spans="1:5" x14ac:dyDescent="0.25">
      <c r="A829" t="str">
        <f t="shared" si="22"/>
        <v>27</v>
      </c>
      <c r="B829" t="str">
        <f>"27.0306"</f>
        <v>27.0306</v>
      </c>
      <c r="E829" t="s">
        <v>928</v>
      </c>
    </row>
    <row r="830" spans="1:5" x14ac:dyDescent="0.25">
      <c r="A830" t="str">
        <f t="shared" si="22"/>
        <v>27</v>
      </c>
      <c r="B830" t="str">
        <f>"27.0399"</f>
        <v>27.0399</v>
      </c>
      <c r="E830" t="s">
        <v>929</v>
      </c>
    </row>
    <row r="831" spans="1:5" x14ac:dyDescent="0.25">
      <c r="A831" t="str">
        <f t="shared" si="22"/>
        <v>27</v>
      </c>
      <c r="B831" t="str">
        <f>"27.05"</f>
        <v>27.05</v>
      </c>
      <c r="D831" t="s">
        <v>930</v>
      </c>
    </row>
    <row r="832" spans="1:5" x14ac:dyDescent="0.25">
      <c r="A832" t="str">
        <f t="shared" si="22"/>
        <v>27</v>
      </c>
      <c r="B832" t="str">
        <f>"27.0501"</f>
        <v>27.0501</v>
      </c>
      <c r="E832" t="s">
        <v>931</v>
      </c>
    </row>
    <row r="833" spans="1:5" x14ac:dyDescent="0.25">
      <c r="A833" t="str">
        <f t="shared" si="22"/>
        <v>27</v>
      </c>
      <c r="B833" t="str">
        <f>"27.0502"</f>
        <v>27.0502</v>
      </c>
      <c r="E833" t="s">
        <v>932</v>
      </c>
    </row>
    <row r="834" spans="1:5" x14ac:dyDescent="0.25">
      <c r="A834" t="str">
        <f t="shared" si="22"/>
        <v>27</v>
      </c>
      <c r="B834" t="str">
        <f>"27.0503"</f>
        <v>27.0503</v>
      </c>
      <c r="E834" t="s">
        <v>933</v>
      </c>
    </row>
    <row r="835" spans="1:5" x14ac:dyDescent="0.25">
      <c r="A835" t="str">
        <f t="shared" si="22"/>
        <v>27</v>
      </c>
      <c r="B835" t="str">
        <f>"27.0599"</f>
        <v>27.0599</v>
      </c>
      <c r="E835" t="s">
        <v>934</v>
      </c>
    </row>
    <row r="836" spans="1:5" x14ac:dyDescent="0.25">
      <c r="A836" t="str">
        <f t="shared" si="22"/>
        <v>27</v>
      </c>
      <c r="B836" t="str">
        <f>"27.99"</f>
        <v>27.99</v>
      </c>
      <c r="E836" t="s">
        <v>935</v>
      </c>
    </row>
    <row r="837" spans="1:5" x14ac:dyDescent="0.25">
      <c r="A837" t="str">
        <f t="shared" si="22"/>
        <v>27</v>
      </c>
      <c r="B837" t="str">
        <f>"27.9999"</f>
        <v>27.9999</v>
      </c>
      <c r="E837" t="s">
        <v>935</v>
      </c>
    </row>
    <row r="838" spans="1:5" x14ac:dyDescent="0.25">
      <c r="A838" t="str">
        <f>"28"</f>
        <v>28</v>
      </c>
      <c r="B838" t="str">
        <f>"28"</f>
        <v>28</v>
      </c>
      <c r="C838" t="s">
        <v>936</v>
      </c>
    </row>
    <row r="839" spans="1:5" x14ac:dyDescent="0.25">
      <c r="A839" t="str">
        <f t="shared" ref="A839:A868" si="23">"28"</f>
        <v>28</v>
      </c>
      <c r="B839" t="str">
        <f>"28.01"</f>
        <v>28.01</v>
      </c>
      <c r="D839" t="s">
        <v>937</v>
      </c>
    </row>
    <row r="840" spans="1:5" x14ac:dyDescent="0.25">
      <c r="A840" t="str">
        <f t="shared" si="23"/>
        <v>28</v>
      </c>
      <c r="B840" t="str">
        <f>"28.0101"</f>
        <v>28.0101</v>
      </c>
      <c r="E840" t="s">
        <v>938</v>
      </c>
    </row>
    <row r="841" spans="1:5" x14ac:dyDescent="0.25">
      <c r="A841" t="str">
        <f t="shared" si="23"/>
        <v>28</v>
      </c>
      <c r="B841" t="str">
        <f>"28.0199"</f>
        <v>28.0199</v>
      </c>
      <c r="E841" t="s">
        <v>939</v>
      </c>
    </row>
    <row r="842" spans="1:5" x14ac:dyDescent="0.25">
      <c r="A842" t="str">
        <f t="shared" si="23"/>
        <v>28</v>
      </c>
      <c r="B842" t="str">
        <f>"28.03"</f>
        <v>28.03</v>
      </c>
      <c r="D842" t="s">
        <v>940</v>
      </c>
    </row>
    <row r="843" spans="1:5" x14ac:dyDescent="0.25">
      <c r="A843" t="str">
        <f t="shared" si="23"/>
        <v>28</v>
      </c>
      <c r="B843" t="str">
        <f>"28.0301"</f>
        <v>28.0301</v>
      </c>
      <c r="E843" t="s">
        <v>941</v>
      </c>
    </row>
    <row r="844" spans="1:5" x14ac:dyDescent="0.25">
      <c r="A844" t="str">
        <f t="shared" si="23"/>
        <v>28</v>
      </c>
      <c r="B844" t="str">
        <f>"28.0399"</f>
        <v>28.0399</v>
      </c>
      <c r="E844" t="s">
        <v>942</v>
      </c>
    </row>
    <row r="845" spans="1:5" x14ac:dyDescent="0.25">
      <c r="A845" t="str">
        <f t="shared" si="23"/>
        <v>28</v>
      </c>
      <c r="B845" t="str">
        <f>"28.04"</f>
        <v>28.04</v>
      </c>
      <c r="D845" t="s">
        <v>943</v>
      </c>
    </row>
    <row r="846" spans="1:5" x14ac:dyDescent="0.25">
      <c r="A846" t="str">
        <f t="shared" si="23"/>
        <v>28</v>
      </c>
      <c r="B846" t="str">
        <f>"28.0401"</f>
        <v>28.0401</v>
      </c>
      <c r="E846" t="s">
        <v>944</v>
      </c>
    </row>
    <row r="847" spans="1:5" x14ac:dyDescent="0.25">
      <c r="A847" t="str">
        <f t="shared" si="23"/>
        <v>28</v>
      </c>
      <c r="B847" t="str">
        <f>"28.0499"</f>
        <v>28.0499</v>
      </c>
      <c r="E847" t="s">
        <v>945</v>
      </c>
    </row>
    <row r="848" spans="1:5" x14ac:dyDescent="0.25">
      <c r="A848" t="str">
        <f t="shared" si="23"/>
        <v>28</v>
      </c>
      <c r="B848" t="str">
        <f>"28.05"</f>
        <v>28.05</v>
      </c>
      <c r="D848" t="s">
        <v>946</v>
      </c>
    </row>
    <row r="849" spans="1:5" x14ac:dyDescent="0.25">
      <c r="A849" t="str">
        <f t="shared" si="23"/>
        <v>28</v>
      </c>
      <c r="B849" t="str">
        <f>"28.0501"</f>
        <v>28.0501</v>
      </c>
      <c r="E849" t="s">
        <v>947</v>
      </c>
    </row>
    <row r="850" spans="1:5" x14ac:dyDescent="0.25">
      <c r="A850" t="str">
        <f t="shared" si="23"/>
        <v>28</v>
      </c>
      <c r="B850" t="str">
        <f>"28.0502"</f>
        <v>28.0502</v>
      </c>
      <c r="E850" t="s">
        <v>948</v>
      </c>
    </row>
    <row r="851" spans="1:5" x14ac:dyDescent="0.25">
      <c r="A851" t="str">
        <f t="shared" si="23"/>
        <v>28</v>
      </c>
      <c r="B851" t="str">
        <f>"28.0503"</f>
        <v>28.0503</v>
      </c>
      <c r="E851" t="s">
        <v>949</v>
      </c>
    </row>
    <row r="852" spans="1:5" x14ac:dyDescent="0.25">
      <c r="A852" t="str">
        <f t="shared" si="23"/>
        <v>28</v>
      </c>
      <c r="B852" t="str">
        <f>"28.0504"</f>
        <v>28.0504</v>
      </c>
      <c r="E852" t="s">
        <v>950</v>
      </c>
    </row>
    <row r="853" spans="1:5" x14ac:dyDescent="0.25">
      <c r="A853" t="str">
        <f t="shared" si="23"/>
        <v>28</v>
      </c>
      <c r="B853" t="str">
        <f>"28.0505"</f>
        <v>28.0505</v>
      </c>
      <c r="E853" t="s">
        <v>951</v>
      </c>
    </row>
    <row r="854" spans="1:5" x14ac:dyDescent="0.25">
      <c r="A854" t="str">
        <f t="shared" si="23"/>
        <v>28</v>
      </c>
      <c r="B854" t="str">
        <f>"28.0506"</f>
        <v>28.0506</v>
      </c>
      <c r="E854" t="s">
        <v>952</v>
      </c>
    </row>
    <row r="855" spans="1:5" x14ac:dyDescent="0.25">
      <c r="A855" t="str">
        <f t="shared" si="23"/>
        <v>28</v>
      </c>
      <c r="B855" t="str">
        <f>"28.0599"</f>
        <v>28.0599</v>
      </c>
      <c r="E855" t="s">
        <v>953</v>
      </c>
    </row>
    <row r="856" spans="1:5" x14ac:dyDescent="0.25">
      <c r="A856" t="str">
        <f t="shared" si="23"/>
        <v>28</v>
      </c>
      <c r="B856" t="str">
        <f>"28.06"</f>
        <v>28.06</v>
      </c>
      <c r="D856" t="s">
        <v>954</v>
      </c>
    </row>
    <row r="857" spans="1:5" x14ac:dyDescent="0.25">
      <c r="A857" t="str">
        <f t="shared" si="23"/>
        <v>28</v>
      </c>
      <c r="B857" t="str">
        <f>"28.0601"</f>
        <v>28.0601</v>
      </c>
      <c r="E857" t="s">
        <v>955</v>
      </c>
    </row>
    <row r="858" spans="1:5" x14ac:dyDescent="0.25">
      <c r="A858" t="str">
        <f t="shared" si="23"/>
        <v>28</v>
      </c>
      <c r="B858" t="str">
        <f>"28.0602"</f>
        <v>28.0602</v>
      </c>
      <c r="E858" t="s">
        <v>956</v>
      </c>
    </row>
    <row r="859" spans="1:5" x14ac:dyDescent="0.25">
      <c r="A859" t="str">
        <f t="shared" si="23"/>
        <v>28</v>
      </c>
      <c r="B859" t="str">
        <f>"28.0603"</f>
        <v>28.0603</v>
      </c>
      <c r="E859" t="s">
        <v>957</v>
      </c>
    </row>
    <row r="860" spans="1:5" x14ac:dyDescent="0.25">
      <c r="A860" t="str">
        <f t="shared" si="23"/>
        <v>28</v>
      </c>
      <c r="B860" t="str">
        <f>"28.0604"</f>
        <v>28.0604</v>
      </c>
      <c r="E860" t="s">
        <v>958</v>
      </c>
    </row>
    <row r="861" spans="1:5" x14ac:dyDescent="0.25">
      <c r="A861" t="str">
        <f t="shared" si="23"/>
        <v>28</v>
      </c>
      <c r="B861" t="str">
        <f>"28.0605"</f>
        <v>28.0605</v>
      </c>
      <c r="E861" t="s">
        <v>959</v>
      </c>
    </row>
    <row r="862" spans="1:5" x14ac:dyDescent="0.25">
      <c r="A862" t="str">
        <f t="shared" si="23"/>
        <v>28</v>
      </c>
      <c r="B862" t="str">
        <f>"28.0699"</f>
        <v>28.0699</v>
      </c>
      <c r="E862" t="s">
        <v>960</v>
      </c>
    </row>
    <row r="863" spans="1:5" x14ac:dyDescent="0.25">
      <c r="A863" t="str">
        <f t="shared" si="23"/>
        <v>28</v>
      </c>
      <c r="B863" t="str">
        <f>"28.07"</f>
        <v>28.07</v>
      </c>
      <c r="D863" t="s">
        <v>961</v>
      </c>
    </row>
    <row r="864" spans="1:5" x14ac:dyDescent="0.25">
      <c r="A864" t="str">
        <f t="shared" si="23"/>
        <v>28</v>
      </c>
      <c r="B864" t="str">
        <f>"28.0701"</f>
        <v>28.0701</v>
      </c>
      <c r="E864" t="s">
        <v>962</v>
      </c>
    </row>
    <row r="865" spans="1:5" x14ac:dyDescent="0.25">
      <c r="A865" t="str">
        <f t="shared" si="23"/>
        <v>28</v>
      </c>
      <c r="B865" t="str">
        <f>"28.0702"</f>
        <v>28.0702</v>
      </c>
      <c r="E865" t="s">
        <v>963</v>
      </c>
    </row>
    <row r="866" spans="1:5" x14ac:dyDescent="0.25">
      <c r="A866" t="str">
        <f t="shared" si="23"/>
        <v>28</v>
      </c>
      <c r="B866" t="str">
        <f>"28.0703"</f>
        <v>28.0703</v>
      </c>
      <c r="E866" t="s">
        <v>964</v>
      </c>
    </row>
    <row r="867" spans="1:5" x14ac:dyDescent="0.25">
      <c r="A867" t="str">
        <f t="shared" si="23"/>
        <v>28</v>
      </c>
      <c r="B867" t="str">
        <f>"28.0799"</f>
        <v>28.0799</v>
      </c>
      <c r="E867" t="s">
        <v>965</v>
      </c>
    </row>
    <row r="868" spans="1:5" x14ac:dyDescent="0.25">
      <c r="A868" t="str">
        <f t="shared" si="23"/>
        <v>28</v>
      </c>
      <c r="B868" t="str">
        <f>"28.99"</f>
        <v>28.99</v>
      </c>
      <c r="D868" t="s">
        <v>966</v>
      </c>
    </row>
    <row r="869" spans="1:5" x14ac:dyDescent="0.25">
      <c r="A869" t="str">
        <f>"29"</f>
        <v>29</v>
      </c>
      <c r="B869" t="str">
        <f>"29"</f>
        <v>29</v>
      </c>
      <c r="C869" t="s">
        <v>967</v>
      </c>
    </row>
    <row r="870" spans="1:5" x14ac:dyDescent="0.25">
      <c r="A870" t="str">
        <f t="shared" ref="A870:A899" si="24">"29"</f>
        <v>29</v>
      </c>
      <c r="B870" t="str">
        <f>"29.02"</f>
        <v>29.02</v>
      </c>
      <c r="D870" t="s">
        <v>968</v>
      </c>
    </row>
    <row r="871" spans="1:5" x14ac:dyDescent="0.25">
      <c r="A871" t="str">
        <f t="shared" si="24"/>
        <v>29</v>
      </c>
      <c r="B871" t="str">
        <f>"29.0201"</f>
        <v>29.0201</v>
      </c>
      <c r="E871" t="s">
        <v>969</v>
      </c>
    </row>
    <row r="872" spans="1:5" x14ac:dyDescent="0.25">
      <c r="A872" t="str">
        <f t="shared" si="24"/>
        <v>29</v>
      </c>
      <c r="B872" t="str">
        <f>"29.0202"</f>
        <v>29.0202</v>
      </c>
      <c r="E872" t="s">
        <v>970</v>
      </c>
    </row>
    <row r="873" spans="1:5" x14ac:dyDescent="0.25">
      <c r="A873" t="str">
        <f t="shared" si="24"/>
        <v>29</v>
      </c>
      <c r="B873" t="str">
        <f>"29.0203"</f>
        <v>29.0203</v>
      </c>
      <c r="E873" t="s">
        <v>971</v>
      </c>
    </row>
    <row r="874" spans="1:5" x14ac:dyDescent="0.25">
      <c r="A874" t="str">
        <f t="shared" si="24"/>
        <v>29</v>
      </c>
      <c r="B874" t="str">
        <f>"29.0204"</f>
        <v>29.0204</v>
      </c>
      <c r="E874" t="s">
        <v>972</v>
      </c>
    </row>
    <row r="875" spans="1:5" x14ac:dyDescent="0.25">
      <c r="A875" t="str">
        <f t="shared" si="24"/>
        <v>29</v>
      </c>
      <c r="B875" t="str">
        <f>"29.0205"</f>
        <v>29.0205</v>
      </c>
      <c r="E875" t="s">
        <v>973</v>
      </c>
    </row>
    <row r="876" spans="1:5" x14ac:dyDescent="0.25">
      <c r="A876" t="str">
        <f t="shared" si="24"/>
        <v>29</v>
      </c>
      <c r="B876" t="str">
        <f>"29.0206"</f>
        <v>29.0206</v>
      </c>
      <c r="E876" t="s">
        <v>974</v>
      </c>
    </row>
    <row r="877" spans="1:5" x14ac:dyDescent="0.25">
      <c r="A877" t="str">
        <f t="shared" si="24"/>
        <v>29</v>
      </c>
      <c r="B877" t="str">
        <f>"29.0207"</f>
        <v>29.0207</v>
      </c>
      <c r="E877" t="s">
        <v>975</v>
      </c>
    </row>
    <row r="878" spans="1:5" x14ac:dyDescent="0.25">
      <c r="A878" t="str">
        <f t="shared" si="24"/>
        <v>29</v>
      </c>
      <c r="B878" t="str">
        <f>"29.0299"</f>
        <v>29.0299</v>
      </c>
      <c r="E878" t="s">
        <v>976</v>
      </c>
    </row>
    <row r="879" spans="1:5" x14ac:dyDescent="0.25">
      <c r="A879" t="str">
        <f t="shared" si="24"/>
        <v>29</v>
      </c>
      <c r="B879" t="str">
        <f>"29.03"</f>
        <v>29.03</v>
      </c>
      <c r="D879" t="s">
        <v>977</v>
      </c>
    </row>
    <row r="880" spans="1:5" x14ac:dyDescent="0.25">
      <c r="A880" t="str">
        <f t="shared" si="24"/>
        <v>29</v>
      </c>
      <c r="B880" t="str">
        <f>"29.0301"</f>
        <v>29.0301</v>
      </c>
      <c r="E880" t="s">
        <v>978</v>
      </c>
    </row>
    <row r="881" spans="1:5" x14ac:dyDescent="0.25">
      <c r="A881" t="str">
        <f t="shared" si="24"/>
        <v>29</v>
      </c>
      <c r="B881" t="str">
        <f>"29.0302"</f>
        <v>29.0302</v>
      </c>
      <c r="E881" t="s">
        <v>979</v>
      </c>
    </row>
    <row r="882" spans="1:5" x14ac:dyDescent="0.25">
      <c r="A882" t="str">
        <f t="shared" si="24"/>
        <v>29</v>
      </c>
      <c r="B882" t="str">
        <f>"29.0303"</f>
        <v>29.0303</v>
      </c>
      <c r="E882" t="s">
        <v>980</v>
      </c>
    </row>
    <row r="883" spans="1:5" x14ac:dyDescent="0.25">
      <c r="A883" t="str">
        <f t="shared" si="24"/>
        <v>29</v>
      </c>
      <c r="B883" t="str">
        <f>"29.0304"</f>
        <v>29.0304</v>
      </c>
      <c r="E883" t="s">
        <v>981</v>
      </c>
    </row>
    <row r="884" spans="1:5" x14ac:dyDescent="0.25">
      <c r="A884" t="str">
        <f t="shared" si="24"/>
        <v>29</v>
      </c>
      <c r="B884" t="str">
        <f>"29.0305"</f>
        <v>29.0305</v>
      </c>
      <c r="E884" t="s">
        <v>982</v>
      </c>
    </row>
    <row r="885" spans="1:5" x14ac:dyDescent="0.25">
      <c r="A885" t="str">
        <f t="shared" si="24"/>
        <v>29</v>
      </c>
      <c r="B885" t="str">
        <f>"29.0306"</f>
        <v>29.0306</v>
      </c>
      <c r="E885" t="s">
        <v>983</v>
      </c>
    </row>
    <row r="886" spans="1:5" x14ac:dyDescent="0.25">
      <c r="A886" t="str">
        <f t="shared" si="24"/>
        <v>29</v>
      </c>
      <c r="B886" t="str">
        <f>"29.0307"</f>
        <v>29.0307</v>
      </c>
      <c r="E886" t="s">
        <v>984</v>
      </c>
    </row>
    <row r="887" spans="1:5" x14ac:dyDescent="0.25">
      <c r="A887" t="str">
        <f t="shared" si="24"/>
        <v>29</v>
      </c>
      <c r="B887" t="str">
        <f>"29.0399"</f>
        <v>29.0399</v>
      </c>
      <c r="E887" t="s">
        <v>985</v>
      </c>
    </row>
    <row r="888" spans="1:5" x14ac:dyDescent="0.25">
      <c r="A888" t="str">
        <f t="shared" si="24"/>
        <v>29</v>
      </c>
      <c r="B888" t="str">
        <f>"29.04"</f>
        <v>29.04</v>
      </c>
      <c r="D888" t="s">
        <v>986</v>
      </c>
    </row>
    <row r="889" spans="1:5" x14ac:dyDescent="0.25">
      <c r="A889" t="str">
        <f t="shared" si="24"/>
        <v>29</v>
      </c>
      <c r="B889" t="str">
        <f>"29.0401"</f>
        <v>29.0401</v>
      </c>
      <c r="E889" t="s">
        <v>987</v>
      </c>
    </row>
    <row r="890" spans="1:5" x14ac:dyDescent="0.25">
      <c r="A890" t="str">
        <f t="shared" si="24"/>
        <v>29</v>
      </c>
      <c r="B890" t="str">
        <f>"29.0402"</f>
        <v>29.0402</v>
      </c>
      <c r="E890" t="s">
        <v>988</v>
      </c>
    </row>
    <row r="891" spans="1:5" x14ac:dyDescent="0.25">
      <c r="A891" t="str">
        <f t="shared" si="24"/>
        <v>29</v>
      </c>
      <c r="B891" t="str">
        <f>"29.0403"</f>
        <v>29.0403</v>
      </c>
      <c r="E891" t="s">
        <v>989</v>
      </c>
    </row>
    <row r="892" spans="1:5" x14ac:dyDescent="0.25">
      <c r="A892" t="str">
        <f t="shared" si="24"/>
        <v>29</v>
      </c>
      <c r="B892" t="str">
        <f>"29.0404"</f>
        <v>29.0404</v>
      </c>
      <c r="E892" t="s">
        <v>990</v>
      </c>
    </row>
    <row r="893" spans="1:5" x14ac:dyDescent="0.25">
      <c r="A893" t="str">
        <f t="shared" si="24"/>
        <v>29</v>
      </c>
      <c r="B893" t="str">
        <f>"29.0405"</f>
        <v>29.0405</v>
      </c>
      <c r="E893" t="s">
        <v>991</v>
      </c>
    </row>
    <row r="894" spans="1:5" x14ac:dyDescent="0.25">
      <c r="A894" t="str">
        <f t="shared" si="24"/>
        <v>29</v>
      </c>
      <c r="B894" t="str">
        <f>"29.0406"</f>
        <v>29.0406</v>
      </c>
      <c r="E894" t="s">
        <v>992</v>
      </c>
    </row>
    <row r="895" spans="1:5" x14ac:dyDescent="0.25">
      <c r="A895" t="str">
        <f t="shared" si="24"/>
        <v>29</v>
      </c>
      <c r="B895" t="str">
        <f>"29.0407"</f>
        <v>29.0407</v>
      </c>
      <c r="E895" t="s">
        <v>993</v>
      </c>
    </row>
    <row r="896" spans="1:5" x14ac:dyDescent="0.25">
      <c r="A896" t="str">
        <f t="shared" si="24"/>
        <v>29</v>
      </c>
      <c r="B896" t="str">
        <f>"29.0408"</f>
        <v>29.0408</v>
      </c>
      <c r="E896" t="s">
        <v>994</v>
      </c>
    </row>
    <row r="897" spans="1:5" x14ac:dyDescent="0.25">
      <c r="A897" t="str">
        <f t="shared" si="24"/>
        <v>29</v>
      </c>
      <c r="B897" t="str">
        <f>"29.0409"</f>
        <v>29.0409</v>
      </c>
      <c r="E897" t="s">
        <v>995</v>
      </c>
    </row>
    <row r="898" spans="1:5" x14ac:dyDescent="0.25">
      <c r="A898" t="str">
        <f t="shared" si="24"/>
        <v>29</v>
      </c>
      <c r="B898" t="str">
        <f>"29.0499"</f>
        <v>29.0499</v>
      </c>
      <c r="E898" t="s">
        <v>996</v>
      </c>
    </row>
    <row r="899" spans="1:5" x14ac:dyDescent="0.25">
      <c r="A899" t="str">
        <f t="shared" si="24"/>
        <v>29</v>
      </c>
      <c r="B899" t="str">
        <f>"29.99"</f>
        <v>29.99</v>
      </c>
      <c r="D899" t="s">
        <v>997</v>
      </c>
    </row>
    <row r="900" spans="1:5" x14ac:dyDescent="0.25">
      <c r="A900" t="str">
        <f>"30"</f>
        <v>30</v>
      </c>
      <c r="B900" t="str">
        <f>"30"</f>
        <v>30</v>
      </c>
      <c r="C900" t="s">
        <v>998</v>
      </c>
    </row>
    <row r="901" spans="1:5" x14ac:dyDescent="0.25">
      <c r="A901" t="str">
        <f t="shared" ref="A901:A934" si="25">"30"</f>
        <v>30</v>
      </c>
      <c r="B901" t="str">
        <f>"30.00"</f>
        <v>30.00</v>
      </c>
      <c r="D901" t="s">
        <v>999</v>
      </c>
    </row>
    <row r="902" spans="1:5" x14ac:dyDescent="0.25">
      <c r="A902" t="str">
        <f t="shared" si="25"/>
        <v>30</v>
      </c>
      <c r="B902" t="str">
        <f>"30.01"</f>
        <v>30.01</v>
      </c>
      <c r="D902" t="s">
        <v>1000</v>
      </c>
    </row>
    <row r="903" spans="1:5" x14ac:dyDescent="0.25">
      <c r="A903" t="str">
        <f t="shared" si="25"/>
        <v>30</v>
      </c>
      <c r="B903" t="str">
        <f>"30.05"</f>
        <v>30.05</v>
      </c>
      <c r="D903" t="s">
        <v>1001</v>
      </c>
    </row>
    <row r="904" spans="1:5" x14ac:dyDescent="0.25">
      <c r="A904" t="str">
        <f t="shared" si="25"/>
        <v>30</v>
      </c>
      <c r="B904" t="str">
        <f>"30.06"</f>
        <v>30.06</v>
      </c>
      <c r="D904" t="s">
        <v>1002</v>
      </c>
    </row>
    <row r="905" spans="1:5" x14ac:dyDescent="0.25">
      <c r="A905" t="str">
        <f t="shared" si="25"/>
        <v>30</v>
      </c>
      <c r="B905" t="str">
        <f>"30.08"</f>
        <v>30.08</v>
      </c>
      <c r="D905" t="s">
        <v>1003</v>
      </c>
    </row>
    <row r="906" spans="1:5" x14ac:dyDescent="0.25">
      <c r="A906" t="str">
        <f t="shared" si="25"/>
        <v>30</v>
      </c>
      <c r="B906" t="str">
        <f>"30.10"</f>
        <v>30.10</v>
      </c>
      <c r="D906" t="s">
        <v>1004</v>
      </c>
    </row>
    <row r="907" spans="1:5" x14ac:dyDescent="0.25">
      <c r="A907" t="str">
        <f t="shared" si="25"/>
        <v>30</v>
      </c>
      <c r="B907" t="str">
        <f>"30.11"</f>
        <v>30.11</v>
      </c>
      <c r="D907" t="s">
        <v>1005</v>
      </c>
    </row>
    <row r="908" spans="1:5" x14ac:dyDescent="0.25">
      <c r="A908" t="str">
        <f t="shared" si="25"/>
        <v>30</v>
      </c>
      <c r="B908" t="str">
        <f>"30.12"</f>
        <v>30.12</v>
      </c>
      <c r="D908" t="s">
        <v>1006</v>
      </c>
    </row>
    <row r="909" spans="1:5" x14ac:dyDescent="0.25">
      <c r="A909" t="str">
        <f t="shared" si="25"/>
        <v>30</v>
      </c>
      <c r="B909" t="str">
        <f>"30.1201"</f>
        <v>30.1201</v>
      </c>
      <c r="E909" t="s">
        <v>1006</v>
      </c>
    </row>
    <row r="910" spans="1:5" x14ac:dyDescent="0.25">
      <c r="A910" t="str">
        <f t="shared" si="25"/>
        <v>30</v>
      </c>
      <c r="B910" t="str">
        <f>"30.1202"</f>
        <v>30.1202</v>
      </c>
      <c r="E910" t="s">
        <v>1007</v>
      </c>
    </row>
    <row r="911" spans="1:5" x14ac:dyDescent="0.25">
      <c r="A911" t="str">
        <f t="shared" si="25"/>
        <v>30</v>
      </c>
      <c r="B911" t="str">
        <f>"30.1299"</f>
        <v>30.1299</v>
      </c>
      <c r="E911" t="s">
        <v>1008</v>
      </c>
    </row>
    <row r="912" spans="1:5" x14ac:dyDescent="0.25">
      <c r="A912" t="str">
        <f t="shared" si="25"/>
        <v>30</v>
      </c>
      <c r="B912" t="str">
        <f>"30.13"</f>
        <v>30.13</v>
      </c>
      <c r="D912" t="s">
        <v>1009</v>
      </c>
    </row>
    <row r="913" spans="1:5" x14ac:dyDescent="0.25">
      <c r="A913" t="str">
        <f t="shared" si="25"/>
        <v>30</v>
      </c>
      <c r="B913" t="str">
        <f>"30.14"</f>
        <v>30.14</v>
      </c>
      <c r="D913" t="s">
        <v>1010</v>
      </c>
    </row>
    <row r="914" spans="1:5" x14ac:dyDescent="0.25">
      <c r="A914" t="str">
        <f t="shared" si="25"/>
        <v>30</v>
      </c>
      <c r="B914" t="str">
        <f>"30.15"</f>
        <v>30.15</v>
      </c>
      <c r="D914" t="s">
        <v>1011</v>
      </c>
    </row>
    <row r="915" spans="1:5" x14ac:dyDescent="0.25">
      <c r="A915" t="str">
        <f t="shared" si="25"/>
        <v>30</v>
      </c>
      <c r="B915" t="str">
        <f>"30.16"</f>
        <v>30.16</v>
      </c>
      <c r="D915" t="s">
        <v>1012</v>
      </c>
    </row>
    <row r="916" spans="1:5" x14ac:dyDescent="0.25">
      <c r="A916" t="str">
        <f t="shared" si="25"/>
        <v>30</v>
      </c>
      <c r="B916" t="str">
        <f>"30.17"</f>
        <v>30.17</v>
      </c>
      <c r="D916" t="s">
        <v>1013</v>
      </c>
    </row>
    <row r="917" spans="1:5" x14ac:dyDescent="0.25">
      <c r="A917" t="str">
        <f t="shared" si="25"/>
        <v>30</v>
      </c>
      <c r="B917" t="str">
        <f>"30.18"</f>
        <v>30.18</v>
      </c>
      <c r="D917" t="s">
        <v>1014</v>
      </c>
    </row>
    <row r="918" spans="1:5" x14ac:dyDescent="0.25">
      <c r="A918" t="str">
        <f t="shared" si="25"/>
        <v>30</v>
      </c>
      <c r="B918" t="str">
        <f>"30.19"</f>
        <v>30.19</v>
      </c>
      <c r="D918" t="s">
        <v>1015</v>
      </c>
    </row>
    <row r="919" spans="1:5" x14ac:dyDescent="0.25">
      <c r="A919" t="str">
        <f t="shared" si="25"/>
        <v>30</v>
      </c>
      <c r="B919" t="str">
        <f>"30.20"</f>
        <v>30.20</v>
      </c>
      <c r="D919" t="s">
        <v>1016</v>
      </c>
    </row>
    <row r="920" spans="1:5" x14ac:dyDescent="0.25">
      <c r="A920" t="str">
        <f t="shared" si="25"/>
        <v>30</v>
      </c>
      <c r="B920" t="str">
        <f>"30.21"</f>
        <v>30.21</v>
      </c>
      <c r="D920" t="s">
        <v>1017</v>
      </c>
    </row>
    <row r="921" spans="1:5" x14ac:dyDescent="0.25">
      <c r="A921" t="str">
        <f t="shared" si="25"/>
        <v>30</v>
      </c>
      <c r="B921" t="str">
        <f>"30.22"</f>
        <v>30.22</v>
      </c>
      <c r="D921" t="s">
        <v>1018</v>
      </c>
    </row>
    <row r="922" spans="1:5" x14ac:dyDescent="0.25">
      <c r="A922" t="str">
        <f t="shared" si="25"/>
        <v>30</v>
      </c>
      <c r="B922" t="str">
        <f>"30.2201"</f>
        <v>30.2201</v>
      </c>
      <c r="E922" t="s">
        <v>1019</v>
      </c>
    </row>
    <row r="923" spans="1:5" x14ac:dyDescent="0.25">
      <c r="A923" t="str">
        <f t="shared" si="25"/>
        <v>30</v>
      </c>
      <c r="B923" t="str">
        <f>"30.2202"</f>
        <v>30.2202</v>
      </c>
      <c r="E923" t="s">
        <v>1020</v>
      </c>
    </row>
    <row r="924" spans="1:5" x14ac:dyDescent="0.25">
      <c r="A924" t="str">
        <f t="shared" si="25"/>
        <v>30</v>
      </c>
      <c r="B924" t="str">
        <f>"30.23"</f>
        <v>30.23</v>
      </c>
      <c r="D924" t="s">
        <v>1021</v>
      </c>
    </row>
    <row r="925" spans="1:5" x14ac:dyDescent="0.25">
      <c r="A925" t="str">
        <f t="shared" si="25"/>
        <v>30</v>
      </c>
      <c r="B925" t="str">
        <f>"30.25"</f>
        <v>30.25</v>
      </c>
      <c r="D925" t="s">
        <v>1022</v>
      </c>
    </row>
    <row r="926" spans="1:5" x14ac:dyDescent="0.25">
      <c r="A926" t="str">
        <f t="shared" si="25"/>
        <v>30</v>
      </c>
      <c r="B926" t="str">
        <f>"30.26"</f>
        <v>30.26</v>
      </c>
      <c r="D926" t="s">
        <v>1023</v>
      </c>
    </row>
    <row r="927" spans="1:5" x14ac:dyDescent="0.25">
      <c r="A927" t="str">
        <f t="shared" si="25"/>
        <v>30</v>
      </c>
      <c r="B927" t="str">
        <f>"30.27"</f>
        <v>30.27</v>
      </c>
      <c r="D927" t="s">
        <v>1024</v>
      </c>
    </row>
    <row r="928" spans="1:5" x14ac:dyDescent="0.25">
      <c r="A928" t="str">
        <f t="shared" si="25"/>
        <v>30</v>
      </c>
      <c r="B928" t="str">
        <f>"30.28"</f>
        <v>30.28</v>
      </c>
      <c r="D928" t="s">
        <v>1025</v>
      </c>
    </row>
    <row r="929" spans="1:5" x14ac:dyDescent="0.25">
      <c r="A929" t="str">
        <f t="shared" si="25"/>
        <v>30</v>
      </c>
      <c r="B929" t="str">
        <f>"30.29"</f>
        <v>30.29</v>
      </c>
      <c r="D929" t="s">
        <v>1026</v>
      </c>
    </row>
    <row r="930" spans="1:5" x14ac:dyDescent="0.25">
      <c r="A930" t="str">
        <f t="shared" si="25"/>
        <v>30</v>
      </c>
      <c r="B930" t="str">
        <f>"30.30"</f>
        <v>30.30</v>
      </c>
      <c r="D930" t="s">
        <v>1027</v>
      </c>
    </row>
    <row r="931" spans="1:5" x14ac:dyDescent="0.25">
      <c r="A931" t="str">
        <f t="shared" si="25"/>
        <v>30</v>
      </c>
      <c r="B931" t="str">
        <f>"30.31"</f>
        <v>30.31</v>
      </c>
      <c r="D931" t="s">
        <v>1028</v>
      </c>
    </row>
    <row r="932" spans="1:5" x14ac:dyDescent="0.25">
      <c r="A932" t="str">
        <f t="shared" si="25"/>
        <v>30</v>
      </c>
      <c r="B932" t="str">
        <f>"30.32"</f>
        <v>30.32</v>
      </c>
      <c r="D932" t="s">
        <v>1029</v>
      </c>
    </row>
    <row r="933" spans="1:5" x14ac:dyDescent="0.25">
      <c r="A933" t="str">
        <f t="shared" si="25"/>
        <v>30</v>
      </c>
      <c r="B933" t="str">
        <f>"30.33"</f>
        <v>30.33</v>
      </c>
      <c r="D933" t="s">
        <v>1030</v>
      </c>
    </row>
    <row r="934" spans="1:5" x14ac:dyDescent="0.25">
      <c r="A934" t="str">
        <f t="shared" si="25"/>
        <v>30</v>
      </c>
      <c r="B934" t="str">
        <f>"30.99"</f>
        <v>30.99</v>
      </c>
      <c r="D934" t="s">
        <v>1031</v>
      </c>
    </row>
    <row r="935" spans="1:5" x14ac:dyDescent="0.25">
      <c r="A935" t="str">
        <f>"31"</f>
        <v>31</v>
      </c>
      <c r="B935" t="str">
        <f>"31"</f>
        <v>31</v>
      </c>
      <c r="C935" t="s">
        <v>1032</v>
      </c>
    </row>
    <row r="936" spans="1:5" x14ac:dyDescent="0.25">
      <c r="A936" t="str">
        <f t="shared" ref="A936:A949" si="26">"31"</f>
        <v>31</v>
      </c>
      <c r="B936" t="str">
        <f>"31.01"</f>
        <v>31.01</v>
      </c>
      <c r="D936" t="s">
        <v>1033</v>
      </c>
    </row>
    <row r="937" spans="1:5" x14ac:dyDescent="0.25">
      <c r="A937" t="str">
        <f t="shared" si="26"/>
        <v>31</v>
      </c>
      <c r="B937" t="str">
        <f>"31.03"</f>
        <v>31.03</v>
      </c>
      <c r="D937" t="s">
        <v>1034</v>
      </c>
    </row>
    <row r="938" spans="1:5" x14ac:dyDescent="0.25">
      <c r="A938" t="str">
        <f t="shared" si="26"/>
        <v>31</v>
      </c>
      <c r="B938" t="str">
        <f>"31.0301"</f>
        <v>31.0301</v>
      </c>
      <c r="E938" t="s">
        <v>1035</v>
      </c>
    </row>
    <row r="939" spans="1:5" x14ac:dyDescent="0.25">
      <c r="A939" t="str">
        <f t="shared" si="26"/>
        <v>31</v>
      </c>
      <c r="B939" t="str">
        <f>"31.0302"</f>
        <v>31.0302</v>
      </c>
      <c r="E939" t="s">
        <v>1036</v>
      </c>
    </row>
    <row r="940" spans="1:5" x14ac:dyDescent="0.25">
      <c r="A940" t="str">
        <f t="shared" si="26"/>
        <v>31</v>
      </c>
      <c r="B940" t="str">
        <f>"31.0399"</f>
        <v>31.0399</v>
      </c>
      <c r="E940" t="s">
        <v>1037</v>
      </c>
    </row>
    <row r="941" spans="1:5" x14ac:dyDescent="0.25">
      <c r="A941" t="str">
        <f t="shared" si="26"/>
        <v>31</v>
      </c>
      <c r="B941" t="str">
        <f>"31.05"</f>
        <v>31.05</v>
      </c>
      <c r="D941" t="s">
        <v>1038</v>
      </c>
    </row>
    <row r="942" spans="1:5" x14ac:dyDescent="0.25">
      <c r="A942" t="str">
        <f t="shared" si="26"/>
        <v>31</v>
      </c>
      <c r="B942" t="str">
        <f>"31.0501"</f>
        <v>31.0501</v>
      </c>
      <c r="E942" t="s">
        <v>1039</v>
      </c>
    </row>
    <row r="943" spans="1:5" x14ac:dyDescent="0.25">
      <c r="A943" t="str">
        <f t="shared" si="26"/>
        <v>31</v>
      </c>
      <c r="B943" t="str">
        <f>"31.0504"</f>
        <v>31.0504</v>
      </c>
      <c r="E943" t="s">
        <v>1040</v>
      </c>
    </row>
    <row r="944" spans="1:5" x14ac:dyDescent="0.25">
      <c r="A944" t="str">
        <f t="shared" si="26"/>
        <v>31</v>
      </c>
      <c r="B944" t="str">
        <f>"31.0505"</f>
        <v>31.0505</v>
      </c>
      <c r="E944" t="s">
        <v>1041</v>
      </c>
    </row>
    <row r="945" spans="1:5" x14ac:dyDescent="0.25">
      <c r="A945" t="str">
        <f t="shared" si="26"/>
        <v>31</v>
      </c>
      <c r="B945" t="str">
        <f>"31.0507"</f>
        <v>31.0507</v>
      </c>
      <c r="E945" t="s">
        <v>1042</v>
      </c>
    </row>
    <row r="946" spans="1:5" x14ac:dyDescent="0.25">
      <c r="A946" t="str">
        <f t="shared" si="26"/>
        <v>31</v>
      </c>
      <c r="B946" t="str">
        <f>"31.0508"</f>
        <v>31.0508</v>
      </c>
      <c r="E946" t="s">
        <v>1043</v>
      </c>
    </row>
    <row r="947" spans="1:5" x14ac:dyDescent="0.25">
      <c r="A947" t="str">
        <f t="shared" si="26"/>
        <v>31</v>
      </c>
      <c r="B947" t="str">
        <f>"31.0599"</f>
        <v>31.0599</v>
      </c>
      <c r="E947" t="s">
        <v>1044</v>
      </c>
    </row>
    <row r="948" spans="1:5" x14ac:dyDescent="0.25">
      <c r="A948" t="str">
        <f t="shared" si="26"/>
        <v>31</v>
      </c>
      <c r="B948" t="str">
        <f>"31.06"</f>
        <v>31.06</v>
      </c>
      <c r="D948" t="s">
        <v>1045</v>
      </c>
    </row>
    <row r="949" spans="1:5" x14ac:dyDescent="0.25">
      <c r="A949" t="str">
        <f t="shared" si="26"/>
        <v>31</v>
      </c>
      <c r="B949" t="str">
        <f>"31.99"</f>
        <v>31.99</v>
      </c>
      <c r="D949" t="s">
        <v>1046</v>
      </c>
    </row>
    <row r="950" spans="1:5" x14ac:dyDescent="0.25">
      <c r="A950" t="str">
        <f>"32"</f>
        <v>32</v>
      </c>
      <c r="B950" t="str">
        <f>"32"</f>
        <v>32</v>
      </c>
      <c r="C950" t="s">
        <v>1047</v>
      </c>
    </row>
    <row r="951" spans="1:5" x14ac:dyDescent="0.25">
      <c r="A951" t="str">
        <f t="shared" ref="A951:A960" si="27">"32"</f>
        <v>32</v>
      </c>
      <c r="B951" t="str">
        <f>"32.01"</f>
        <v>32.01</v>
      </c>
      <c r="D951" t="s">
        <v>1048</v>
      </c>
    </row>
    <row r="952" spans="1:5" x14ac:dyDescent="0.25">
      <c r="A952" t="str">
        <f t="shared" si="27"/>
        <v>32</v>
      </c>
      <c r="B952" t="str">
        <f>"32.0101"</f>
        <v>32.0101</v>
      </c>
      <c r="E952" t="s">
        <v>1049</v>
      </c>
    </row>
    <row r="953" spans="1:5" x14ac:dyDescent="0.25">
      <c r="A953" t="str">
        <f t="shared" si="27"/>
        <v>32</v>
      </c>
      <c r="B953" t="str">
        <f>"32.0104"</f>
        <v>32.0104</v>
      </c>
      <c r="E953" t="s">
        <v>1050</v>
      </c>
    </row>
    <row r="954" spans="1:5" x14ac:dyDescent="0.25">
      <c r="A954" t="str">
        <f t="shared" si="27"/>
        <v>32</v>
      </c>
      <c r="B954" t="str">
        <f>"32.0105"</f>
        <v>32.0105</v>
      </c>
      <c r="E954" t="s">
        <v>1051</v>
      </c>
    </row>
    <row r="955" spans="1:5" x14ac:dyDescent="0.25">
      <c r="A955" t="str">
        <f t="shared" si="27"/>
        <v>32</v>
      </c>
      <c r="B955" t="str">
        <f>"32.0107"</f>
        <v>32.0107</v>
      </c>
      <c r="E955" t="s">
        <v>1052</v>
      </c>
    </row>
    <row r="956" spans="1:5" x14ac:dyDescent="0.25">
      <c r="A956" t="str">
        <f t="shared" si="27"/>
        <v>32</v>
      </c>
      <c r="B956" t="str">
        <f>"32.0108"</f>
        <v>32.0108</v>
      </c>
      <c r="E956" t="s">
        <v>1053</v>
      </c>
    </row>
    <row r="957" spans="1:5" x14ac:dyDescent="0.25">
      <c r="A957" t="str">
        <f t="shared" si="27"/>
        <v>32</v>
      </c>
      <c r="B957" t="str">
        <f>"32.0109"</f>
        <v>32.0109</v>
      </c>
      <c r="E957" t="s">
        <v>1054</v>
      </c>
    </row>
    <row r="958" spans="1:5" x14ac:dyDescent="0.25">
      <c r="A958" t="str">
        <f t="shared" si="27"/>
        <v>32</v>
      </c>
      <c r="B958" t="str">
        <f>"32.0110"</f>
        <v>32.0110</v>
      </c>
      <c r="E958" t="s">
        <v>1055</v>
      </c>
    </row>
    <row r="959" spans="1:5" x14ac:dyDescent="0.25">
      <c r="A959" t="str">
        <f t="shared" si="27"/>
        <v>32</v>
      </c>
      <c r="B959" t="str">
        <f>"32.0111"</f>
        <v>32.0111</v>
      </c>
      <c r="E959" t="s">
        <v>1056</v>
      </c>
    </row>
    <row r="960" spans="1:5" x14ac:dyDescent="0.25">
      <c r="A960" t="str">
        <f t="shared" si="27"/>
        <v>32</v>
      </c>
      <c r="B960" t="str">
        <f>"32.0199"</f>
        <v>32.0199</v>
      </c>
      <c r="E960" t="s">
        <v>1057</v>
      </c>
    </row>
    <row r="961" spans="1:5" x14ac:dyDescent="0.25">
      <c r="A961" t="str">
        <f>"33"</f>
        <v>33</v>
      </c>
      <c r="B961" t="str">
        <f>"33"</f>
        <v>33</v>
      </c>
      <c r="C961" t="s">
        <v>1058</v>
      </c>
    </row>
    <row r="962" spans="1:5" x14ac:dyDescent="0.25">
      <c r="A962" t="str">
        <f t="shared" ref="A962:A968" si="28">"33"</f>
        <v>33</v>
      </c>
      <c r="B962" t="str">
        <f>"33.01"</f>
        <v>33.01</v>
      </c>
      <c r="D962" t="s">
        <v>1059</v>
      </c>
    </row>
    <row r="963" spans="1:5" x14ac:dyDescent="0.25">
      <c r="A963" t="str">
        <f t="shared" si="28"/>
        <v>33</v>
      </c>
      <c r="B963" t="str">
        <f>"33.0101"</f>
        <v>33.0101</v>
      </c>
      <c r="E963" t="s">
        <v>1060</v>
      </c>
    </row>
    <row r="964" spans="1:5" x14ac:dyDescent="0.25">
      <c r="A964" t="str">
        <f t="shared" si="28"/>
        <v>33</v>
      </c>
      <c r="B964" t="str">
        <f>"33.0102"</f>
        <v>33.0102</v>
      </c>
      <c r="E964" t="s">
        <v>1061</v>
      </c>
    </row>
    <row r="965" spans="1:5" x14ac:dyDescent="0.25">
      <c r="A965" t="str">
        <f t="shared" si="28"/>
        <v>33</v>
      </c>
      <c r="B965" t="str">
        <f>"33.0103"</f>
        <v>33.0103</v>
      </c>
      <c r="E965" t="s">
        <v>1062</v>
      </c>
    </row>
    <row r="966" spans="1:5" x14ac:dyDescent="0.25">
      <c r="A966" t="str">
        <f t="shared" si="28"/>
        <v>33</v>
      </c>
      <c r="B966" t="str">
        <f>"33.0104"</f>
        <v>33.0104</v>
      </c>
      <c r="E966" t="s">
        <v>1063</v>
      </c>
    </row>
    <row r="967" spans="1:5" x14ac:dyDescent="0.25">
      <c r="A967" t="str">
        <f t="shared" si="28"/>
        <v>33</v>
      </c>
      <c r="B967" t="str">
        <f>"33.0105"</f>
        <v>33.0105</v>
      </c>
      <c r="E967" t="s">
        <v>1064</v>
      </c>
    </row>
    <row r="968" spans="1:5" x14ac:dyDescent="0.25">
      <c r="A968" t="str">
        <f t="shared" si="28"/>
        <v>33</v>
      </c>
      <c r="B968" t="str">
        <f>"33.0199"</f>
        <v>33.0199</v>
      </c>
      <c r="E968" t="s">
        <v>1065</v>
      </c>
    </row>
    <row r="969" spans="1:5" x14ac:dyDescent="0.25">
      <c r="A969" t="str">
        <f>"34"</f>
        <v>34</v>
      </c>
      <c r="B969" t="str">
        <f>"34"</f>
        <v>34</v>
      </c>
      <c r="C969" t="s">
        <v>1066</v>
      </c>
    </row>
    <row r="970" spans="1:5" x14ac:dyDescent="0.25">
      <c r="A970" t="str">
        <f>"34"</f>
        <v>34</v>
      </c>
      <c r="B970" t="str">
        <f>"34.01"</f>
        <v>34.01</v>
      </c>
      <c r="D970" t="s">
        <v>1067</v>
      </c>
    </row>
    <row r="971" spans="1:5" x14ac:dyDescent="0.25">
      <c r="A971" t="str">
        <f>"34"</f>
        <v>34</v>
      </c>
      <c r="B971" t="str">
        <f>"34.0102"</f>
        <v>34.0102</v>
      </c>
      <c r="E971" t="s">
        <v>1068</v>
      </c>
    </row>
    <row r="972" spans="1:5" x14ac:dyDescent="0.25">
      <c r="A972" t="str">
        <f>"34"</f>
        <v>34</v>
      </c>
      <c r="B972" t="str">
        <f>"34.0103"</f>
        <v>34.0103</v>
      </c>
      <c r="E972" t="s">
        <v>1069</v>
      </c>
    </row>
    <row r="973" spans="1:5" x14ac:dyDescent="0.25">
      <c r="A973" t="str">
        <f>"34"</f>
        <v>34</v>
      </c>
      <c r="B973" t="str">
        <f>"34.0104"</f>
        <v>34.0104</v>
      </c>
      <c r="E973" t="s">
        <v>1070</v>
      </c>
    </row>
    <row r="974" spans="1:5" x14ac:dyDescent="0.25">
      <c r="A974" t="str">
        <f>"34"</f>
        <v>34</v>
      </c>
      <c r="B974" t="str">
        <f>"34.0199"</f>
        <v>34.0199</v>
      </c>
      <c r="E974" t="s">
        <v>1071</v>
      </c>
    </row>
    <row r="975" spans="1:5" x14ac:dyDescent="0.25">
      <c r="A975" t="str">
        <f>"35"</f>
        <v>35</v>
      </c>
      <c r="B975" t="str">
        <f>"35"</f>
        <v>35</v>
      </c>
      <c r="C975" t="s">
        <v>1072</v>
      </c>
    </row>
    <row r="976" spans="1:5" x14ac:dyDescent="0.25">
      <c r="A976" t="str">
        <f>"35"</f>
        <v>35</v>
      </c>
      <c r="B976" t="str">
        <f>"35.01"</f>
        <v>35.01</v>
      </c>
      <c r="D976" t="s">
        <v>1073</v>
      </c>
    </row>
    <row r="977" spans="1:5" x14ac:dyDescent="0.25">
      <c r="A977" t="str">
        <f>"35"</f>
        <v>35</v>
      </c>
      <c r="B977" t="str">
        <f>"35.0101"</f>
        <v>35.0101</v>
      </c>
      <c r="E977" t="s">
        <v>1074</v>
      </c>
    </row>
    <row r="978" spans="1:5" x14ac:dyDescent="0.25">
      <c r="A978" t="str">
        <f>"35"</f>
        <v>35</v>
      </c>
      <c r="B978" t="str">
        <f>"35.0102"</f>
        <v>35.0102</v>
      </c>
      <c r="E978" t="s">
        <v>1075</v>
      </c>
    </row>
    <row r="979" spans="1:5" x14ac:dyDescent="0.25">
      <c r="A979" t="str">
        <f>"35"</f>
        <v>35</v>
      </c>
      <c r="B979" t="str">
        <f>"35.0103"</f>
        <v>35.0103</v>
      </c>
      <c r="E979" t="s">
        <v>1076</v>
      </c>
    </row>
    <row r="980" spans="1:5" x14ac:dyDescent="0.25">
      <c r="A980" t="str">
        <f>"35"</f>
        <v>35</v>
      </c>
      <c r="B980" t="str">
        <f>"35.0199"</f>
        <v>35.0199</v>
      </c>
      <c r="E980" t="s">
        <v>1077</v>
      </c>
    </row>
    <row r="981" spans="1:5" x14ac:dyDescent="0.25">
      <c r="A981" t="str">
        <f>"36"</f>
        <v>36</v>
      </c>
      <c r="B981" t="str">
        <f>"36"</f>
        <v>36</v>
      </c>
      <c r="C981" t="s">
        <v>1078</v>
      </c>
    </row>
    <row r="982" spans="1:5" x14ac:dyDescent="0.25">
      <c r="A982" t="str">
        <f t="shared" ref="A982:A1001" si="29">"36"</f>
        <v>36</v>
      </c>
      <c r="B982" t="str">
        <f>"36.01"</f>
        <v>36.01</v>
      </c>
      <c r="D982" t="s">
        <v>1079</v>
      </c>
    </row>
    <row r="983" spans="1:5" x14ac:dyDescent="0.25">
      <c r="A983" t="str">
        <f t="shared" si="29"/>
        <v>36</v>
      </c>
      <c r="B983" t="str">
        <f>"36.0101"</f>
        <v>36.0101</v>
      </c>
      <c r="E983" t="s">
        <v>1080</v>
      </c>
    </row>
    <row r="984" spans="1:5" x14ac:dyDescent="0.25">
      <c r="A984" t="str">
        <f t="shared" si="29"/>
        <v>36</v>
      </c>
      <c r="B984" t="str">
        <f>"36.0102"</f>
        <v>36.0102</v>
      </c>
      <c r="E984" t="s">
        <v>1081</v>
      </c>
    </row>
    <row r="985" spans="1:5" x14ac:dyDescent="0.25">
      <c r="A985" t="str">
        <f t="shared" si="29"/>
        <v>36</v>
      </c>
      <c r="B985" t="str">
        <f>"36.0103"</f>
        <v>36.0103</v>
      </c>
      <c r="E985" t="s">
        <v>1082</v>
      </c>
    </row>
    <row r="986" spans="1:5" x14ac:dyDescent="0.25">
      <c r="A986" t="str">
        <f t="shared" si="29"/>
        <v>36</v>
      </c>
      <c r="B986" t="str">
        <f>"36.0105"</f>
        <v>36.0105</v>
      </c>
      <c r="E986" t="s">
        <v>1083</v>
      </c>
    </row>
    <row r="987" spans="1:5" x14ac:dyDescent="0.25">
      <c r="A987" t="str">
        <f t="shared" si="29"/>
        <v>36</v>
      </c>
      <c r="B987" t="str">
        <f>"36.0106"</f>
        <v>36.0106</v>
      </c>
      <c r="E987" t="s">
        <v>1084</v>
      </c>
    </row>
    <row r="988" spans="1:5" x14ac:dyDescent="0.25">
      <c r="A988" t="str">
        <f t="shared" si="29"/>
        <v>36</v>
      </c>
      <c r="B988" t="str">
        <f>"36.0107"</f>
        <v>36.0107</v>
      </c>
      <c r="E988" t="s">
        <v>1085</v>
      </c>
    </row>
    <row r="989" spans="1:5" x14ac:dyDescent="0.25">
      <c r="A989" t="str">
        <f t="shared" si="29"/>
        <v>36</v>
      </c>
      <c r="B989" t="str">
        <f>"36.0108"</f>
        <v>36.0108</v>
      </c>
      <c r="E989" t="s">
        <v>1086</v>
      </c>
    </row>
    <row r="990" spans="1:5" x14ac:dyDescent="0.25">
      <c r="A990" t="str">
        <f t="shared" si="29"/>
        <v>36</v>
      </c>
      <c r="B990" t="str">
        <f>"36.0109"</f>
        <v>36.0109</v>
      </c>
      <c r="E990" t="s">
        <v>1087</v>
      </c>
    </row>
    <row r="991" spans="1:5" x14ac:dyDescent="0.25">
      <c r="A991" t="str">
        <f t="shared" si="29"/>
        <v>36</v>
      </c>
      <c r="B991" t="str">
        <f>"36.0110"</f>
        <v>36.0110</v>
      </c>
      <c r="E991" t="s">
        <v>1088</v>
      </c>
    </row>
    <row r="992" spans="1:5" x14ac:dyDescent="0.25">
      <c r="A992" t="str">
        <f t="shared" si="29"/>
        <v>36</v>
      </c>
      <c r="B992" t="str">
        <f>"36.0111"</f>
        <v>36.0111</v>
      </c>
      <c r="E992" t="s">
        <v>1089</v>
      </c>
    </row>
    <row r="993" spans="1:5" x14ac:dyDescent="0.25">
      <c r="A993" t="str">
        <f t="shared" si="29"/>
        <v>36</v>
      </c>
      <c r="B993" t="str">
        <f>"36.0112"</f>
        <v>36.0112</v>
      </c>
      <c r="E993" t="s">
        <v>1090</v>
      </c>
    </row>
    <row r="994" spans="1:5" x14ac:dyDescent="0.25">
      <c r="A994" t="str">
        <f t="shared" si="29"/>
        <v>36</v>
      </c>
      <c r="B994" t="str">
        <f>"36.0113"</f>
        <v>36.0113</v>
      </c>
      <c r="E994" t="s">
        <v>1091</v>
      </c>
    </row>
    <row r="995" spans="1:5" x14ac:dyDescent="0.25">
      <c r="A995" t="str">
        <f t="shared" si="29"/>
        <v>36</v>
      </c>
      <c r="B995" t="str">
        <f>"36.0114"</f>
        <v>36.0114</v>
      </c>
      <c r="E995" t="s">
        <v>1092</v>
      </c>
    </row>
    <row r="996" spans="1:5" x14ac:dyDescent="0.25">
      <c r="A996" t="str">
        <f t="shared" si="29"/>
        <v>36</v>
      </c>
      <c r="B996" t="str">
        <f>"36.0115"</f>
        <v>36.0115</v>
      </c>
      <c r="E996" t="s">
        <v>1093</v>
      </c>
    </row>
    <row r="997" spans="1:5" x14ac:dyDescent="0.25">
      <c r="A997" t="str">
        <f t="shared" si="29"/>
        <v>36</v>
      </c>
      <c r="B997" t="str">
        <f>"36.0116"</f>
        <v>36.0116</v>
      </c>
      <c r="E997" t="s">
        <v>1094</v>
      </c>
    </row>
    <row r="998" spans="1:5" x14ac:dyDescent="0.25">
      <c r="A998" t="str">
        <f t="shared" si="29"/>
        <v>36</v>
      </c>
      <c r="B998" t="str">
        <f>"36.0117"</f>
        <v>36.0117</v>
      </c>
      <c r="E998" t="s">
        <v>1095</v>
      </c>
    </row>
    <row r="999" spans="1:5" x14ac:dyDescent="0.25">
      <c r="A999" t="str">
        <f t="shared" si="29"/>
        <v>36</v>
      </c>
      <c r="B999" t="str">
        <f>"36.0118"</f>
        <v>36.0118</v>
      </c>
      <c r="E999" t="s">
        <v>1096</v>
      </c>
    </row>
    <row r="1000" spans="1:5" x14ac:dyDescent="0.25">
      <c r="A1000" t="str">
        <f t="shared" si="29"/>
        <v>36</v>
      </c>
      <c r="B1000" t="str">
        <f>"36.0119"</f>
        <v>36.0119</v>
      </c>
      <c r="E1000" t="s">
        <v>1097</v>
      </c>
    </row>
    <row r="1001" spans="1:5" x14ac:dyDescent="0.25">
      <c r="A1001" t="str">
        <f t="shared" si="29"/>
        <v>36</v>
      </c>
      <c r="B1001" t="str">
        <f>"36.0199"</f>
        <v>36.0199</v>
      </c>
      <c r="E1001" t="s">
        <v>1098</v>
      </c>
    </row>
    <row r="1002" spans="1:5" x14ac:dyDescent="0.25">
      <c r="A1002" t="str">
        <f>"37"</f>
        <v>37</v>
      </c>
      <c r="B1002" t="str">
        <f>"37"</f>
        <v>37</v>
      </c>
      <c r="C1002" t="s">
        <v>1099</v>
      </c>
    </row>
    <row r="1003" spans="1:5" x14ac:dyDescent="0.25">
      <c r="A1003" t="str">
        <f t="shared" ref="A1003:A1008" si="30">"37"</f>
        <v>37</v>
      </c>
      <c r="B1003" t="str">
        <f>"37.01"</f>
        <v>37.01</v>
      </c>
      <c r="D1003" t="s">
        <v>1100</v>
      </c>
    </row>
    <row r="1004" spans="1:5" x14ac:dyDescent="0.25">
      <c r="A1004" t="str">
        <f t="shared" si="30"/>
        <v>37</v>
      </c>
      <c r="B1004" t="str">
        <f>"37.0101"</f>
        <v>37.0101</v>
      </c>
      <c r="E1004" t="s">
        <v>1101</v>
      </c>
    </row>
    <row r="1005" spans="1:5" x14ac:dyDescent="0.25">
      <c r="A1005" t="str">
        <f t="shared" si="30"/>
        <v>37</v>
      </c>
      <c r="B1005" t="str">
        <f>"37.0102"</f>
        <v>37.0102</v>
      </c>
      <c r="E1005" t="s">
        <v>1102</v>
      </c>
    </row>
    <row r="1006" spans="1:5" x14ac:dyDescent="0.25">
      <c r="A1006" t="str">
        <f t="shared" si="30"/>
        <v>37</v>
      </c>
      <c r="B1006" t="str">
        <f>"37.0103"</f>
        <v>37.0103</v>
      </c>
      <c r="E1006" t="s">
        <v>1103</v>
      </c>
    </row>
    <row r="1007" spans="1:5" x14ac:dyDescent="0.25">
      <c r="A1007" t="str">
        <f t="shared" si="30"/>
        <v>37</v>
      </c>
      <c r="B1007" t="str">
        <f>"37.0104"</f>
        <v>37.0104</v>
      </c>
      <c r="E1007" t="s">
        <v>1104</v>
      </c>
    </row>
    <row r="1008" spans="1:5" x14ac:dyDescent="0.25">
      <c r="A1008" t="str">
        <f t="shared" si="30"/>
        <v>37</v>
      </c>
      <c r="B1008" t="str">
        <f>"37.0199"</f>
        <v>37.0199</v>
      </c>
      <c r="E1008" t="s">
        <v>1105</v>
      </c>
    </row>
    <row r="1009" spans="1:5" x14ac:dyDescent="0.25">
      <c r="A1009" t="str">
        <f>"38"</f>
        <v>38</v>
      </c>
      <c r="B1009" t="str">
        <f>"38"</f>
        <v>38</v>
      </c>
      <c r="C1009" t="s">
        <v>1106</v>
      </c>
    </row>
    <row r="1010" spans="1:5" x14ac:dyDescent="0.25">
      <c r="A1010" t="str">
        <f t="shared" ref="A1010:A1025" si="31">"38"</f>
        <v>38</v>
      </c>
      <c r="B1010" t="str">
        <f>"38.00"</f>
        <v>38.00</v>
      </c>
      <c r="D1010" t="s">
        <v>1107</v>
      </c>
    </row>
    <row r="1011" spans="1:5" x14ac:dyDescent="0.25">
      <c r="A1011" t="str">
        <f t="shared" si="31"/>
        <v>38</v>
      </c>
      <c r="B1011" t="str">
        <f>"38.01"</f>
        <v>38.01</v>
      </c>
      <c r="D1011" t="s">
        <v>1108</v>
      </c>
    </row>
    <row r="1012" spans="1:5" x14ac:dyDescent="0.25">
      <c r="A1012" t="str">
        <f t="shared" si="31"/>
        <v>38</v>
      </c>
      <c r="B1012" t="str">
        <f>"38.0101"</f>
        <v>38.0101</v>
      </c>
      <c r="E1012" t="s">
        <v>1108</v>
      </c>
    </row>
    <row r="1013" spans="1:5" x14ac:dyDescent="0.25">
      <c r="A1013" t="str">
        <f t="shared" si="31"/>
        <v>38</v>
      </c>
      <c r="B1013" t="str">
        <f>"38.0102"</f>
        <v>38.0102</v>
      </c>
      <c r="E1013" t="s">
        <v>1109</v>
      </c>
    </row>
    <row r="1014" spans="1:5" x14ac:dyDescent="0.25">
      <c r="A1014" t="str">
        <f t="shared" si="31"/>
        <v>38</v>
      </c>
      <c r="B1014" t="str">
        <f>"38.0103"</f>
        <v>38.0103</v>
      </c>
      <c r="E1014" t="s">
        <v>1110</v>
      </c>
    </row>
    <row r="1015" spans="1:5" x14ac:dyDescent="0.25">
      <c r="A1015" t="str">
        <f t="shared" si="31"/>
        <v>38</v>
      </c>
      <c r="B1015" t="str">
        <f>"38.0104"</f>
        <v>38.0104</v>
      </c>
      <c r="E1015" t="s">
        <v>1111</v>
      </c>
    </row>
    <row r="1016" spans="1:5" x14ac:dyDescent="0.25">
      <c r="A1016" t="str">
        <f t="shared" si="31"/>
        <v>38</v>
      </c>
      <c r="B1016" t="str">
        <f>"38.0199"</f>
        <v>38.0199</v>
      </c>
      <c r="E1016" t="s">
        <v>1112</v>
      </c>
    </row>
    <row r="1017" spans="1:5" x14ac:dyDescent="0.25">
      <c r="A1017" t="str">
        <f t="shared" si="31"/>
        <v>38</v>
      </c>
      <c r="B1017" t="str">
        <f>"38.02"</f>
        <v>38.02</v>
      </c>
      <c r="D1017" t="s">
        <v>1113</v>
      </c>
    </row>
    <row r="1018" spans="1:5" x14ac:dyDescent="0.25">
      <c r="A1018" t="str">
        <f t="shared" si="31"/>
        <v>38</v>
      </c>
      <c r="B1018" t="str">
        <f>"38.0201"</f>
        <v>38.0201</v>
      </c>
      <c r="E1018" t="s">
        <v>1113</v>
      </c>
    </row>
    <row r="1019" spans="1:5" x14ac:dyDescent="0.25">
      <c r="A1019" t="str">
        <f t="shared" si="31"/>
        <v>38</v>
      </c>
      <c r="B1019" t="str">
        <f>"38.0202"</f>
        <v>38.0202</v>
      </c>
      <c r="E1019" t="s">
        <v>1114</v>
      </c>
    </row>
    <row r="1020" spans="1:5" x14ac:dyDescent="0.25">
      <c r="A1020" t="str">
        <f t="shared" si="31"/>
        <v>38</v>
      </c>
      <c r="B1020" t="str">
        <f>"38.0203"</f>
        <v>38.0203</v>
      </c>
      <c r="E1020" t="s">
        <v>1115</v>
      </c>
    </row>
    <row r="1021" spans="1:5" x14ac:dyDescent="0.25">
      <c r="A1021" t="str">
        <f t="shared" si="31"/>
        <v>38</v>
      </c>
      <c r="B1021" t="str">
        <f>"38.0204"</f>
        <v>38.0204</v>
      </c>
      <c r="E1021" t="s">
        <v>1116</v>
      </c>
    </row>
    <row r="1022" spans="1:5" x14ac:dyDescent="0.25">
      <c r="A1022" t="str">
        <f t="shared" si="31"/>
        <v>38</v>
      </c>
      <c r="B1022" t="str">
        <f>"38.0205"</f>
        <v>38.0205</v>
      </c>
      <c r="E1022" t="s">
        <v>1117</v>
      </c>
    </row>
    <row r="1023" spans="1:5" x14ac:dyDescent="0.25">
      <c r="A1023" t="str">
        <f t="shared" si="31"/>
        <v>38</v>
      </c>
      <c r="B1023" t="str">
        <f>"38.0206"</f>
        <v>38.0206</v>
      </c>
      <c r="E1023" t="s">
        <v>1118</v>
      </c>
    </row>
    <row r="1024" spans="1:5" x14ac:dyDescent="0.25">
      <c r="A1024" t="str">
        <f t="shared" si="31"/>
        <v>38</v>
      </c>
      <c r="B1024" t="str">
        <f>"38.0299"</f>
        <v>38.0299</v>
      </c>
      <c r="E1024" t="s">
        <v>1119</v>
      </c>
    </row>
    <row r="1025" spans="1:5" x14ac:dyDescent="0.25">
      <c r="A1025" t="str">
        <f t="shared" si="31"/>
        <v>38</v>
      </c>
      <c r="B1025" t="str">
        <f>"38.99"</f>
        <v>38.99</v>
      </c>
      <c r="D1025" t="s">
        <v>1120</v>
      </c>
    </row>
    <row r="1026" spans="1:5" x14ac:dyDescent="0.25">
      <c r="A1026" t="str">
        <f>"39"</f>
        <v>39</v>
      </c>
      <c r="B1026" t="str">
        <f>"39"</f>
        <v>39</v>
      </c>
      <c r="C1026" t="s">
        <v>1121</v>
      </c>
    </row>
    <row r="1027" spans="1:5" x14ac:dyDescent="0.25">
      <c r="A1027" t="str">
        <f t="shared" ref="A1027:A1045" si="32">"39"</f>
        <v>39</v>
      </c>
      <c r="B1027" t="str">
        <f>"39.02"</f>
        <v>39.02</v>
      </c>
      <c r="D1027" t="s">
        <v>1122</v>
      </c>
    </row>
    <row r="1028" spans="1:5" x14ac:dyDescent="0.25">
      <c r="A1028" t="str">
        <f t="shared" si="32"/>
        <v>39</v>
      </c>
      <c r="B1028" t="str">
        <f>"39.03"</f>
        <v>39.03</v>
      </c>
      <c r="D1028" t="s">
        <v>1123</v>
      </c>
    </row>
    <row r="1029" spans="1:5" x14ac:dyDescent="0.25">
      <c r="A1029" t="str">
        <f t="shared" si="32"/>
        <v>39</v>
      </c>
      <c r="B1029" t="str">
        <f>"39.04"</f>
        <v>39.04</v>
      </c>
      <c r="D1029" t="s">
        <v>1124</v>
      </c>
    </row>
    <row r="1030" spans="1:5" x14ac:dyDescent="0.25">
      <c r="A1030" t="str">
        <f t="shared" si="32"/>
        <v>39</v>
      </c>
      <c r="B1030" t="str">
        <f>"39.05"</f>
        <v>39.05</v>
      </c>
      <c r="D1030" t="s">
        <v>1125</v>
      </c>
    </row>
    <row r="1031" spans="1:5" x14ac:dyDescent="0.25">
      <c r="A1031" t="str">
        <f t="shared" si="32"/>
        <v>39</v>
      </c>
      <c r="B1031" t="str">
        <f>"39.06"</f>
        <v>39.06</v>
      </c>
      <c r="D1031" t="s">
        <v>1126</v>
      </c>
    </row>
    <row r="1032" spans="1:5" x14ac:dyDescent="0.25">
      <c r="A1032" t="str">
        <f t="shared" si="32"/>
        <v>39</v>
      </c>
      <c r="B1032" t="str">
        <f>"39.0601"</f>
        <v>39.0601</v>
      </c>
      <c r="E1032" t="s">
        <v>1127</v>
      </c>
    </row>
    <row r="1033" spans="1:5" x14ac:dyDescent="0.25">
      <c r="A1033" t="str">
        <f t="shared" si="32"/>
        <v>39</v>
      </c>
      <c r="B1033" t="str">
        <f>"39.0602"</f>
        <v>39.0602</v>
      </c>
      <c r="E1033" t="s">
        <v>1128</v>
      </c>
    </row>
    <row r="1034" spans="1:5" x14ac:dyDescent="0.25">
      <c r="A1034" t="str">
        <f t="shared" si="32"/>
        <v>39</v>
      </c>
      <c r="B1034" t="str">
        <f>"39.0604"</f>
        <v>39.0604</v>
      </c>
      <c r="E1034" t="s">
        <v>1129</v>
      </c>
    </row>
    <row r="1035" spans="1:5" x14ac:dyDescent="0.25">
      <c r="A1035" t="str">
        <f t="shared" si="32"/>
        <v>39</v>
      </c>
      <c r="B1035" t="str">
        <f>"39.0605"</f>
        <v>39.0605</v>
      </c>
      <c r="E1035" t="s">
        <v>1130</v>
      </c>
    </row>
    <row r="1036" spans="1:5" x14ac:dyDescent="0.25">
      <c r="A1036" t="str">
        <f t="shared" si="32"/>
        <v>39</v>
      </c>
      <c r="B1036" t="str">
        <f>"39.0606"</f>
        <v>39.0606</v>
      </c>
      <c r="E1036" t="s">
        <v>1131</v>
      </c>
    </row>
    <row r="1037" spans="1:5" x14ac:dyDescent="0.25">
      <c r="A1037" t="str">
        <f t="shared" si="32"/>
        <v>39</v>
      </c>
      <c r="B1037" t="str">
        <f>"39.0699"</f>
        <v>39.0699</v>
      </c>
      <c r="E1037" t="s">
        <v>1132</v>
      </c>
    </row>
    <row r="1038" spans="1:5" x14ac:dyDescent="0.25">
      <c r="A1038" t="str">
        <f t="shared" si="32"/>
        <v>39</v>
      </c>
      <c r="B1038" t="str">
        <f>"39.07"</f>
        <v>39.07</v>
      </c>
      <c r="D1038" t="s">
        <v>1133</v>
      </c>
    </row>
    <row r="1039" spans="1:5" x14ac:dyDescent="0.25">
      <c r="A1039" t="str">
        <f t="shared" si="32"/>
        <v>39</v>
      </c>
      <c r="B1039" t="str">
        <f>"39.0701"</f>
        <v>39.0701</v>
      </c>
      <c r="E1039" t="s">
        <v>1134</v>
      </c>
    </row>
    <row r="1040" spans="1:5" x14ac:dyDescent="0.25">
      <c r="A1040" t="str">
        <f t="shared" si="32"/>
        <v>39</v>
      </c>
      <c r="B1040" t="str">
        <f>"39.0702"</f>
        <v>39.0702</v>
      </c>
      <c r="E1040" t="s">
        <v>1135</v>
      </c>
    </row>
    <row r="1041" spans="1:5" x14ac:dyDescent="0.25">
      <c r="A1041" t="str">
        <f t="shared" si="32"/>
        <v>39</v>
      </c>
      <c r="B1041" t="str">
        <f>"39.0703"</f>
        <v>39.0703</v>
      </c>
      <c r="E1041" t="s">
        <v>1136</v>
      </c>
    </row>
    <row r="1042" spans="1:5" x14ac:dyDescent="0.25">
      <c r="A1042" t="str">
        <f t="shared" si="32"/>
        <v>39</v>
      </c>
      <c r="B1042" t="str">
        <f>"39.0704"</f>
        <v>39.0704</v>
      </c>
      <c r="E1042" t="s">
        <v>1137</v>
      </c>
    </row>
    <row r="1043" spans="1:5" x14ac:dyDescent="0.25">
      <c r="A1043" t="str">
        <f t="shared" si="32"/>
        <v>39</v>
      </c>
      <c r="B1043" t="str">
        <f>"39.0705"</f>
        <v>39.0705</v>
      </c>
      <c r="E1043" t="s">
        <v>1138</v>
      </c>
    </row>
    <row r="1044" spans="1:5" x14ac:dyDescent="0.25">
      <c r="A1044" t="str">
        <f t="shared" si="32"/>
        <v>39</v>
      </c>
      <c r="B1044" t="str">
        <f>"39.0799"</f>
        <v>39.0799</v>
      </c>
      <c r="E1044" t="s">
        <v>1139</v>
      </c>
    </row>
    <row r="1045" spans="1:5" x14ac:dyDescent="0.25">
      <c r="A1045" t="str">
        <f t="shared" si="32"/>
        <v>39</v>
      </c>
      <c r="B1045" t="str">
        <f>"39.99"</f>
        <v>39.99</v>
      </c>
      <c r="D1045" t="s">
        <v>1140</v>
      </c>
    </row>
    <row r="1046" spans="1:5" x14ac:dyDescent="0.25">
      <c r="A1046" t="str">
        <f>"40"</f>
        <v>40</v>
      </c>
      <c r="B1046" t="str">
        <f>"40"</f>
        <v>40</v>
      </c>
      <c r="C1046" t="s">
        <v>1141</v>
      </c>
    </row>
    <row r="1047" spans="1:5" x14ac:dyDescent="0.25">
      <c r="A1047" t="str">
        <f t="shared" ref="A1047:A1095" si="33">"40"</f>
        <v>40</v>
      </c>
      <c r="B1047" t="str">
        <f>"40.01"</f>
        <v>40.01</v>
      </c>
      <c r="D1047" t="s">
        <v>1142</v>
      </c>
    </row>
    <row r="1048" spans="1:5" x14ac:dyDescent="0.25">
      <c r="A1048" t="str">
        <f t="shared" si="33"/>
        <v>40</v>
      </c>
      <c r="B1048" t="str">
        <f>"40.02"</f>
        <v>40.02</v>
      </c>
      <c r="D1048" t="s">
        <v>1143</v>
      </c>
    </row>
    <row r="1049" spans="1:5" x14ac:dyDescent="0.25">
      <c r="A1049" t="str">
        <f t="shared" si="33"/>
        <v>40</v>
      </c>
      <c r="B1049" t="str">
        <f>"40.0201"</f>
        <v>40.0201</v>
      </c>
      <c r="E1049" t="s">
        <v>1144</v>
      </c>
    </row>
    <row r="1050" spans="1:5" x14ac:dyDescent="0.25">
      <c r="A1050" t="str">
        <f t="shared" si="33"/>
        <v>40</v>
      </c>
      <c r="B1050" t="str">
        <f>"40.0202"</f>
        <v>40.0202</v>
      </c>
      <c r="E1050" t="s">
        <v>1145</v>
      </c>
    </row>
    <row r="1051" spans="1:5" x14ac:dyDescent="0.25">
      <c r="A1051" t="str">
        <f t="shared" si="33"/>
        <v>40</v>
      </c>
      <c r="B1051" t="str">
        <f>"40.0203"</f>
        <v>40.0203</v>
      </c>
      <c r="E1051" t="s">
        <v>1146</v>
      </c>
    </row>
    <row r="1052" spans="1:5" x14ac:dyDescent="0.25">
      <c r="A1052" t="str">
        <f t="shared" si="33"/>
        <v>40</v>
      </c>
      <c r="B1052" t="str">
        <f>"40.0299"</f>
        <v>40.0299</v>
      </c>
      <c r="E1052" t="s">
        <v>1147</v>
      </c>
    </row>
    <row r="1053" spans="1:5" x14ac:dyDescent="0.25">
      <c r="A1053" t="str">
        <f t="shared" si="33"/>
        <v>40</v>
      </c>
      <c r="B1053" t="str">
        <f>"40.04"</f>
        <v>40.04</v>
      </c>
      <c r="D1053" t="s">
        <v>1148</v>
      </c>
    </row>
    <row r="1054" spans="1:5" x14ac:dyDescent="0.25">
      <c r="A1054" t="str">
        <f t="shared" si="33"/>
        <v>40</v>
      </c>
      <c r="B1054" t="str">
        <f>"40.0401"</f>
        <v>40.0401</v>
      </c>
      <c r="E1054" t="s">
        <v>1149</v>
      </c>
    </row>
    <row r="1055" spans="1:5" x14ac:dyDescent="0.25">
      <c r="A1055" t="str">
        <f t="shared" si="33"/>
        <v>40</v>
      </c>
      <c r="B1055" t="str">
        <f>"40.0402"</f>
        <v>40.0402</v>
      </c>
      <c r="E1055" t="s">
        <v>1150</v>
      </c>
    </row>
    <row r="1056" spans="1:5" x14ac:dyDescent="0.25">
      <c r="A1056" t="str">
        <f t="shared" si="33"/>
        <v>40</v>
      </c>
      <c r="B1056" t="str">
        <f>"40.0403"</f>
        <v>40.0403</v>
      </c>
      <c r="E1056" t="s">
        <v>1151</v>
      </c>
    </row>
    <row r="1057" spans="1:5" x14ac:dyDescent="0.25">
      <c r="A1057" t="str">
        <f t="shared" si="33"/>
        <v>40</v>
      </c>
      <c r="B1057" t="str">
        <f>"40.0404"</f>
        <v>40.0404</v>
      </c>
      <c r="E1057" t="s">
        <v>1152</v>
      </c>
    </row>
    <row r="1058" spans="1:5" x14ac:dyDescent="0.25">
      <c r="A1058" t="str">
        <f t="shared" si="33"/>
        <v>40</v>
      </c>
      <c r="B1058" t="str">
        <f>"40.0499"</f>
        <v>40.0499</v>
      </c>
      <c r="E1058" t="s">
        <v>1153</v>
      </c>
    </row>
    <row r="1059" spans="1:5" x14ac:dyDescent="0.25">
      <c r="A1059" t="str">
        <f t="shared" si="33"/>
        <v>40</v>
      </c>
      <c r="B1059" t="str">
        <f>"40.05"</f>
        <v>40.05</v>
      </c>
      <c r="D1059" t="s">
        <v>1154</v>
      </c>
    </row>
    <row r="1060" spans="1:5" x14ac:dyDescent="0.25">
      <c r="A1060" t="str">
        <f t="shared" si="33"/>
        <v>40</v>
      </c>
      <c r="B1060" t="str">
        <f>"40.0501"</f>
        <v>40.0501</v>
      </c>
      <c r="E1060" t="s">
        <v>1155</v>
      </c>
    </row>
    <row r="1061" spans="1:5" x14ac:dyDescent="0.25">
      <c r="A1061" t="str">
        <f t="shared" si="33"/>
        <v>40</v>
      </c>
      <c r="B1061" t="str">
        <f>"40.0502"</f>
        <v>40.0502</v>
      </c>
      <c r="E1061" t="s">
        <v>1156</v>
      </c>
    </row>
    <row r="1062" spans="1:5" x14ac:dyDescent="0.25">
      <c r="A1062" t="str">
        <f t="shared" si="33"/>
        <v>40</v>
      </c>
      <c r="B1062" t="str">
        <f>"40.0503"</f>
        <v>40.0503</v>
      </c>
      <c r="E1062" t="s">
        <v>1157</v>
      </c>
    </row>
    <row r="1063" spans="1:5" x14ac:dyDescent="0.25">
      <c r="A1063" t="str">
        <f t="shared" si="33"/>
        <v>40</v>
      </c>
      <c r="B1063" t="str">
        <f>"40.0504"</f>
        <v>40.0504</v>
      </c>
      <c r="E1063" t="s">
        <v>1158</v>
      </c>
    </row>
    <row r="1064" spans="1:5" x14ac:dyDescent="0.25">
      <c r="A1064" t="str">
        <f t="shared" si="33"/>
        <v>40</v>
      </c>
      <c r="B1064" t="str">
        <f>"40.0506"</f>
        <v>40.0506</v>
      </c>
      <c r="E1064" t="s">
        <v>1159</v>
      </c>
    </row>
    <row r="1065" spans="1:5" x14ac:dyDescent="0.25">
      <c r="A1065" t="str">
        <f t="shared" si="33"/>
        <v>40</v>
      </c>
      <c r="B1065" t="str">
        <f>"40.0507"</f>
        <v>40.0507</v>
      </c>
      <c r="E1065" t="s">
        <v>1160</v>
      </c>
    </row>
    <row r="1066" spans="1:5" x14ac:dyDescent="0.25">
      <c r="A1066" t="str">
        <f t="shared" si="33"/>
        <v>40</v>
      </c>
      <c r="B1066" t="str">
        <f>"40.0508"</f>
        <v>40.0508</v>
      </c>
      <c r="E1066" t="s">
        <v>1161</v>
      </c>
    </row>
    <row r="1067" spans="1:5" x14ac:dyDescent="0.25">
      <c r="A1067" t="str">
        <f t="shared" si="33"/>
        <v>40</v>
      </c>
      <c r="B1067" t="str">
        <f>"40.0509"</f>
        <v>40.0509</v>
      </c>
      <c r="E1067" t="s">
        <v>1162</v>
      </c>
    </row>
    <row r="1068" spans="1:5" x14ac:dyDescent="0.25">
      <c r="A1068" t="str">
        <f t="shared" si="33"/>
        <v>40</v>
      </c>
      <c r="B1068" t="str">
        <f>"40.0510"</f>
        <v>40.0510</v>
      </c>
      <c r="E1068" t="s">
        <v>1163</v>
      </c>
    </row>
    <row r="1069" spans="1:5" x14ac:dyDescent="0.25">
      <c r="A1069" t="str">
        <f t="shared" si="33"/>
        <v>40</v>
      </c>
      <c r="B1069" t="str">
        <f>"40.0511"</f>
        <v>40.0511</v>
      </c>
      <c r="E1069" t="s">
        <v>1164</v>
      </c>
    </row>
    <row r="1070" spans="1:5" x14ac:dyDescent="0.25">
      <c r="A1070" t="str">
        <f t="shared" si="33"/>
        <v>40</v>
      </c>
      <c r="B1070" t="str">
        <f>"40.0599"</f>
        <v>40.0599</v>
      </c>
      <c r="E1070" t="s">
        <v>1165</v>
      </c>
    </row>
    <row r="1071" spans="1:5" x14ac:dyDescent="0.25">
      <c r="A1071" t="str">
        <f t="shared" si="33"/>
        <v>40</v>
      </c>
      <c r="B1071" t="str">
        <f>"40.06"</f>
        <v>40.06</v>
      </c>
      <c r="D1071" t="s">
        <v>1166</v>
      </c>
    </row>
    <row r="1072" spans="1:5" x14ac:dyDescent="0.25">
      <c r="A1072" t="str">
        <f t="shared" si="33"/>
        <v>40</v>
      </c>
      <c r="B1072" t="str">
        <f>"40.0601"</f>
        <v>40.0601</v>
      </c>
      <c r="E1072" t="s">
        <v>1167</v>
      </c>
    </row>
    <row r="1073" spans="1:5" x14ac:dyDescent="0.25">
      <c r="A1073" t="str">
        <f t="shared" si="33"/>
        <v>40</v>
      </c>
      <c r="B1073" t="str">
        <f>"40.0602"</f>
        <v>40.0602</v>
      </c>
      <c r="E1073" t="s">
        <v>1168</v>
      </c>
    </row>
    <row r="1074" spans="1:5" x14ac:dyDescent="0.25">
      <c r="A1074" t="str">
        <f t="shared" si="33"/>
        <v>40</v>
      </c>
      <c r="B1074" t="str">
        <f>"40.0603"</f>
        <v>40.0603</v>
      </c>
      <c r="E1074" t="s">
        <v>1169</v>
      </c>
    </row>
    <row r="1075" spans="1:5" x14ac:dyDescent="0.25">
      <c r="A1075" t="str">
        <f t="shared" si="33"/>
        <v>40</v>
      </c>
      <c r="B1075" t="str">
        <f>"40.0604"</f>
        <v>40.0604</v>
      </c>
      <c r="E1075" t="s">
        <v>1170</v>
      </c>
    </row>
    <row r="1076" spans="1:5" x14ac:dyDescent="0.25">
      <c r="A1076" t="str">
        <f t="shared" si="33"/>
        <v>40</v>
      </c>
      <c r="B1076" t="str">
        <f>"40.0605"</f>
        <v>40.0605</v>
      </c>
      <c r="E1076" t="s">
        <v>1171</v>
      </c>
    </row>
    <row r="1077" spans="1:5" x14ac:dyDescent="0.25">
      <c r="A1077" t="str">
        <f t="shared" si="33"/>
        <v>40</v>
      </c>
      <c r="B1077" t="str">
        <f>"40.0606"</f>
        <v>40.0606</v>
      </c>
      <c r="E1077" t="s">
        <v>1172</v>
      </c>
    </row>
    <row r="1078" spans="1:5" x14ac:dyDescent="0.25">
      <c r="A1078" t="str">
        <f t="shared" si="33"/>
        <v>40</v>
      </c>
      <c r="B1078" t="str">
        <f>"40.0607"</f>
        <v>40.0607</v>
      </c>
      <c r="E1078" t="s">
        <v>1173</v>
      </c>
    </row>
    <row r="1079" spans="1:5" x14ac:dyDescent="0.25">
      <c r="A1079" t="str">
        <f t="shared" si="33"/>
        <v>40</v>
      </c>
      <c r="B1079" t="str">
        <f>"40.0699"</f>
        <v>40.0699</v>
      </c>
      <c r="E1079" t="s">
        <v>1174</v>
      </c>
    </row>
    <row r="1080" spans="1:5" x14ac:dyDescent="0.25">
      <c r="A1080" t="str">
        <f t="shared" si="33"/>
        <v>40</v>
      </c>
      <c r="B1080" t="str">
        <f>"40.08"</f>
        <v>40.08</v>
      </c>
      <c r="D1080" t="s">
        <v>1175</v>
      </c>
    </row>
    <row r="1081" spans="1:5" x14ac:dyDescent="0.25">
      <c r="A1081" t="str">
        <f t="shared" si="33"/>
        <v>40</v>
      </c>
      <c r="B1081" t="str">
        <f>"40.0801"</f>
        <v>40.0801</v>
      </c>
      <c r="E1081" t="s">
        <v>1176</v>
      </c>
    </row>
    <row r="1082" spans="1:5" x14ac:dyDescent="0.25">
      <c r="A1082" t="str">
        <f t="shared" si="33"/>
        <v>40</v>
      </c>
      <c r="B1082" t="str">
        <f>"40.0802"</f>
        <v>40.0802</v>
      </c>
      <c r="E1082" t="s">
        <v>1177</v>
      </c>
    </row>
    <row r="1083" spans="1:5" x14ac:dyDescent="0.25">
      <c r="A1083" t="str">
        <f t="shared" si="33"/>
        <v>40</v>
      </c>
      <c r="B1083" t="str">
        <f>"40.0804"</f>
        <v>40.0804</v>
      </c>
      <c r="E1083" t="s">
        <v>1178</v>
      </c>
    </row>
    <row r="1084" spans="1:5" x14ac:dyDescent="0.25">
      <c r="A1084" t="str">
        <f t="shared" si="33"/>
        <v>40</v>
      </c>
      <c r="B1084" t="str">
        <f>"40.0805"</f>
        <v>40.0805</v>
      </c>
      <c r="E1084" t="s">
        <v>1179</v>
      </c>
    </row>
    <row r="1085" spans="1:5" x14ac:dyDescent="0.25">
      <c r="A1085" t="str">
        <f t="shared" si="33"/>
        <v>40</v>
      </c>
      <c r="B1085" t="str">
        <f>"40.0806"</f>
        <v>40.0806</v>
      </c>
      <c r="E1085" t="s">
        <v>1180</v>
      </c>
    </row>
    <row r="1086" spans="1:5" x14ac:dyDescent="0.25">
      <c r="A1086" t="str">
        <f t="shared" si="33"/>
        <v>40</v>
      </c>
      <c r="B1086" t="str">
        <f>"40.0807"</f>
        <v>40.0807</v>
      </c>
      <c r="E1086" t="s">
        <v>1181</v>
      </c>
    </row>
    <row r="1087" spans="1:5" x14ac:dyDescent="0.25">
      <c r="A1087" t="str">
        <f t="shared" si="33"/>
        <v>40</v>
      </c>
      <c r="B1087" t="str">
        <f>"40.0808"</f>
        <v>40.0808</v>
      </c>
      <c r="E1087" t="s">
        <v>1182</v>
      </c>
    </row>
    <row r="1088" spans="1:5" x14ac:dyDescent="0.25">
      <c r="A1088" t="str">
        <f t="shared" si="33"/>
        <v>40</v>
      </c>
      <c r="B1088" t="str">
        <f>"40.0809"</f>
        <v>40.0809</v>
      </c>
      <c r="E1088" t="s">
        <v>1183</v>
      </c>
    </row>
    <row r="1089" spans="1:5" x14ac:dyDescent="0.25">
      <c r="A1089" t="str">
        <f t="shared" si="33"/>
        <v>40</v>
      </c>
      <c r="B1089" t="str">
        <f>"40.0810"</f>
        <v>40.0810</v>
      </c>
      <c r="E1089" t="s">
        <v>1184</v>
      </c>
    </row>
    <row r="1090" spans="1:5" x14ac:dyDescent="0.25">
      <c r="A1090" t="str">
        <f t="shared" si="33"/>
        <v>40</v>
      </c>
      <c r="B1090" t="str">
        <f>"40.0899"</f>
        <v>40.0899</v>
      </c>
      <c r="E1090" t="s">
        <v>1185</v>
      </c>
    </row>
    <row r="1091" spans="1:5" x14ac:dyDescent="0.25">
      <c r="A1091" t="str">
        <f t="shared" si="33"/>
        <v>40</v>
      </c>
      <c r="B1091" t="str">
        <f>"40.10"</f>
        <v>40.10</v>
      </c>
      <c r="D1091" t="s">
        <v>1186</v>
      </c>
    </row>
    <row r="1092" spans="1:5" x14ac:dyDescent="0.25">
      <c r="A1092" t="str">
        <f t="shared" si="33"/>
        <v>40</v>
      </c>
      <c r="B1092" t="str">
        <f>"40.1001"</f>
        <v>40.1001</v>
      </c>
      <c r="E1092" t="s">
        <v>534</v>
      </c>
    </row>
    <row r="1093" spans="1:5" x14ac:dyDescent="0.25">
      <c r="A1093" t="str">
        <f t="shared" si="33"/>
        <v>40</v>
      </c>
      <c r="B1093" t="str">
        <f>"40.1002"</f>
        <v>40.1002</v>
      </c>
      <c r="E1093" t="s">
        <v>1187</v>
      </c>
    </row>
    <row r="1094" spans="1:5" x14ac:dyDescent="0.25">
      <c r="A1094" t="str">
        <f t="shared" si="33"/>
        <v>40</v>
      </c>
      <c r="B1094" t="str">
        <f>"40.1099"</f>
        <v>40.1099</v>
      </c>
      <c r="E1094" t="s">
        <v>1188</v>
      </c>
    </row>
    <row r="1095" spans="1:5" x14ac:dyDescent="0.25">
      <c r="A1095" t="str">
        <f t="shared" si="33"/>
        <v>40</v>
      </c>
      <c r="B1095" t="str">
        <f>"40.99"</f>
        <v>40.99</v>
      </c>
      <c r="D1095" t="s">
        <v>1189</v>
      </c>
    </row>
    <row r="1096" spans="1:5" x14ac:dyDescent="0.25">
      <c r="A1096" t="str">
        <f>"41"</f>
        <v>41</v>
      </c>
      <c r="B1096" t="str">
        <f>"41"</f>
        <v>41</v>
      </c>
      <c r="C1096" t="s">
        <v>1190</v>
      </c>
    </row>
    <row r="1097" spans="1:5" x14ac:dyDescent="0.25">
      <c r="A1097" t="str">
        <f t="shared" ref="A1097:A1107" si="34">"41"</f>
        <v>41</v>
      </c>
      <c r="B1097" t="str">
        <f>"41.00"</f>
        <v>41.00</v>
      </c>
      <c r="D1097" t="s">
        <v>1191</v>
      </c>
    </row>
    <row r="1098" spans="1:5" x14ac:dyDescent="0.25">
      <c r="A1098" t="str">
        <f t="shared" si="34"/>
        <v>41</v>
      </c>
      <c r="B1098" t="str">
        <f>"41.01"</f>
        <v>41.01</v>
      </c>
      <c r="D1098" t="s">
        <v>1192</v>
      </c>
    </row>
    <row r="1099" spans="1:5" x14ac:dyDescent="0.25">
      <c r="A1099" t="str">
        <f t="shared" si="34"/>
        <v>41</v>
      </c>
      <c r="B1099" t="str">
        <f>"41.02"</f>
        <v>41.02</v>
      </c>
      <c r="D1099" t="s">
        <v>1193</v>
      </c>
    </row>
    <row r="1100" spans="1:5" x14ac:dyDescent="0.25">
      <c r="A1100" t="str">
        <f t="shared" si="34"/>
        <v>41</v>
      </c>
      <c r="B1100" t="str">
        <f>"41.0204"</f>
        <v>41.0204</v>
      </c>
      <c r="E1100" t="s">
        <v>1194</v>
      </c>
    </row>
    <row r="1101" spans="1:5" x14ac:dyDescent="0.25">
      <c r="A1101" t="str">
        <f t="shared" si="34"/>
        <v>41</v>
      </c>
      <c r="B1101" t="str">
        <f>"41.0205"</f>
        <v>41.0205</v>
      </c>
      <c r="E1101" t="s">
        <v>1195</v>
      </c>
    </row>
    <row r="1102" spans="1:5" x14ac:dyDescent="0.25">
      <c r="A1102" t="str">
        <f t="shared" si="34"/>
        <v>41</v>
      </c>
      <c r="B1102" t="str">
        <f>"41.0299"</f>
        <v>41.0299</v>
      </c>
      <c r="E1102" t="s">
        <v>1196</v>
      </c>
    </row>
    <row r="1103" spans="1:5" x14ac:dyDescent="0.25">
      <c r="A1103" t="str">
        <f t="shared" si="34"/>
        <v>41</v>
      </c>
      <c r="B1103" t="str">
        <f>"41.03"</f>
        <v>41.03</v>
      </c>
      <c r="D1103" t="s">
        <v>1197</v>
      </c>
    </row>
    <row r="1104" spans="1:5" x14ac:dyDescent="0.25">
      <c r="A1104" t="str">
        <f t="shared" si="34"/>
        <v>41</v>
      </c>
      <c r="B1104" t="str">
        <f>"41.0301"</f>
        <v>41.0301</v>
      </c>
      <c r="E1104" t="s">
        <v>1198</v>
      </c>
    </row>
    <row r="1105" spans="1:5" x14ac:dyDescent="0.25">
      <c r="A1105" t="str">
        <f t="shared" si="34"/>
        <v>41</v>
      </c>
      <c r="B1105" t="str">
        <f>"41.0303"</f>
        <v>41.0303</v>
      </c>
      <c r="E1105" t="s">
        <v>1199</v>
      </c>
    </row>
    <row r="1106" spans="1:5" x14ac:dyDescent="0.25">
      <c r="A1106" t="str">
        <f t="shared" si="34"/>
        <v>41</v>
      </c>
      <c r="B1106" t="str">
        <f>"41.0399"</f>
        <v>41.0399</v>
      </c>
      <c r="E1106" t="s">
        <v>1200</v>
      </c>
    </row>
    <row r="1107" spans="1:5" x14ac:dyDescent="0.25">
      <c r="A1107" t="str">
        <f t="shared" si="34"/>
        <v>41</v>
      </c>
      <c r="B1107" t="str">
        <f>"41.99"</f>
        <v>41.99</v>
      </c>
      <c r="D1107" t="s">
        <v>1201</v>
      </c>
    </row>
    <row r="1108" spans="1:5" x14ac:dyDescent="0.25">
      <c r="A1108" t="str">
        <f>"42"</f>
        <v>42</v>
      </c>
      <c r="B1108" t="str">
        <f>"42"</f>
        <v>42</v>
      </c>
      <c r="C1108" t="s">
        <v>1202</v>
      </c>
    </row>
    <row r="1109" spans="1:5" x14ac:dyDescent="0.25">
      <c r="A1109" t="str">
        <f t="shared" ref="A1109:A1137" si="35">"42"</f>
        <v>42</v>
      </c>
      <c r="B1109" t="str">
        <f>"42.01"</f>
        <v>42.01</v>
      </c>
      <c r="D1109" t="s">
        <v>1203</v>
      </c>
    </row>
    <row r="1110" spans="1:5" x14ac:dyDescent="0.25">
      <c r="A1110" t="str">
        <f t="shared" si="35"/>
        <v>42</v>
      </c>
      <c r="B1110" t="str">
        <f>"42.27"</f>
        <v>42.27</v>
      </c>
      <c r="D1110" t="s">
        <v>1224</v>
      </c>
    </row>
    <row r="1111" spans="1:5" x14ac:dyDescent="0.25">
      <c r="A1111" t="str">
        <f t="shared" si="35"/>
        <v>42</v>
      </c>
      <c r="B1111" t="str">
        <f>"42.2701"</f>
        <v>42.2701</v>
      </c>
      <c r="E1111" t="s">
        <v>1205</v>
      </c>
    </row>
    <row r="1112" spans="1:5" x14ac:dyDescent="0.25">
      <c r="A1112" t="str">
        <f t="shared" si="35"/>
        <v>42</v>
      </c>
      <c r="B1112" t="str">
        <f>"42.2702"</f>
        <v>42.2702</v>
      </c>
      <c r="E1112" t="s">
        <v>1207</v>
      </c>
    </row>
    <row r="1113" spans="1:5" x14ac:dyDescent="0.25">
      <c r="A1113" t="str">
        <f t="shared" si="35"/>
        <v>42</v>
      </c>
      <c r="B1113" t="str">
        <f>"42.2703"</f>
        <v>42.2703</v>
      </c>
      <c r="E1113" t="s">
        <v>1209</v>
      </c>
    </row>
    <row r="1114" spans="1:5" x14ac:dyDescent="0.25">
      <c r="A1114" t="str">
        <f t="shared" si="35"/>
        <v>42</v>
      </c>
      <c r="B1114" t="str">
        <f>"42.2704"</f>
        <v>42.2704</v>
      </c>
      <c r="E1114" t="s">
        <v>1210</v>
      </c>
    </row>
    <row r="1115" spans="1:5" x14ac:dyDescent="0.25">
      <c r="A1115" t="str">
        <f t="shared" si="35"/>
        <v>42</v>
      </c>
      <c r="B1115" t="str">
        <f>"42.2705"</f>
        <v>42.2705</v>
      </c>
      <c r="E1115" t="s">
        <v>1212</v>
      </c>
    </row>
    <row r="1116" spans="1:5" x14ac:dyDescent="0.25">
      <c r="A1116" t="str">
        <f t="shared" si="35"/>
        <v>42</v>
      </c>
      <c r="B1116" t="str">
        <f>"42.2706"</f>
        <v>42.2706</v>
      </c>
      <c r="E1116" t="s">
        <v>1213</v>
      </c>
    </row>
    <row r="1117" spans="1:5" x14ac:dyDescent="0.25">
      <c r="A1117" t="str">
        <f t="shared" si="35"/>
        <v>42</v>
      </c>
      <c r="B1117" t="str">
        <f>"42.2707"</f>
        <v>42.2707</v>
      </c>
      <c r="E1117" t="s">
        <v>1214</v>
      </c>
    </row>
    <row r="1118" spans="1:5" x14ac:dyDescent="0.25">
      <c r="A1118" t="str">
        <f t="shared" si="35"/>
        <v>42</v>
      </c>
      <c r="B1118" t="str">
        <f>"42.2708"</f>
        <v>42.2708</v>
      </c>
      <c r="E1118" t="s">
        <v>1217</v>
      </c>
    </row>
    <row r="1119" spans="1:5" x14ac:dyDescent="0.25">
      <c r="A1119" t="str">
        <f t="shared" si="35"/>
        <v>42</v>
      </c>
      <c r="B1119" t="str">
        <f>"42.2709"</f>
        <v>42.2709</v>
      </c>
      <c r="E1119" t="s">
        <v>1221</v>
      </c>
    </row>
    <row r="1120" spans="1:5" x14ac:dyDescent="0.25">
      <c r="A1120" t="str">
        <f t="shared" si="35"/>
        <v>42</v>
      </c>
      <c r="B1120" t="str">
        <f>"42.2799"</f>
        <v>42.2799</v>
      </c>
      <c r="E1120" t="s">
        <v>1225</v>
      </c>
    </row>
    <row r="1121" spans="1:5" x14ac:dyDescent="0.25">
      <c r="A1121" t="str">
        <f t="shared" si="35"/>
        <v>42</v>
      </c>
      <c r="B1121" t="str">
        <f>"42.28"</f>
        <v>42.28</v>
      </c>
      <c r="D1121" t="s">
        <v>1226</v>
      </c>
    </row>
    <row r="1122" spans="1:5" x14ac:dyDescent="0.25">
      <c r="A1122" t="str">
        <f t="shared" si="35"/>
        <v>42</v>
      </c>
      <c r="B1122" t="str">
        <f>"42.2801"</f>
        <v>42.2801</v>
      </c>
      <c r="E1122" t="s">
        <v>1204</v>
      </c>
    </row>
    <row r="1123" spans="1:5" x14ac:dyDescent="0.25">
      <c r="A1123" t="str">
        <f t="shared" si="35"/>
        <v>42</v>
      </c>
      <c r="B1123" t="str">
        <f>"42.2802"</f>
        <v>42.2802</v>
      </c>
      <c r="E1123" t="s">
        <v>1206</v>
      </c>
    </row>
    <row r="1124" spans="1:5" x14ac:dyDescent="0.25">
      <c r="A1124" t="str">
        <f t="shared" si="35"/>
        <v>42</v>
      </c>
      <c r="B1124" t="str">
        <f>"42.2803"</f>
        <v>42.2803</v>
      </c>
      <c r="E1124" t="s">
        <v>1208</v>
      </c>
    </row>
    <row r="1125" spans="1:5" x14ac:dyDescent="0.25">
      <c r="A1125" t="str">
        <f t="shared" si="35"/>
        <v>42</v>
      </c>
      <c r="B1125" t="str">
        <f>"42.2804"</f>
        <v>42.2804</v>
      </c>
      <c r="E1125" t="s">
        <v>1211</v>
      </c>
    </row>
    <row r="1126" spans="1:5" x14ac:dyDescent="0.25">
      <c r="A1126" t="str">
        <f t="shared" si="35"/>
        <v>42</v>
      </c>
      <c r="B1126" t="str">
        <f>"42.2805"</f>
        <v>42.2805</v>
      </c>
      <c r="E1126" t="s">
        <v>1215</v>
      </c>
    </row>
    <row r="1127" spans="1:5" x14ac:dyDescent="0.25">
      <c r="A1127" t="str">
        <f t="shared" si="35"/>
        <v>42</v>
      </c>
      <c r="B1127" t="str">
        <f>"42.2806"</f>
        <v>42.2806</v>
      </c>
      <c r="E1127" t="s">
        <v>1216</v>
      </c>
    </row>
    <row r="1128" spans="1:5" x14ac:dyDescent="0.25">
      <c r="A1128" t="str">
        <f t="shared" si="35"/>
        <v>42</v>
      </c>
      <c r="B1128" t="str">
        <f>"42.2807"</f>
        <v>42.2807</v>
      </c>
      <c r="E1128" t="s">
        <v>1218</v>
      </c>
    </row>
    <row r="1129" spans="1:5" x14ac:dyDescent="0.25">
      <c r="A1129" t="str">
        <f t="shared" si="35"/>
        <v>42</v>
      </c>
      <c r="B1129" t="str">
        <f>"42.2808"</f>
        <v>42.2808</v>
      </c>
      <c r="E1129" t="s">
        <v>1219</v>
      </c>
    </row>
    <row r="1130" spans="1:5" x14ac:dyDescent="0.25">
      <c r="A1130" t="str">
        <f t="shared" si="35"/>
        <v>42</v>
      </c>
      <c r="B1130" t="str">
        <f>"42.2809"</f>
        <v>42.2809</v>
      </c>
      <c r="E1130" t="s">
        <v>1220</v>
      </c>
    </row>
    <row r="1131" spans="1:5" x14ac:dyDescent="0.25">
      <c r="A1131" t="str">
        <f t="shared" si="35"/>
        <v>42</v>
      </c>
      <c r="B1131" t="str">
        <f>"42.2810"</f>
        <v>42.2810</v>
      </c>
      <c r="E1131" t="s">
        <v>1227</v>
      </c>
    </row>
    <row r="1132" spans="1:5" x14ac:dyDescent="0.25">
      <c r="A1132" t="str">
        <f t="shared" si="35"/>
        <v>42</v>
      </c>
      <c r="B1132" t="str">
        <f>"42.2811"</f>
        <v>42.2811</v>
      </c>
      <c r="E1132" t="s">
        <v>1222</v>
      </c>
    </row>
    <row r="1133" spans="1:5" x14ac:dyDescent="0.25">
      <c r="A1133" t="str">
        <f t="shared" si="35"/>
        <v>42</v>
      </c>
      <c r="B1133" t="str">
        <f>"42.2812"</f>
        <v>42.2812</v>
      </c>
      <c r="E1133" t="s">
        <v>1223</v>
      </c>
    </row>
    <row r="1134" spans="1:5" x14ac:dyDescent="0.25">
      <c r="A1134" t="str">
        <f t="shared" si="35"/>
        <v>42</v>
      </c>
      <c r="B1134" t="str">
        <f>"42.2813"</f>
        <v>42.2813</v>
      </c>
      <c r="E1134" t="s">
        <v>1228</v>
      </c>
    </row>
    <row r="1135" spans="1:5" x14ac:dyDescent="0.25">
      <c r="A1135" t="str">
        <f t="shared" si="35"/>
        <v>42</v>
      </c>
      <c r="B1135" t="str">
        <f>"42.2814"</f>
        <v>42.2814</v>
      </c>
      <c r="E1135" t="s">
        <v>1229</v>
      </c>
    </row>
    <row r="1136" spans="1:5" x14ac:dyDescent="0.25">
      <c r="A1136" t="str">
        <f t="shared" si="35"/>
        <v>42</v>
      </c>
      <c r="B1136" t="str">
        <f>"42.2899"</f>
        <v>42.2899</v>
      </c>
      <c r="E1136" t="s">
        <v>1230</v>
      </c>
    </row>
    <row r="1137" spans="1:5" x14ac:dyDescent="0.25">
      <c r="A1137" t="str">
        <f t="shared" si="35"/>
        <v>42</v>
      </c>
      <c r="B1137" t="str">
        <f>"42.99"</f>
        <v>42.99</v>
      </c>
      <c r="D1137" t="s">
        <v>1231</v>
      </c>
    </row>
    <row r="1138" spans="1:5" x14ac:dyDescent="0.25">
      <c r="A1138" t="str">
        <f>"43"</f>
        <v>43</v>
      </c>
      <c r="B1138" t="str">
        <f>"43"</f>
        <v>43</v>
      </c>
      <c r="C1138" t="s">
        <v>1232</v>
      </c>
    </row>
    <row r="1139" spans="1:5" x14ac:dyDescent="0.25">
      <c r="A1139" t="str">
        <f t="shared" ref="A1139:A1175" si="36">"43"</f>
        <v>43</v>
      </c>
      <c r="B1139" t="str">
        <f>"43.01"</f>
        <v>43.01</v>
      </c>
      <c r="D1139" t="s">
        <v>1233</v>
      </c>
    </row>
    <row r="1140" spans="1:5" x14ac:dyDescent="0.25">
      <c r="A1140" t="str">
        <f t="shared" si="36"/>
        <v>43</v>
      </c>
      <c r="B1140" t="str">
        <f>"43.0102"</f>
        <v>43.0102</v>
      </c>
      <c r="E1140" t="s">
        <v>1234</v>
      </c>
    </row>
    <row r="1141" spans="1:5" x14ac:dyDescent="0.25">
      <c r="A1141" t="str">
        <f t="shared" si="36"/>
        <v>43</v>
      </c>
      <c r="B1141" t="str">
        <f>"43.0103"</f>
        <v>43.0103</v>
      </c>
      <c r="E1141" t="s">
        <v>1235</v>
      </c>
    </row>
    <row r="1142" spans="1:5" x14ac:dyDescent="0.25">
      <c r="A1142" t="str">
        <f t="shared" si="36"/>
        <v>43</v>
      </c>
      <c r="B1142" t="str">
        <f>"43.0104"</f>
        <v>43.0104</v>
      </c>
      <c r="E1142" t="s">
        <v>1236</v>
      </c>
    </row>
    <row r="1143" spans="1:5" x14ac:dyDescent="0.25">
      <c r="A1143" t="str">
        <f t="shared" si="36"/>
        <v>43</v>
      </c>
      <c r="B1143" t="str">
        <f>"43.0106"</f>
        <v>43.0106</v>
      </c>
      <c r="E1143" t="s">
        <v>1237</v>
      </c>
    </row>
    <row r="1144" spans="1:5" x14ac:dyDescent="0.25">
      <c r="A1144" t="str">
        <f t="shared" si="36"/>
        <v>43</v>
      </c>
      <c r="B1144" t="str">
        <f>"43.0107"</f>
        <v>43.0107</v>
      </c>
      <c r="E1144" t="s">
        <v>1238</v>
      </c>
    </row>
    <row r="1145" spans="1:5" x14ac:dyDescent="0.25">
      <c r="A1145" t="str">
        <f t="shared" si="36"/>
        <v>43</v>
      </c>
      <c r="B1145" t="str">
        <f>"43.0109"</f>
        <v>43.0109</v>
      </c>
      <c r="E1145" t="s">
        <v>1239</v>
      </c>
    </row>
    <row r="1146" spans="1:5" x14ac:dyDescent="0.25">
      <c r="A1146" t="str">
        <f t="shared" si="36"/>
        <v>43</v>
      </c>
      <c r="B1146" t="str">
        <f>"43.0110"</f>
        <v>43.0110</v>
      </c>
      <c r="E1146" t="s">
        <v>1240</v>
      </c>
    </row>
    <row r="1147" spans="1:5" x14ac:dyDescent="0.25">
      <c r="A1147" t="str">
        <f t="shared" si="36"/>
        <v>43</v>
      </c>
      <c r="B1147" t="str">
        <f>"43.0111"</f>
        <v>43.0111</v>
      </c>
      <c r="E1147" t="s">
        <v>1241</v>
      </c>
    </row>
    <row r="1148" spans="1:5" x14ac:dyDescent="0.25">
      <c r="A1148" t="str">
        <f t="shared" si="36"/>
        <v>43</v>
      </c>
      <c r="B1148" t="str">
        <f>"43.0112"</f>
        <v>43.0112</v>
      </c>
      <c r="E1148" t="s">
        <v>1242</v>
      </c>
    </row>
    <row r="1149" spans="1:5" x14ac:dyDescent="0.25">
      <c r="A1149" t="str">
        <f t="shared" si="36"/>
        <v>43</v>
      </c>
      <c r="B1149" t="str">
        <f>"43.0113"</f>
        <v>43.0113</v>
      </c>
      <c r="E1149" t="s">
        <v>1243</v>
      </c>
    </row>
    <row r="1150" spans="1:5" x14ac:dyDescent="0.25">
      <c r="A1150" t="str">
        <f t="shared" si="36"/>
        <v>43</v>
      </c>
      <c r="B1150" t="str">
        <f>"43.0114"</f>
        <v>43.0114</v>
      </c>
      <c r="E1150" t="s">
        <v>1244</v>
      </c>
    </row>
    <row r="1151" spans="1:5" x14ac:dyDescent="0.25">
      <c r="A1151" t="str">
        <f t="shared" si="36"/>
        <v>43</v>
      </c>
      <c r="B1151" t="str">
        <f>"43.0115"</f>
        <v>43.0115</v>
      </c>
      <c r="E1151" t="s">
        <v>1245</v>
      </c>
    </row>
    <row r="1152" spans="1:5" x14ac:dyDescent="0.25">
      <c r="A1152" t="str">
        <f t="shared" si="36"/>
        <v>43</v>
      </c>
      <c r="B1152" t="str">
        <f>"43.0116"</f>
        <v>43.0116</v>
      </c>
      <c r="E1152" t="s">
        <v>1246</v>
      </c>
    </row>
    <row r="1153" spans="1:5" x14ac:dyDescent="0.25">
      <c r="A1153" t="str">
        <f t="shared" si="36"/>
        <v>43</v>
      </c>
      <c r="B1153" t="str">
        <f>"43.0117"</f>
        <v>43.0117</v>
      </c>
      <c r="E1153" t="s">
        <v>1247</v>
      </c>
    </row>
    <row r="1154" spans="1:5" x14ac:dyDescent="0.25">
      <c r="A1154" t="str">
        <f t="shared" si="36"/>
        <v>43</v>
      </c>
      <c r="B1154" t="str">
        <f>"43.0118"</f>
        <v>43.0118</v>
      </c>
      <c r="E1154" t="s">
        <v>1248</v>
      </c>
    </row>
    <row r="1155" spans="1:5" x14ac:dyDescent="0.25">
      <c r="A1155" t="str">
        <f t="shared" si="36"/>
        <v>43</v>
      </c>
      <c r="B1155" t="str">
        <f>"43.0119"</f>
        <v>43.0119</v>
      </c>
      <c r="E1155" t="s">
        <v>1249</v>
      </c>
    </row>
    <row r="1156" spans="1:5" x14ac:dyDescent="0.25">
      <c r="A1156" t="str">
        <f t="shared" si="36"/>
        <v>43</v>
      </c>
      <c r="B1156" t="str">
        <f>"43.0120"</f>
        <v>43.0120</v>
      </c>
      <c r="E1156" t="s">
        <v>1250</v>
      </c>
    </row>
    <row r="1157" spans="1:5" x14ac:dyDescent="0.25">
      <c r="A1157" t="str">
        <f t="shared" si="36"/>
        <v>43</v>
      </c>
      <c r="B1157" t="str">
        <f>"43.0121"</f>
        <v>43.0121</v>
      </c>
      <c r="E1157" t="s">
        <v>1251</v>
      </c>
    </row>
    <row r="1158" spans="1:5" x14ac:dyDescent="0.25">
      <c r="A1158" t="str">
        <f t="shared" si="36"/>
        <v>43</v>
      </c>
      <c r="B1158" t="str">
        <f>"43.0122"</f>
        <v>43.0122</v>
      </c>
      <c r="E1158" t="s">
        <v>1252</v>
      </c>
    </row>
    <row r="1159" spans="1:5" x14ac:dyDescent="0.25">
      <c r="A1159" t="str">
        <f t="shared" si="36"/>
        <v>43</v>
      </c>
      <c r="B1159" t="str">
        <f>"43.0123"</f>
        <v>43.0123</v>
      </c>
      <c r="E1159" t="s">
        <v>1253</v>
      </c>
    </row>
    <row r="1160" spans="1:5" x14ac:dyDescent="0.25">
      <c r="A1160" t="str">
        <f t="shared" si="36"/>
        <v>43</v>
      </c>
      <c r="B1160" t="str">
        <f>"43.0199"</f>
        <v>43.0199</v>
      </c>
      <c r="E1160" t="s">
        <v>1254</v>
      </c>
    </row>
    <row r="1161" spans="1:5" x14ac:dyDescent="0.25">
      <c r="A1161" t="str">
        <f t="shared" si="36"/>
        <v>43</v>
      </c>
      <c r="B1161" t="str">
        <f>"43.02"</f>
        <v>43.02</v>
      </c>
      <c r="D1161" t="s">
        <v>1255</v>
      </c>
    </row>
    <row r="1162" spans="1:5" x14ac:dyDescent="0.25">
      <c r="A1162" t="str">
        <f t="shared" si="36"/>
        <v>43</v>
      </c>
      <c r="B1162" t="str">
        <f>"43.0201"</f>
        <v>43.0201</v>
      </c>
      <c r="E1162" t="s">
        <v>1256</v>
      </c>
    </row>
    <row r="1163" spans="1:5" x14ac:dyDescent="0.25">
      <c r="A1163" t="str">
        <f t="shared" si="36"/>
        <v>43</v>
      </c>
      <c r="B1163" t="str">
        <f>"43.0202"</f>
        <v>43.0202</v>
      </c>
      <c r="E1163" t="s">
        <v>1257</v>
      </c>
    </row>
    <row r="1164" spans="1:5" x14ac:dyDescent="0.25">
      <c r="A1164" t="str">
        <f t="shared" si="36"/>
        <v>43</v>
      </c>
      <c r="B1164" t="str">
        <f>"43.0203"</f>
        <v>43.0203</v>
      </c>
      <c r="E1164" t="s">
        <v>1258</v>
      </c>
    </row>
    <row r="1165" spans="1:5" x14ac:dyDescent="0.25">
      <c r="A1165" t="str">
        <f t="shared" si="36"/>
        <v>43</v>
      </c>
      <c r="B1165" t="str">
        <f>"43.0204"</f>
        <v>43.0204</v>
      </c>
      <c r="E1165" t="s">
        <v>1259</v>
      </c>
    </row>
    <row r="1166" spans="1:5" x14ac:dyDescent="0.25">
      <c r="A1166" t="str">
        <f t="shared" si="36"/>
        <v>43</v>
      </c>
      <c r="B1166" t="str">
        <f>"43.0205"</f>
        <v>43.0205</v>
      </c>
      <c r="E1166" t="s">
        <v>1260</v>
      </c>
    </row>
    <row r="1167" spans="1:5" x14ac:dyDescent="0.25">
      <c r="A1167" t="str">
        <f t="shared" si="36"/>
        <v>43</v>
      </c>
      <c r="B1167" t="str">
        <f>"43.0206"</f>
        <v>43.0206</v>
      </c>
      <c r="E1167" t="s">
        <v>1261</v>
      </c>
    </row>
    <row r="1168" spans="1:5" x14ac:dyDescent="0.25">
      <c r="A1168" t="str">
        <f t="shared" si="36"/>
        <v>43</v>
      </c>
      <c r="B1168" t="str">
        <f>"43.0299"</f>
        <v>43.0299</v>
      </c>
      <c r="E1168" t="s">
        <v>1262</v>
      </c>
    </row>
    <row r="1169" spans="1:5" x14ac:dyDescent="0.25">
      <c r="A1169" t="str">
        <f t="shared" si="36"/>
        <v>43</v>
      </c>
      <c r="B1169" t="str">
        <f>"43.03"</f>
        <v>43.03</v>
      </c>
      <c r="D1169" t="s">
        <v>1263</v>
      </c>
    </row>
    <row r="1170" spans="1:5" x14ac:dyDescent="0.25">
      <c r="A1170" t="str">
        <f t="shared" si="36"/>
        <v>43</v>
      </c>
      <c r="B1170" t="str">
        <f>"43.0301"</f>
        <v>43.0301</v>
      </c>
      <c r="E1170" t="s">
        <v>1263</v>
      </c>
    </row>
    <row r="1171" spans="1:5" x14ac:dyDescent="0.25">
      <c r="A1171" t="str">
        <f t="shared" si="36"/>
        <v>43</v>
      </c>
      <c r="B1171" t="str">
        <f>"43.0302"</f>
        <v>43.0302</v>
      </c>
      <c r="E1171" t="s">
        <v>1264</v>
      </c>
    </row>
    <row r="1172" spans="1:5" x14ac:dyDescent="0.25">
      <c r="A1172" t="str">
        <f t="shared" si="36"/>
        <v>43</v>
      </c>
      <c r="B1172" t="str">
        <f>"43.0303"</f>
        <v>43.0303</v>
      </c>
      <c r="E1172" t="s">
        <v>1265</v>
      </c>
    </row>
    <row r="1173" spans="1:5" x14ac:dyDescent="0.25">
      <c r="A1173" t="str">
        <f t="shared" si="36"/>
        <v>43</v>
      </c>
      <c r="B1173" t="str">
        <f>"43.0304"</f>
        <v>43.0304</v>
      </c>
      <c r="E1173" t="s">
        <v>1266</v>
      </c>
    </row>
    <row r="1174" spans="1:5" x14ac:dyDescent="0.25">
      <c r="A1174" t="str">
        <f t="shared" si="36"/>
        <v>43</v>
      </c>
      <c r="B1174" t="str">
        <f>"43.0399"</f>
        <v>43.0399</v>
      </c>
      <c r="E1174" t="s">
        <v>1267</v>
      </c>
    </row>
    <row r="1175" spans="1:5" x14ac:dyDescent="0.25">
      <c r="A1175" t="str">
        <f t="shared" si="36"/>
        <v>43</v>
      </c>
      <c r="B1175" t="str">
        <f>"43.99"</f>
        <v>43.99</v>
      </c>
      <c r="D1175" t="s">
        <v>1268</v>
      </c>
    </row>
    <row r="1176" spans="1:5" x14ac:dyDescent="0.25">
      <c r="A1176" t="str">
        <f>"44"</f>
        <v>44</v>
      </c>
      <c r="B1176" t="str">
        <f>"44"</f>
        <v>44</v>
      </c>
      <c r="C1176" t="s">
        <v>1269</v>
      </c>
    </row>
    <row r="1177" spans="1:5" x14ac:dyDescent="0.25">
      <c r="A1177" t="str">
        <f t="shared" ref="A1177:A1190" si="37">"44"</f>
        <v>44</v>
      </c>
      <c r="B1177" t="str">
        <f>"44.00"</f>
        <v>44.00</v>
      </c>
      <c r="D1177" t="s">
        <v>1270</v>
      </c>
    </row>
    <row r="1178" spans="1:5" x14ac:dyDescent="0.25">
      <c r="A1178" t="str">
        <f t="shared" si="37"/>
        <v>44</v>
      </c>
      <c r="B1178" t="str">
        <f>"44.02"</f>
        <v>44.02</v>
      </c>
      <c r="D1178" t="s">
        <v>1271</v>
      </c>
    </row>
    <row r="1179" spans="1:5" x14ac:dyDescent="0.25">
      <c r="A1179" t="str">
        <f t="shared" si="37"/>
        <v>44</v>
      </c>
      <c r="B1179" t="str">
        <f>"44.04"</f>
        <v>44.04</v>
      </c>
      <c r="D1179" t="s">
        <v>1272</v>
      </c>
    </row>
    <row r="1180" spans="1:5" x14ac:dyDescent="0.25">
      <c r="A1180" t="str">
        <f t="shared" si="37"/>
        <v>44</v>
      </c>
      <c r="B1180" t="str">
        <f>"44.05"</f>
        <v>44.05</v>
      </c>
      <c r="D1180" t="s">
        <v>1273</v>
      </c>
    </row>
    <row r="1181" spans="1:5" x14ac:dyDescent="0.25">
      <c r="A1181" t="str">
        <f t="shared" si="37"/>
        <v>44</v>
      </c>
      <c r="B1181" t="str">
        <f>"44.0501"</f>
        <v>44.0501</v>
      </c>
      <c r="E1181" t="s">
        <v>1274</v>
      </c>
    </row>
    <row r="1182" spans="1:5" x14ac:dyDescent="0.25">
      <c r="A1182" t="str">
        <f t="shared" si="37"/>
        <v>44</v>
      </c>
      <c r="B1182" t="str">
        <f>"44.0502"</f>
        <v>44.0502</v>
      </c>
      <c r="E1182" t="s">
        <v>1275</v>
      </c>
    </row>
    <row r="1183" spans="1:5" x14ac:dyDescent="0.25">
      <c r="A1183" t="str">
        <f t="shared" si="37"/>
        <v>44</v>
      </c>
      <c r="B1183" t="str">
        <f>"44.0503"</f>
        <v>44.0503</v>
      </c>
      <c r="E1183" t="s">
        <v>1276</v>
      </c>
    </row>
    <row r="1184" spans="1:5" x14ac:dyDescent="0.25">
      <c r="A1184" t="str">
        <f t="shared" si="37"/>
        <v>44</v>
      </c>
      <c r="B1184" t="str">
        <f>"44.0504"</f>
        <v>44.0504</v>
      </c>
      <c r="E1184" t="s">
        <v>1277</v>
      </c>
    </row>
    <row r="1185" spans="1:5" x14ac:dyDescent="0.25">
      <c r="A1185" t="str">
        <f t="shared" si="37"/>
        <v>44</v>
      </c>
      <c r="B1185" t="str">
        <f>"44.0599"</f>
        <v>44.0599</v>
      </c>
      <c r="E1185" t="s">
        <v>1278</v>
      </c>
    </row>
    <row r="1186" spans="1:5" x14ac:dyDescent="0.25">
      <c r="A1186" t="str">
        <f t="shared" si="37"/>
        <v>44</v>
      </c>
      <c r="B1186" t="str">
        <f>"44.07"</f>
        <v>44.07</v>
      </c>
      <c r="D1186" t="s">
        <v>1279</v>
      </c>
    </row>
    <row r="1187" spans="1:5" x14ac:dyDescent="0.25">
      <c r="A1187" t="str">
        <f t="shared" si="37"/>
        <v>44</v>
      </c>
      <c r="B1187" t="str">
        <f>"44.0701"</f>
        <v>44.0701</v>
      </c>
      <c r="E1187" t="s">
        <v>1279</v>
      </c>
    </row>
    <row r="1188" spans="1:5" x14ac:dyDescent="0.25">
      <c r="A1188" t="str">
        <f t="shared" si="37"/>
        <v>44</v>
      </c>
      <c r="B1188" t="str">
        <f>"44.0702"</f>
        <v>44.0702</v>
      </c>
      <c r="E1188" t="s">
        <v>1280</v>
      </c>
    </row>
    <row r="1189" spans="1:5" x14ac:dyDescent="0.25">
      <c r="A1189" t="str">
        <f t="shared" si="37"/>
        <v>44</v>
      </c>
      <c r="B1189" t="str">
        <f>"44.0799"</f>
        <v>44.0799</v>
      </c>
      <c r="E1189" t="s">
        <v>1281</v>
      </c>
    </row>
    <row r="1190" spans="1:5" x14ac:dyDescent="0.25">
      <c r="A1190" t="str">
        <f t="shared" si="37"/>
        <v>44</v>
      </c>
      <c r="B1190" t="str">
        <f>"44.99"</f>
        <v>44.99</v>
      </c>
      <c r="D1190" t="s">
        <v>1282</v>
      </c>
    </row>
    <row r="1191" spans="1:5" x14ac:dyDescent="0.25">
      <c r="A1191" t="str">
        <f>"45"</f>
        <v>45</v>
      </c>
      <c r="B1191" t="str">
        <f>"45"</f>
        <v>45</v>
      </c>
      <c r="C1191" t="s">
        <v>1283</v>
      </c>
    </row>
    <row r="1192" spans="1:5" x14ac:dyDescent="0.25">
      <c r="A1192" t="str">
        <f t="shared" ref="A1192:A1229" si="38">"45"</f>
        <v>45</v>
      </c>
      <c r="B1192" t="str">
        <f>"45.01"</f>
        <v>45.01</v>
      </c>
      <c r="D1192" t="s">
        <v>1284</v>
      </c>
    </row>
    <row r="1193" spans="1:5" x14ac:dyDescent="0.25">
      <c r="A1193" t="str">
        <f t="shared" si="38"/>
        <v>45</v>
      </c>
      <c r="B1193" t="str">
        <f>"45.0101"</f>
        <v>45.0101</v>
      </c>
      <c r="E1193" t="s">
        <v>1284</v>
      </c>
    </row>
    <row r="1194" spans="1:5" x14ac:dyDescent="0.25">
      <c r="A1194" t="str">
        <f t="shared" si="38"/>
        <v>45</v>
      </c>
      <c r="B1194" t="str">
        <f>"45.0102"</f>
        <v>45.0102</v>
      </c>
      <c r="E1194" t="s">
        <v>1285</v>
      </c>
    </row>
    <row r="1195" spans="1:5" x14ac:dyDescent="0.25">
      <c r="A1195" t="str">
        <f t="shared" si="38"/>
        <v>45</v>
      </c>
      <c r="B1195" t="str">
        <f>"45.02"</f>
        <v>45.02</v>
      </c>
      <c r="D1195" t="s">
        <v>1286</v>
      </c>
    </row>
    <row r="1196" spans="1:5" x14ac:dyDescent="0.25">
      <c r="A1196" t="str">
        <f t="shared" si="38"/>
        <v>45</v>
      </c>
      <c r="B1196" t="str">
        <f>"45.0201"</f>
        <v>45.0201</v>
      </c>
      <c r="E1196" t="s">
        <v>1286</v>
      </c>
    </row>
    <row r="1197" spans="1:5" x14ac:dyDescent="0.25">
      <c r="A1197" t="str">
        <f t="shared" si="38"/>
        <v>45</v>
      </c>
      <c r="B1197" t="str">
        <f>"45.0202"</f>
        <v>45.0202</v>
      </c>
      <c r="E1197" t="s">
        <v>1287</v>
      </c>
    </row>
    <row r="1198" spans="1:5" x14ac:dyDescent="0.25">
      <c r="A1198" t="str">
        <f t="shared" si="38"/>
        <v>45</v>
      </c>
      <c r="B1198" t="str">
        <f>"45.0203"</f>
        <v>45.0203</v>
      </c>
      <c r="E1198" t="s">
        <v>1288</v>
      </c>
    </row>
    <row r="1199" spans="1:5" x14ac:dyDescent="0.25">
      <c r="A1199" t="str">
        <f t="shared" si="38"/>
        <v>45</v>
      </c>
      <c r="B1199" t="str">
        <f>"45.0204"</f>
        <v>45.0204</v>
      </c>
      <c r="E1199" t="s">
        <v>1289</v>
      </c>
    </row>
    <row r="1200" spans="1:5" x14ac:dyDescent="0.25">
      <c r="A1200" t="str">
        <f t="shared" si="38"/>
        <v>45</v>
      </c>
      <c r="B1200" t="str">
        <f>"45.0299"</f>
        <v>45.0299</v>
      </c>
      <c r="E1200" t="s">
        <v>1290</v>
      </c>
    </row>
    <row r="1201" spans="1:5" x14ac:dyDescent="0.25">
      <c r="A1201" t="str">
        <f t="shared" si="38"/>
        <v>45</v>
      </c>
      <c r="B1201" t="str">
        <f>"45.03"</f>
        <v>45.03</v>
      </c>
      <c r="D1201" t="s">
        <v>1291</v>
      </c>
    </row>
    <row r="1202" spans="1:5" x14ac:dyDescent="0.25">
      <c r="A1202" t="str">
        <f t="shared" si="38"/>
        <v>45</v>
      </c>
      <c r="B1202" t="str">
        <f>"45.04"</f>
        <v>45.04</v>
      </c>
      <c r="D1202" t="s">
        <v>1292</v>
      </c>
    </row>
    <row r="1203" spans="1:5" x14ac:dyDescent="0.25">
      <c r="A1203" t="str">
        <f t="shared" si="38"/>
        <v>45</v>
      </c>
      <c r="B1203" t="str">
        <f>"45.05"</f>
        <v>45.05</v>
      </c>
      <c r="D1203" t="s">
        <v>1293</v>
      </c>
    </row>
    <row r="1204" spans="1:5" x14ac:dyDescent="0.25">
      <c r="A1204" t="str">
        <f t="shared" si="38"/>
        <v>45</v>
      </c>
      <c r="B1204" t="str">
        <f>"45.06"</f>
        <v>45.06</v>
      </c>
      <c r="D1204" t="s">
        <v>1294</v>
      </c>
    </row>
    <row r="1205" spans="1:5" x14ac:dyDescent="0.25">
      <c r="A1205" t="str">
        <f t="shared" si="38"/>
        <v>45</v>
      </c>
      <c r="B1205" t="str">
        <f>"45.0601"</f>
        <v>45.0601</v>
      </c>
      <c r="E1205" t="s">
        <v>1295</v>
      </c>
    </row>
    <row r="1206" spans="1:5" x14ac:dyDescent="0.25">
      <c r="A1206" t="str">
        <f t="shared" si="38"/>
        <v>45</v>
      </c>
      <c r="B1206" t="str">
        <f>"45.0602"</f>
        <v>45.0602</v>
      </c>
      <c r="E1206" t="s">
        <v>1296</v>
      </c>
    </row>
    <row r="1207" spans="1:5" x14ac:dyDescent="0.25">
      <c r="A1207" t="str">
        <f t="shared" si="38"/>
        <v>45</v>
      </c>
      <c r="B1207" t="str">
        <f>"45.0603"</f>
        <v>45.0603</v>
      </c>
      <c r="E1207" t="s">
        <v>1297</v>
      </c>
    </row>
    <row r="1208" spans="1:5" x14ac:dyDescent="0.25">
      <c r="A1208" t="str">
        <f t="shared" si="38"/>
        <v>45</v>
      </c>
      <c r="B1208" t="str">
        <f>"45.0604"</f>
        <v>45.0604</v>
      </c>
      <c r="E1208" t="s">
        <v>1298</v>
      </c>
    </row>
    <row r="1209" spans="1:5" x14ac:dyDescent="0.25">
      <c r="A1209" t="str">
        <f t="shared" si="38"/>
        <v>45</v>
      </c>
      <c r="B1209" t="str">
        <f>"45.0605"</f>
        <v>45.0605</v>
      </c>
      <c r="E1209" t="s">
        <v>1299</v>
      </c>
    </row>
    <row r="1210" spans="1:5" x14ac:dyDescent="0.25">
      <c r="A1210" t="str">
        <f t="shared" si="38"/>
        <v>45</v>
      </c>
      <c r="B1210" t="str">
        <f>"45.0699"</f>
        <v>45.0699</v>
      </c>
      <c r="E1210" t="s">
        <v>1300</v>
      </c>
    </row>
    <row r="1211" spans="1:5" x14ac:dyDescent="0.25">
      <c r="A1211" t="str">
        <f t="shared" si="38"/>
        <v>45</v>
      </c>
      <c r="B1211" t="str">
        <f>"45.07"</f>
        <v>45.07</v>
      </c>
      <c r="D1211" t="s">
        <v>1301</v>
      </c>
    </row>
    <row r="1212" spans="1:5" x14ac:dyDescent="0.25">
      <c r="A1212" t="str">
        <f t="shared" si="38"/>
        <v>45</v>
      </c>
      <c r="B1212" t="str">
        <f>"45.0701"</f>
        <v>45.0701</v>
      </c>
      <c r="E1212" t="s">
        <v>1302</v>
      </c>
    </row>
    <row r="1213" spans="1:5" x14ac:dyDescent="0.25">
      <c r="A1213" t="str">
        <f t="shared" si="38"/>
        <v>45</v>
      </c>
      <c r="B1213" t="str">
        <f>"45.0702"</f>
        <v>45.0702</v>
      </c>
      <c r="E1213" t="s">
        <v>1303</v>
      </c>
    </row>
    <row r="1214" spans="1:5" x14ac:dyDescent="0.25">
      <c r="A1214" t="str">
        <f t="shared" si="38"/>
        <v>45</v>
      </c>
      <c r="B1214" t="str">
        <f>"45.0799"</f>
        <v>45.0799</v>
      </c>
      <c r="E1214" t="s">
        <v>1304</v>
      </c>
    </row>
    <row r="1215" spans="1:5" x14ac:dyDescent="0.25">
      <c r="A1215" t="str">
        <f t="shared" si="38"/>
        <v>45</v>
      </c>
      <c r="B1215" t="str">
        <f>"45.09"</f>
        <v>45.09</v>
      </c>
      <c r="D1215" t="s">
        <v>1305</v>
      </c>
    </row>
    <row r="1216" spans="1:5" x14ac:dyDescent="0.25">
      <c r="A1216" t="str">
        <f t="shared" si="38"/>
        <v>45</v>
      </c>
      <c r="B1216" t="str">
        <f>"45.0901"</f>
        <v>45.0901</v>
      </c>
      <c r="E1216" t="s">
        <v>1306</v>
      </c>
    </row>
    <row r="1217" spans="1:5" x14ac:dyDescent="0.25">
      <c r="A1217" t="str">
        <f t="shared" si="38"/>
        <v>45</v>
      </c>
      <c r="B1217" t="str">
        <f>"45.0902"</f>
        <v>45.0902</v>
      </c>
      <c r="E1217" t="s">
        <v>1307</v>
      </c>
    </row>
    <row r="1218" spans="1:5" x14ac:dyDescent="0.25">
      <c r="A1218" t="str">
        <f t="shared" si="38"/>
        <v>45</v>
      </c>
      <c r="B1218" t="str">
        <f>"45.0999"</f>
        <v>45.0999</v>
      </c>
      <c r="E1218" t="s">
        <v>1308</v>
      </c>
    </row>
    <row r="1219" spans="1:5" x14ac:dyDescent="0.25">
      <c r="A1219" t="str">
        <f t="shared" si="38"/>
        <v>45</v>
      </c>
      <c r="B1219" t="str">
        <f>"45.10"</f>
        <v>45.10</v>
      </c>
      <c r="D1219" t="s">
        <v>1309</v>
      </c>
    </row>
    <row r="1220" spans="1:5" x14ac:dyDescent="0.25">
      <c r="A1220" t="str">
        <f t="shared" si="38"/>
        <v>45</v>
      </c>
      <c r="B1220" t="str">
        <f>"45.1001"</f>
        <v>45.1001</v>
      </c>
      <c r="E1220" t="s">
        <v>1310</v>
      </c>
    </row>
    <row r="1221" spans="1:5" x14ac:dyDescent="0.25">
      <c r="A1221" t="str">
        <f t="shared" si="38"/>
        <v>45</v>
      </c>
      <c r="B1221" t="str">
        <f>"45.1002"</f>
        <v>45.1002</v>
      </c>
      <c r="E1221" t="s">
        <v>1311</v>
      </c>
    </row>
    <row r="1222" spans="1:5" x14ac:dyDescent="0.25">
      <c r="A1222" t="str">
        <f t="shared" si="38"/>
        <v>45</v>
      </c>
      <c r="B1222" t="str">
        <f>"45.1003"</f>
        <v>45.1003</v>
      </c>
      <c r="E1222" t="s">
        <v>1312</v>
      </c>
    </row>
    <row r="1223" spans="1:5" x14ac:dyDescent="0.25">
      <c r="A1223" t="str">
        <f t="shared" si="38"/>
        <v>45</v>
      </c>
      <c r="B1223" t="str">
        <f>"45.1004"</f>
        <v>45.1004</v>
      </c>
      <c r="E1223" t="s">
        <v>1313</v>
      </c>
    </row>
    <row r="1224" spans="1:5" x14ac:dyDescent="0.25">
      <c r="A1224" t="str">
        <f t="shared" si="38"/>
        <v>45</v>
      </c>
      <c r="B1224" t="str">
        <f>"45.1099"</f>
        <v>45.1099</v>
      </c>
      <c r="E1224" t="s">
        <v>1314</v>
      </c>
    </row>
    <row r="1225" spans="1:5" x14ac:dyDescent="0.25">
      <c r="A1225" t="str">
        <f t="shared" si="38"/>
        <v>45</v>
      </c>
      <c r="B1225" t="str">
        <f>"45.11"</f>
        <v>45.11</v>
      </c>
      <c r="D1225" t="s">
        <v>1315</v>
      </c>
    </row>
    <row r="1226" spans="1:5" x14ac:dyDescent="0.25">
      <c r="A1226" t="str">
        <f t="shared" si="38"/>
        <v>45</v>
      </c>
      <c r="B1226" t="str">
        <f>"45.12"</f>
        <v>45.12</v>
      </c>
      <c r="D1226" t="s">
        <v>1316</v>
      </c>
    </row>
    <row r="1227" spans="1:5" x14ac:dyDescent="0.25">
      <c r="A1227" t="str">
        <f t="shared" si="38"/>
        <v>45</v>
      </c>
      <c r="B1227" t="str">
        <f>"45.13"</f>
        <v>45.13</v>
      </c>
      <c r="D1227" t="s">
        <v>1317</v>
      </c>
    </row>
    <row r="1228" spans="1:5" x14ac:dyDescent="0.25">
      <c r="A1228" t="str">
        <f t="shared" si="38"/>
        <v>45</v>
      </c>
      <c r="B1228" t="str">
        <f>"45.14"</f>
        <v>45.14</v>
      </c>
      <c r="D1228" t="s">
        <v>1318</v>
      </c>
    </row>
    <row r="1229" spans="1:5" x14ac:dyDescent="0.25">
      <c r="A1229" t="str">
        <f t="shared" si="38"/>
        <v>45</v>
      </c>
      <c r="B1229" t="str">
        <f>"45.99"</f>
        <v>45.99</v>
      </c>
      <c r="D1229" t="s">
        <v>1319</v>
      </c>
    </row>
    <row r="1230" spans="1:5" x14ac:dyDescent="0.25">
      <c r="A1230" t="str">
        <f>"46"</f>
        <v>46</v>
      </c>
      <c r="B1230" t="str">
        <f>"46"</f>
        <v>46</v>
      </c>
      <c r="C1230" t="s">
        <v>1320</v>
      </c>
    </row>
    <row r="1231" spans="1:5" x14ac:dyDescent="0.25">
      <c r="A1231" t="str">
        <f t="shared" ref="A1231:A1259" si="39">"46"</f>
        <v>46</v>
      </c>
      <c r="B1231" t="str">
        <f>"46.00"</f>
        <v>46.00</v>
      </c>
      <c r="D1231" t="s">
        <v>1321</v>
      </c>
    </row>
    <row r="1232" spans="1:5" x14ac:dyDescent="0.25">
      <c r="A1232" t="str">
        <f t="shared" si="39"/>
        <v>46</v>
      </c>
      <c r="B1232" t="str">
        <f>"46.01"</f>
        <v>46.01</v>
      </c>
      <c r="D1232" t="s">
        <v>1322</v>
      </c>
    </row>
    <row r="1233" spans="1:5" x14ac:dyDescent="0.25">
      <c r="A1233" t="str">
        <f t="shared" si="39"/>
        <v>46</v>
      </c>
      <c r="B1233" t="str">
        <f>"46.02"</f>
        <v>46.02</v>
      </c>
      <c r="D1233" t="s">
        <v>1323</v>
      </c>
    </row>
    <row r="1234" spans="1:5" x14ac:dyDescent="0.25">
      <c r="A1234" t="str">
        <f t="shared" si="39"/>
        <v>46</v>
      </c>
      <c r="B1234" t="str">
        <f>"46.03"</f>
        <v>46.03</v>
      </c>
      <c r="D1234" t="s">
        <v>1324</v>
      </c>
    </row>
    <row r="1235" spans="1:5" x14ac:dyDescent="0.25">
      <c r="A1235" t="str">
        <f t="shared" si="39"/>
        <v>46</v>
      </c>
      <c r="B1235" t="str">
        <f>"46.0301"</f>
        <v>46.0301</v>
      </c>
      <c r="E1235" t="s">
        <v>1325</v>
      </c>
    </row>
    <row r="1236" spans="1:5" x14ac:dyDescent="0.25">
      <c r="A1236" t="str">
        <f t="shared" si="39"/>
        <v>46</v>
      </c>
      <c r="B1236" t="str">
        <f>"46.0302"</f>
        <v>46.0302</v>
      </c>
      <c r="E1236" t="s">
        <v>1326</v>
      </c>
    </row>
    <row r="1237" spans="1:5" x14ac:dyDescent="0.25">
      <c r="A1237" t="str">
        <f t="shared" si="39"/>
        <v>46</v>
      </c>
      <c r="B1237" t="str">
        <f>"46.0303"</f>
        <v>46.0303</v>
      </c>
      <c r="E1237" t="s">
        <v>1327</v>
      </c>
    </row>
    <row r="1238" spans="1:5" x14ac:dyDescent="0.25">
      <c r="A1238" t="str">
        <f t="shared" si="39"/>
        <v>46</v>
      </c>
      <c r="B1238" t="str">
        <f>"46.0399"</f>
        <v>46.0399</v>
      </c>
      <c r="E1238" t="s">
        <v>1328</v>
      </c>
    </row>
    <row r="1239" spans="1:5" x14ac:dyDescent="0.25">
      <c r="A1239" t="str">
        <f t="shared" si="39"/>
        <v>46</v>
      </c>
      <c r="B1239" t="str">
        <f>"46.04"</f>
        <v>46.04</v>
      </c>
      <c r="D1239" t="s">
        <v>1329</v>
      </c>
    </row>
    <row r="1240" spans="1:5" x14ac:dyDescent="0.25">
      <c r="A1240" t="str">
        <f t="shared" si="39"/>
        <v>46</v>
      </c>
      <c r="B1240" t="str">
        <f>"46.0401"</f>
        <v>46.0401</v>
      </c>
      <c r="E1240" t="s">
        <v>1330</v>
      </c>
    </row>
    <row r="1241" spans="1:5" x14ac:dyDescent="0.25">
      <c r="A1241" t="str">
        <f t="shared" si="39"/>
        <v>46</v>
      </c>
      <c r="B1241" t="str">
        <f>"46.0402"</f>
        <v>46.0402</v>
      </c>
      <c r="E1241" t="s">
        <v>1331</v>
      </c>
    </row>
    <row r="1242" spans="1:5" x14ac:dyDescent="0.25">
      <c r="A1242" t="str">
        <f t="shared" si="39"/>
        <v>46</v>
      </c>
      <c r="B1242" t="str">
        <f>"46.0403"</f>
        <v>46.0403</v>
      </c>
      <c r="E1242" t="s">
        <v>1332</v>
      </c>
    </row>
    <row r="1243" spans="1:5" x14ac:dyDescent="0.25">
      <c r="A1243" t="str">
        <f t="shared" si="39"/>
        <v>46</v>
      </c>
      <c r="B1243" t="str">
        <f>"46.0404"</f>
        <v>46.0404</v>
      </c>
      <c r="E1243" t="s">
        <v>1333</v>
      </c>
    </row>
    <row r="1244" spans="1:5" x14ac:dyDescent="0.25">
      <c r="A1244" t="str">
        <f t="shared" si="39"/>
        <v>46</v>
      </c>
      <c r="B1244" t="str">
        <f>"46.0406"</f>
        <v>46.0406</v>
      </c>
      <c r="E1244" t="s">
        <v>1334</v>
      </c>
    </row>
    <row r="1245" spans="1:5" x14ac:dyDescent="0.25">
      <c r="A1245" t="str">
        <f t="shared" si="39"/>
        <v>46</v>
      </c>
      <c r="B1245" t="str">
        <f>"46.0408"</f>
        <v>46.0408</v>
      </c>
      <c r="E1245" t="s">
        <v>1335</v>
      </c>
    </row>
    <row r="1246" spans="1:5" x14ac:dyDescent="0.25">
      <c r="A1246" t="str">
        <f t="shared" si="39"/>
        <v>46</v>
      </c>
      <c r="B1246" t="str">
        <f>"46.0410"</f>
        <v>46.0410</v>
      </c>
      <c r="E1246" t="s">
        <v>1336</v>
      </c>
    </row>
    <row r="1247" spans="1:5" x14ac:dyDescent="0.25">
      <c r="A1247" t="str">
        <f t="shared" si="39"/>
        <v>46</v>
      </c>
      <c r="B1247" t="str">
        <f>"46.0411"</f>
        <v>46.0411</v>
      </c>
      <c r="E1247" t="s">
        <v>1337</v>
      </c>
    </row>
    <row r="1248" spans="1:5" x14ac:dyDescent="0.25">
      <c r="A1248" t="str">
        <f t="shared" si="39"/>
        <v>46</v>
      </c>
      <c r="B1248" t="str">
        <f>"46.0412"</f>
        <v>46.0412</v>
      </c>
      <c r="E1248" t="s">
        <v>1338</v>
      </c>
    </row>
    <row r="1249" spans="1:5" x14ac:dyDescent="0.25">
      <c r="A1249" t="str">
        <f t="shared" si="39"/>
        <v>46</v>
      </c>
      <c r="B1249" t="str">
        <f>"46.0413"</f>
        <v>46.0413</v>
      </c>
      <c r="E1249" t="s">
        <v>1339</v>
      </c>
    </row>
    <row r="1250" spans="1:5" x14ac:dyDescent="0.25">
      <c r="A1250" t="str">
        <f t="shared" si="39"/>
        <v>46</v>
      </c>
      <c r="B1250" t="str">
        <f>"46.0414"</f>
        <v>46.0414</v>
      </c>
      <c r="E1250" t="s">
        <v>1340</v>
      </c>
    </row>
    <row r="1251" spans="1:5" x14ac:dyDescent="0.25">
      <c r="A1251" t="str">
        <f t="shared" si="39"/>
        <v>46</v>
      </c>
      <c r="B1251" t="str">
        <f>"46.0415"</f>
        <v>46.0415</v>
      </c>
      <c r="E1251" t="s">
        <v>1341</v>
      </c>
    </row>
    <row r="1252" spans="1:5" x14ac:dyDescent="0.25">
      <c r="A1252" t="str">
        <f t="shared" si="39"/>
        <v>46</v>
      </c>
      <c r="B1252" t="str">
        <f>"46.0499"</f>
        <v>46.0499</v>
      </c>
      <c r="E1252" t="s">
        <v>1342</v>
      </c>
    </row>
    <row r="1253" spans="1:5" x14ac:dyDescent="0.25">
      <c r="A1253" t="str">
        <f t="shared" si="39"/>
        <v>46</v>
      </c>
      <c r="B1253" t="str">
        <f>"46.05"</f>
        <v>46.05</v>
      </c>
      <c r="D1253" t="s">
        <v>1343</v>
      </c>
    </row>
    <row r="1254" spans="1:5" x14ac:dyDescent="0.25">
      <c r="A1254" t="str">
        <f t="shared" si="39"/>
        <v>46</v>
      </c>
      <c r="B1254" t="str">
        <f>"46.0502"</f>
        <v>46.0502</v>
      </c>
      <c r="E1254" t="s">
        <v>1344</v>
      </c>
    </row>
    <row r="1255" spans="1:5" x14ac:dyDescent="0.25">
      <c r="A1255" t="str">
        <f t="shared" si="39"/>
        <v>46</v>
      </c>
      <c r="B1255" t="str">
        <f>"46.0503"</f>
        <v>46.0503</v>
      </c>
      <c r="E1255" t="s">
        <v>1345</v>
      </c>
    </row>
    <row r="1256" spans="1:5" x14ac:dyDescent="0.25">
      <c r="A1256" t="str">
        <f t="shared" si="39"/>
        <v>46</v>
      </c>
      <c r="B1256" t="str">
        <f>"46.0504"</f>
        <v>46.0504</v>
      </c>
      <c r="E1256" t="s">
        <v>1346</v>
      </c>
    </row>
    <row r="1257" spans="1:5" x14ac:dyDescent="0.25">
      <c r="A1257" t="str">
        <f t="shared" si="39"/>
        <v>46</v>
      </c>
      <c r="B1257" t="str">
        <f>"46.0505"</f>
        <v>46.0505</v>
      </c>
      <c r="E1257" t="s">
        <v>1347</v>
      </c>
    </row>
    <row r="1258" spans="1:5" x14ac:dyDescent="0.25">
      <c r="A1258" t="str">
        <f t="shared" si="39"/>
        <v>46</v>
      </c>
      <c r="B1258" t="str">
        <f>"46.0599"</f>
        <v>46.0599</v>
      </c>
      <c r="E1258" t="s">
        <v>1348</v>
      </c>
    </row>
    <row r="1259" spans="1:5" x14ac:dyDescent="0.25">
      <c r="A1259" t="str">
        <f t="shared" si="39"/>
        <v>46</v>
      </c>
      <c r="B1259" t="str">
        <f>"46.99"</f>
        <v>46.99</v>
      </c>
      <c r="D1259" t="s">
        <v>1349</v>
      </c>
    </row>
    <row r="1260" spans="1:5" x14ac:dyDescent="0.25">
      <c r="A1260" t="str">
        <f>"47"</f>
        <v>47</v>
      </c>
      <c r="B1260" t="str">
        <f>"47"</f>
        <v>47</v>
      </c>
      <c r="C1260" t="s">
        <v>1350</v>
      </c>
    </row>
    <row r="1261" spans="1:5" x14ac:dyDescent="0.25">
      <c r="A1261" t="str">
        <f t="shared" ref="A1261:A1302" si="40">"47"</f>
        <v>47</v>
      </c>
      <c r="B1261" t="str">
        <f>"47.00"</f>
        <v>47.00</v>
      </c>
      <c r="D1261" t="s">
        <v>1351</v>
      </c>
    </row>
    <row r="1262" spans="1:5" x14ac:dyDescent="0.25">
      <c r="A1262" t="str">
        <f t="shared" si="40"/>
        <v>47</v>
      </c>
      <c r="B1262" t="str">
        <f>"47.01"</f>
        <v>47.01</v>
      </c>
      <c r="D1262" t="s">
        <v>1352</v>
      </c>
    </row>
    <row r="1263" spans="1:5" x14ac:dyDescent="0.25">
      <c r="A1263" t="str">
        <f t="shared" si="40"/>
        <v>47</v>
      </c>
      <c r="B1263" t="str">
        <f>"47.0101"</f>
        <v>47.0101</v>
      </c>
      <c r="E1263" t="s">
        <v>1353</v>
      </c>
    </row>
    <row r="1264" spans="1:5" x14ac:dyDescent="0.25">
      <c r="A1264" t="str">
        <f t="shared" si="40"/>
        <v>47</v>
      </c>
      <c r="B1264" t="str">
        <f>"47.0102"</f>
        <v>47.0102</v>
      </c>
      <c r="E1264" t="s">
        <v>1354</v>
      </c>
    </row>
    <row r="1265" spans="1:5" x14ac:dyDescent="0.25">
      <c r="A1265" t="str">
        <f t="shared" si="40"/>
        <v>47</v>
      </c>
      <c r="B1265" t="str">
        <f>"47.0103"</f>
        <v>47.0103</v>
      </c>
      <c r="E1265" t="s">
        <v>1355</v>
      </c>
    </row>
    <row r="1266" spans="1:5" x14ac:dyDescent="0.25">
      <c r="A1266" t="str">
        <f t="shared" si="40"/>
        <v>47</v>
      </c>
      <c r="B1266" t="str">
        <f>"47.0104"</f>
        <v>47.0104</v>
      </c>
      <c r="E1266" t="s">
        <v>1356</v>
      </c>
    </row>
    <row r="1267" spans="1:5" x14ac:dyDescent="0.25">
      <c r="A1267" t="str">
        <f t="shared" si="40"/>
        <v>47</v>
      </c>
      <c r="B1267" t="str">
        <f>"47.0105"</f>
        <v>47.0105</v>
      </c>
      <c r="E1267" t="s">
        <v>1357</v>
      </c>
    </row>
    <row r="1268" spans="1:5" x14ac:dyDescent="0.25">
      <c r="A1268" t="str">
        <f t="shared" si="40"/>
        <v>47</v>
      </c>
      <c r="B1268" t="str">
        <f>"47.0106"</f>
        <v>47.0106</v>
      </c>
      <c r="E1268" t="s">
        <v>1358</v>
      </c>
    </row>
    <row r="1269" spans="1:5" x14ac:dyDescent="0.25">
      <c r="A1269" t="str">
        <f t="shared" si="40"/>
        <v>47</v>
      </c>
      <c r="B1269" t="str">
        <f>"47.0110"</f>
        <v>47.0110</v>
      </c>
      <c r="E1269" t="s">
        <v>1359</v>
      </c>
    </row>
    <row r="1270" spans="1:5" x14ac:dyDescent="0.25">
      <c r="A1270" t="str">
        <f t="shared" si="40"/>
        <v>47</v>
      </c>
      <c r="B1270" t="str">
        <f>"47.0199"</f>
        <v>47.0199</v>
      </c>
      <c r="E1270" t="s">
        <v>1360</v>
      </c>
    </row>
    <row r="1271" spans="1:5" x14ac:dyDescent="0.25">
      <c r="A1271" t="str">
        <f t="shared" si="40"/>
        <v>47</v>
      </c>
      <c r="B1271" t="str">
        <f>"47.02"</f>
        <v>47.02</v>
      </c>
      <c r="D1271" t="s">
        <v>1361</v>
      </c>
    </row>
    <row r="1272" spans="1:5" x14ac:dyDescent="0.25">
      <c r="A1272" t="str">
        <f t="shared" si="40"/>
        <v>47</v>
      </c>
      <c r="B1272" t="str">
        <f>"47.03"</f>
        <v>47.03</v>
      </c>
      <c r="D1272" t="s">
        <v>1362</v>
      </c>
    </row>
    <row r="1273" spans="1:5" x14ac:dyDescent="0.25">
      <c r="A1273" t="str">
        <f t="shared" si="40"/>
        <v>47</v>
      </c>
      <c r="B1273" t="str">
        <f>"47.0302"</f>
        <v>47.0302</v>
      </c>
      <c r="E1273" t="s">
        <v>1363</v>
      </c>
    </row>
    <row r="1274" spans="1:5" x14ac:dyDescent="0.25">
      <c r="A1274" t="str">
        <f t="shared" si="40"/>
        <v>47</v>
      </c>
      <c r="B1274" t="str">
        <f>"47.0303"</f>
        <v>47.0303</v>
      </c>
      <c r="E1274" t="s">
        <v>1364</v>
      </c>
    </row>
    <row r="1275" spans="1:5" x14ac:dyDescent="0.25">
      <c r="A1275" t="str">
        <f t="shared" si="40"/>
        <v>47</v>
      </c>
      <c r="B1275" t="str">
        <f>"47.0399"</f>
        <v>47.0399</v>
      </c>
      <c r="E1275" t="s">
        <v>1365</v>
      </c>
    </row>
    <row r="1276" spans="1:5" x14ac:dyDescent="0.25">
      <c r="A1276" t="str">
        <f t="shared" si="40"/>
        <v>47</v>
      </c>
      <c r="B1276" t="str">
        <f>"47.04"</f>
        <v>47.04</v>
      </c>
      <c r="D1276" t="s">
        <v>1366</v>
      </c>
    </row>
    <row r="1277" spans="1:5" x14ac:dyDescent="0.25">
      <c r="A1277" t="str">
        <f t="shared" si="40"/>
        <v>47</v>
      </c>
      <c r="B1277" t="str">
        <f>"47.0402"</f>
        <v>47.0402</v>
      </c>
      <c r="E1277" t="s">
        <v>1367</v>
      </c>
    </row>
    <row r="1278" spans="1:5" x14ac:dyDescent="0.25">
      <c r="A1278" t="str">
        <f t="shared" si="40"/>
        <v>47</v>
      </c>
      <c r="B1278" t="str">
        <f>"47.0403"</f>
        <v>47.0403</v>
      </c>
      <c r="E1278" t="s">
        <v>1368</v>
      </c>
    </row>
    <row r="1279" spans="1:5" x14ac:dyDescent="0.25">
      <c r="A1279" t="str">
        <f t="shared" si="40"/>
        <v>47</v>
      </c>
      <c r="B1279" t="str">
        <f>"47.0404"</f>
        <v>47.0404</v>
      </c>
      <c r="E1279" t="s">
        <v>1369</v>
      </c>
    </row>
    <row r="1280" spans="1:5" x14ac:dyDescent="0.25">
      <c r="A1280" t="str">
        <f t="shared" si="40"/>
        <v>47</v>
      </c>
      <c r="B1280" t="str">
        <f>"47.0408"</f>
        <v>47.0408</v>
      </c>
      <c r="E1280" t="s">
        <v>1370</v>
      </c>
    </row>
    <row r="1281" spans="1:5" x14ac:dyDescent="0.25">
      <c r="A1281" t="str">
        <f t="shared" si="40"/>
        <v>47</v>
      </c>
      <c r="B1281" t="str">
        <f>"47.0409"</f>
        <v>47.0409</v>
      </c>
      <c r="E1281" t="s">
        <v>1371</v>
      </c>
    </row>
    <row r="1282" spans="1:5" x14ac:dyDescent="0.25">
      <c r="A1282" t="str">
        <f t="shared" si="40"/>
        <v>47</v>
      </c>
      <c r="B1282" t="str">
        <f>"47.0499"</f>
        <v>47.0499</v>
      </c>
      <c r="E1282" t="s">
        <v>1372</v>
      </c>
    </row>
    <row r="1283" spans="1:5" x14ac:dyDescent="0.25">
      <c r="A1283" t="str">
        <f t="shared" si="40"/>
        <v>47</v>
      </c>
      <c r="B1283" t="str">
        <f>"47.06"</f>
        <v>47.06</v>
      </c>
      <c r="D1283" t="s">
        <v>1373</v>
      </c>
    </row>
    <row r="1284" spans="1:5" x14ac:dyDescent="0.25">
      <c r="A1284" t="str">
        <f t="shared" si="40"/>
        <v>47</v>
      </c>
      <c r="B1284" t="str">
        <f>"47.0600"</f>
        <v>47.0600</v>
      </c>
      <c r="E1284" t="s">
        <v>1374</v>
      </c>
    </row>
    <row r="1285" spans="1:5" x14ac:dyDescent="0.25">
      <c r="A1285" t="str">
        <f t="shared" si="40"/>
        <v>47</v>
      </c>
      <c r="B1285" t="str">
        <f>"47.0603"</f>
        <v>47.0603</v>
      </c>
      <c r="E1285" t="s">
        <v>1375</v>
      </c>
    </row>
    <row r="1286" spans="1:5" x14ac:dyDescent="0.25">
      <c r="A1286" t="str">
        <f t="shared" si="40"/>
        <v>47</v>
      </c>
      <c r="B1286" t="str">
        <f>"47.0604"</f>
        <v>47.0604</v>
      </c>
      <c r="E1286" t="s">
        <v>1376</v>
      </c>
    </row>
    <row r="1287" spans="1:5" x14ac:dyDescent="0.25">
      <c r="A1287" t="str">
        <f t="shared" si="40"/>
        <v>47</v>
      </c>
      <c r="B1287" t="str">
        <f>"47.0605"</f>
        <v>47.0605</v>
      </c>
      <c r="E1287" t="s">
        <v>1377</v>
      </c>
    </row>
    <row r="1288" spans="1:5" x14ac:dyDescent="0.25">
      <c r="A1288" t="str">
        <f t="shared" si="40"/>
        <v>47</v>
      </c>
      <c r="B1288" t="str">
        <f>"47.0606"</f>
        <v>47.0606</v>
      </c>
      <c r="E1288" t="s">
        <v>1378</v>
      </c>
    </row>
    <row r="1289" spans="1:5" x14ac:dyDescent="0.25">
      <c r="A1289" t="str">
        <f t="shared" si="40"/>
        <v>47</v>
      </c>
      <c r="B1289" t="str">
        <f>"47.0607"</f>
        <v>47.0607</v>
      </c>
      <c r="E1289" t="s">
        <v>1379</v>
      </c>
    </row>
    <row r="1290" spans="1:5" x14ac:dyDescent="0.25">
      <c r="A1290" t="str">
        <f t="shared" si="40"/>
        <v>47</v>
      </c>
      <c r="B1290" t="str">
        <f>"47.0608"</f>
        <v>47.0608</v>
      </c>
      <c r="E1290" t="s">
        <v>1380</v>
      </c>
    </row>
    <row r="1291" spans="1:5" x14ac:dyDescent="0.25">
      <c r="A1291" t="str">
        <f t="shared" si="40"/>
        <v>47</v>
      </c>
      <c r="B1291" t="str">
        <f>"47.0609"</f>
        <v>47.0609</v>
      </c>
      <c r="E1291" t="s">
        <v>1381</v>
      </c>
    </row>
    <row r="1292" spans="1:5" x14ac:dyDescent="0.25">
      <c r="A1292" t="str">
        <f t="shared" si="40"/>
        <v>47</v>
      </c>
      <c r="B1292" t="str">
        <f>"47.0610"</f>
        <v>47.0610</v>
      </c>
      <c r="E1292" t="s">
        <v>1382</v>
      </c>
    </row>
    <row r="1293" spans="1:5" x14ac:dyDescent="0.25">
      <c r="A1293" t="str">
        <f t="shared" si="40"/>
        <v>47</v>
      </c>
      <c r="B1293" t="str">
        <f>"47.0611"</f>
        <v>47.0611</v>
      </c>
      <c r="E1293" t="s">
        <v>1383</v>
      </c>
    </row>
    <row r="1294" spans="1:5" x14ac:dyDescent="0.25">
      <c r="A1294" t="str">
        <f t="shared" si="40"/>
        <v>47</v>
      </c>
      <c r="B1294" t="str">
        <f>"47.0612"</f>
        <v>47.0612</v>
      </c>
      <c r="E1294" t="s">
        <v>1384</v>
      </c>
    </row>
    <row r="1295" spans="1:5" x14ac:dyDescent="0.25">
      <c r="A1295" t="str">
        <f t="shared" si="40"/>
        <v>47</v>
      </c>
      <c r="B1295" t="str">
        <f>"47.0613"</f>
        <v>47.0613</v>
      </c>
      <c r="E1295" t="s">
        <v>1385</v>
      </c>
    </row>
    <row r="1296" spans="1:5" x14ac:dyDescent="0.25">
      <c r="A1296" t="str">
        <f t="shared" si="40"/>
        <v>47</v>
      </c>
      <c r="B1296" t="str">
        <f>"47.0614"</f>
        <v>47.0614</v>
      </c>
      <c r="E1296" t="s">
        <v>1386</v>
      </c>
    </row>
    <row r="1297" spans="1:5" x14ac:dyDescent="0.25">
      <c r="A1297" t="str">
        <f t="shared" si="40"/>
        <v>47</v>
      </c>
      <c r="B1297" t="str">
        <f>"47.0615"</f>
        <v>47.0615</v>
      </c>
      <c r="E1297" t="s">
        <v>1387</v>
      </c>
    </row>
    <row r="1298" spans="1:5" x14ac:dyDescent="0.25">
      <c r="A1298" t="str">
        <f t="shared" si="40"/>
        <v>47</v>
      </c>
      <c r="B1298" t="str">
        <f>"47.0616"</f>
        <v>47.0616</v>
      </c>
      <c r="E1298" t="s">
        <v>1388</v>
      </c>
    </row>
    <row r="1299" spans="1:5" x14ac:dyDescent="0.25">
      <c r="A1299" t="str">
        <f t="shared" si="40"/>
        <v>47</v>
      </c>
      <c r="B1299" t="str">
        <f>"47.0617"</f>
        <v>47.0617</v>
      </c>
      <c r="E1299" t="s">
        <v>1389</v>
      </c>
    </row>
    <row r="1300" spans="1:5" x14ac:dyDescent="0.25">
      <c r="A1300" t="str">
        <f t="shared" si="40"/>
        <v>47</v>
      </c>
      <c r="B1300" t="str">
        <f>"47.0618"</f>
        <v>47.0618</v>
      </c>
      <c r="E1300" t="s">
        <v>1390</v>
      </c>
    </row>
    <row r="1301" spans="1:5" x14ac:dyDescent="0.25">
      <c r="A1301" t="str">
        <f t="shared" si="40"/>
        <v>47</v>
      </c>
      <c r="B1301" t="str">
        <f>"47.0699"</f>
        <v>47.0699</v>
      </c>
      <c r="E1301" t="s">
        <v>1391</v>
      </c>
    </row>
    <row r="1302" spans="1:5" x14ac:dyDescent="0.25">
      <c r="A1302" t="str">
        <f t="shared" si="40"/>
        <v>47</v>
      </c>
      <c r="B1302" t="str">
        <f>"47.99"</f>
        <v>47.99</v>
      </c>
      <c r="D1302" t="s">
        <v>1392</v>
      </c>
    </row>
    <row r="1303" spans="1:5" x14ac:dyDescent="0.25">
      <c r="A1303" t="str">
        <f>"48"</f>
        <v>48</v>
      </c>
      <c r="B1303" t="str">
        <f>"48"</f>
        <v>48</v>
      </c>
      <c r="C1303" t="s">
        <v>1393</v>
      </c>
    </row>
    <row r="1304" spans="1:5" x14ac:dyDescent="0.25">
      <c r="A1304" t="str">
        <f t="shared" ref="A1304:A1325" si="41">"48"</f>
        <v>48</v>
      </c>
      <c r="B1304" t="str">
        <f>"48.00"</f>
        <v>48.00</v>
      </c>
      <c r="D1304" t="s">
        <v>1394</v>
      </c>
    </row>
    <row r="1305" spans="1:5" x14ac:dyDescent="0.25">
      <c r="A1305" t="str">
        <f t="shared" si="41"/>
        <v>48</v>
      </c>
      <c r="B1305" t="str">
        <f>"48.03"</f>
        <v>48.03</v>
      </c>
      <c r="D1305" t="s">
        <v>1395</v>
      </c>
    </row>
    <row r="1306" spans="1:5" x14ac:dyDescent="0.25">
      <c r="A1306" t="str">
        <f t="shared" si="41"/>
        <v>48</v>
      </c>
      <c r="B1306" t="str">
        <f>"48.0303"</f>
        <v>48.0303</v>
      </c>
      <c r="E1306" t="s">
        <v>1396</v>
      </c>
    </row>
    <row r="1307" spans="1:5" x14ac:dyDescent="0.25">
      <c r="A1307" t="str">
        <f t="shared" si="41"/>
        <v>48</v>
      </c>
      <c r="B1307" t="str">
        <f>"48.0304"</f>
        <v>48.0304</v>
      </c>
      <c r="E1307" t="s">
        <v>1397</v>
      </c>
    </row>
    <row r="1308" spans="1:5" x14ac:dyDescent="0.25">
      <c r="A1308" t="str">
        <f t="shared" si="41"/>
        <v>48</v>
      </c>
      <c r="B1308" t="str">
        <f>"48.0399"</f>
        <v>48.0399</v>
      </c>
      <c r="E1308" t="s">
        <v>1398</v>
      </c>
    </row>
    <row r="1309" spans="1:5" x14ac:dyDescent="0.25">
      <c r="A1309" t="str">
        <f t="shared" si="41"/>
        <v>48</v>
      </c>
      <c r="B1309" t="str">
        <f>"48.05"</f>
        <v>48.05</v>
      </c>
      <c r="D1309" t="s">
        <v>1399</v>
      </c>
    </row>
    <row r="1310" spans="1:5" x14ac:dyDescent="0.25">
      <c r="A1310" t="str">
        <f t="shared" si="41"/>
        <v>48</v>
      </c>
      <c r="B1310" t="str">
        <f>"48.0501"</f>
        <v>48.0501</v>
      </c>
      <c r="E1310" t="s">
        <v>1400</v>
      </c>
    </row>
    <row r="1311" spans="1:5" x14ac:dyDescent="0.25">
      <c r="A1311" t="str">
        <f t="shared" si="41"/>
        <v>48</v>
      </c>
      <c r="B1311" t="str">
        <f>"48.0503"</f>
        <v>48.0503</v>
      </c>
      <c r="E1311" t="s">
        <v>1401</v>
      </c>
    </row>
    <row r="1312" spans="1:5" x14ac:dyDescent="0.25">
      <c r="A1312" t="str">
        <f t="shared" si="41"/>
        <v>48</v>
      </c>
      <c r="B1312" t="str">
        <f>"48.0506"</f>
        <v>48.0506</v>
      </c>
      <c r="E1312" t="s">
        <v>1402</v>
      </c>
    </row>
    <row r="1313" spans="1:5" x14ac:dyDescent="0.25">
      <c r="A1313" t="str">
        <f t="shared" si="41"/>
        <v>48</v>
      </c>
      <c r="B1313" t="str">
        <f>"48.0507"</f>
        <v>48.0507</v>
      </c>
      <c r="E1313" t="s">
        <v>1403</v>
      </c>
    </row>
    <row r="1314" spans="1:5" x14ac:dyDescent="0.25">
      <c r="A1314" t="str">
        <f t="shared" si="41"/>
        <v>48</v>
      </c>
      <c r="B1314" t="str">
        <f>"48.0508"</f>
        <v>48.0508</v>
      </c>
      <c r="E1314" t="s">
        <v>1404</v>
      </c>
    </row>
    <row r="1315" spans="1:5" x14ac:dyDescent="0.25">
      <c r="A1315" t="str">
        <f t="shared" si="41"/>
        <v>48</v>
      </c>
      <c r="B1315" t="str">
        <f>"48.0509"</f>
        <v>48.0509</v>
      </c>
      <c r="E1315" t="s">
        <v>1405</v>
      </c>
    </row>
    <row r="1316" spans="1:5" x14ac:dyDescent="0.25">
      <c r="A1316" t="str">
        <f t="shared" si="41"/>
        <v>48</v>
      </c>
      <c r="B1316" t="str">
        <f>"48.0510"</f>
        <v>48.0510</v>
      </c>
      <c r="E1316" t="s">
        <v>1406</v>
      </c>
    </row>
    <row r="1317" spans="1:5" x14ac:dyDescent="0.25">
      <c r="A1317" t="str">
        <f t="shared" si="41"/>
        <v>48</v>
      </c>
      <c r="B1317" t="str">
        <f>"48.0511"</f>
        <v>48.0511</v>
      </c>
      <c r="E1317" t="s">
        <v>1407</v>
      </c>
    </row>
    <row r="1318" spans="1:5" x14ac:dyDescent="0.25">
      <c r="A1318" t="str">
        <f t="shared" si="41"/>
        <v>48</v>
      </c>
      <c r="B1318" t="str">
        <f>"48.0599"</f>
        <v>48.0599</v>
      </c>
      <c r="E1318" t="s">
        <v>1408</v>
      </c>
    </row>
    <row r="1319" spans="1:5" x14ac:dyDescent="0.25">
      <c r="A1319" t="str">
        <f t="shared" si="41"/>
        <v>48</v>
      </c>
      <c r="B1319" t="str">
        <f>"48.07"</f>
        <v>48.07</v>
      </c>
      <c r="D1319" t="s">
        <v>1409</v>
      </c>
    </row>
    <row r="1320" spans="1:5" x14ac:dyDescent="0.25">
      <c r="A1320" t="str">
        <f t="shared" si="41"/>
        <v>48</v>
      </c>
      <c r="B1320" t="str">
        <f>"48.0701"</f>
        <v>48.0701</v>
      </c>
      <c r="E1320" t="s">
        <v>1410</v>
      </c>
    </row>
    <row r="1321" spans="1:5" x14ac:dyDescent="0.25">
      <c r="A1321" t="str">
        <f t="shared" si="41"/>
        <v>48</v>
      </c>
      <c r="B1321" t="str">
        <f>"48.0702"</f>
        <v>48.0702</v>
      </c>
      <c r="E1321" t="s">
        <v>1411</v>
      </c>
    </row>
    <row r="1322" spans="1:5" x14ac:dyDescent="0.25">
      <c r="A1322" t="str">
        <f t="shared" si="41"/>
        <v>48</v>
      </c>
      <c r="B1322" t="str">
        <f>"48.0703"</f>
        <v>48.0703</v>
      </c>
      <c r="E1322" t="s">
        <v>1412</v>
      </c>
    </row>
    <row r="1323" spans="1:5" x14ac:dyDescent="0.25">
      <c r="A1323" t="str">
        <f t="shared" si="41"/>
        <v>48</v>
      </c>
      <c r="B1323" t="str">
        <f>"48.0799"</f>
        <v>48.0799</v>
      </c>
      <c r="E1323" t="s">
        <v>1413</v>
      </c>
    </row>
    <row r="1324" spans="1:5" x14ac:dyDescent="0.25">
      <c r="A1324" t="str">
        <f t="shared" si="41"/>
        <v>48</v>
      </c>
      <c r="B1324" t="str">
        <f>"48.08"</f>
        <v>48.08</v>
      </c>
      <c r="D1324" t="s">
        <v>1414</v>
      </c>
    </row>
    <row r="1325" spans="1:5" x14ac:dyDescent="0.25">
      <c r="A1325" t="str">
        <f t="shared" si="41"/>
        <v>48</v>
      </c>
      <c r="B1325" t="str">
        <f>"48.99"</f>
        <v>48.99</v>
      </c>
      <c r="D1325" t="s">
        <v>1415</v>
      </c>
    </row>
    <row r="1326" spans="1:5" x14ac:dyDescent="0.25">
      <c r="A1326" t="str">
        <f>"49"</f>
        <v>49</v>
      </c>
      <c r="B1326" t="str">
        <f>"49"</f>
        <v>49</v>
      </c>
      <c r="C1326" t="s">
        <v>1416</v>
      </c>
    </row>
    <row r="1327" spans="1:5" x14ac:dyDescent="0.25">
      <c r="A1327" t="str">
        <f t="shared" ref="A1327:A1347" si="42">"49"</f>
        <v>49</v>
      </c>
      <c r="B1327" t="str">
        <f>"49.01"</f>
        <v>49.01</v>
      </c>
      <c r="D1327" t="s">
        <v>1417</v>
      </c>
    </row>
    <row r="1328" spans="1:5" x14ac:dyDescent="0.25">
      <c r="A1328" t="str">
        <f t="shared" si="42"/>
        <v>49</v>
      </c>
      <c r="B1328" t="str">
        <f>"49.0101"</f>
        <v>49.0101</v>
      </c>
      <c r="E1328" t="s">
        <v>1418</v>
      </c>
    </row>
    <row r="1329" spans="1:5" x14ac:dyDescent="0.25">
      <c r="A1329" t="str">
        <f t="shared" si="42"/>
        <v>49</v>
      </c>
      <c r="B1329" t="str">
        <f>"49.0102"</f>
        <v>49.0102</v>
      </c>
      <c r="E1329" t="s">
        <v>1419</v>
      </c>
    </row>
    <row r="1330" spans="1:5" x14ac:dyDescent="0.25">
      <c r="A1330" t="str">
        <f t="shared" si="42"/>
        <v>49</v>
      </c>
      <c r="B1330" t="str">
        <f>"49.0104"</f>
        <v>49.0104</v>
      </c>
      <c r="E1330" t="s">
        <v>1420</v>
      </c>
    </row>
    <row r="1331" spans="1:5" x14ac:dyDescent="0.25">
      <c r="A1331" t="str">
        <f t="shared" si="42"/>
        <v>49</v>
      </c>
      <c r="B1331" t="str">
        <f>"49.0105"</f>
        <v>49.0105</v>
      </c>
      <c r="E1331" t="s">
        <v>1421</v>
      </c>
    </row>
    <row r="1332" spans="1:5" x14ac:dyDescent="0.25">
      <c r="A1332" t="str">
        <f t="shared" si="42"/>
        <v>49</v>
      </c>
      <c r="B1332" t="str">
        <f>"49.0106"</f>
        <v>49.0106</v>
      </c>
      <c r="E1332" t="s">
        <v>1422</v>
      </c>
    </row>
    <row r="1333" spans="1:5" x14ac:dyDescent="0.25">
      <c r="A1333" t="str">
        <f t="shared" si="42"/>
        <v>49</v>
      </c>
      <c r="B1333" t="str">
        <f>"49.0108"</f>
        <v>49.0108</v>
      </c>
      <c r="E1333" t="s">
        <v>1423</v>
      </c>
    </row>
    <row r="1334" spans="1:5" x14ac:dyDescent="0.25">
      <c r="A1334" t="str">
        <f t="shared" si="42"/>
        <v>49</v>
      </c>
      <c r="B1334" t="str">
        <f>"49.0199"</f>
        <v>49.0199</v>
      </c>
      <c r="E1334" t="s">
        <v>1424</v>
      </c>
    </row>
    <row r="1335" spans="1:5" x14ac:dyDescent="0.25">
      <c r="A1335" t="str">
        <f t="shared" si="42"/>
        <v>49</v>
      </c>
      <c r="B1335" t="str">
        <f>"49.02"</f>
        <v>49.02</v>
      </c>
      <c r="D1335" t="s">
        <v>1425</v>
      </c>
    </row>
    <row r="1336" spans="1:5" x14ac:dyDescent="0.25">
      <c r="A1336" t="str">
        <f t="shared" si="42"/>
        <v>49</v>
      </c>
      <c r="B1336" t="str">
        <f>"49.0202"</f>
        <v>49.0202</v>
      </c>
      <c r="E1336" t="s">
        <v>1426</v>
      </c>
    </row>
    <row r="1337" spans="1:5" x14ac:dyDescent="0.25">
      <c r="A1337" t="str">
        <f t="shared" si="42"/>
        <v>49</v>
      </c>
      <c r="B1337" t="str">
        <f>"49.0205"</f>
        <v>49.0205</v>
      </c>
      <c r="E1337" t="s">
        <v>1427</v>
      </c>
    </row>
    <row r="1338" spans="1:5" x14ac:dyDescent="0.25">
      <c r="A1338" t="str">
        <f t="shared" si="42"/>
        <v>49</v>
      </c>
      <c r="B1338" t="str">
        <f>"49.0206"</f>
        <v>49.0206</v>
      </c>
      <c r="E1338" t="s">
        <v>1428</v>
      </c>
    </row>
    <row r="1339" spans="1:5" x14ac:dyDescent="0.25">
      <c r="A1339" t="str">
        <f t="shared" si="42"/>
        <v>49</v>
      </c>
      <c r="B1339" t="str">
        <f>"49.0207"</f>
        <v>49.0207</v>
      </c>
      <c r="E1339" t="s">
        <v>1429</v>
      </c>
    </row>
    <row r="1340" spans="1:5" x14ac:dyDescent="0.25">
      <c r="A1340" t="str">
        <f t="shared" si="42"/>
        <v>49</v>
      </c>
      <c r="B1340" t="str">
        <f>"49.0208"</f>
        <v>49.0208</v>
      </c>
      <c r="E1340" t="s">
        <v>1430</v>
      </c>
    </row>
    <row r="1341" spans="1:5" x14ac:dyDescent="0.25">
      <c r="A1341" t="str">
        <f t="shared" si="42"/>
        <v>49</v>
      </c>
      <c r="B1341" t="str">
        <f>"49.0299"</f>
        <v>49.0299</v>
      </c>
      <c r="E1341" t="s">
        <v>1431</v>
      </c>
    </row>
    <row r="1342" spans="1:5" x14ac:dyDescent="0.25">
      <c r="A1342" t="str">
        <f t="shared" si="42"/>
        <v>49</v>
      </c>
      <c r="B1342" t="str">
        <f>"49.03"</f>
        <v>49.03</v>
      </c>
      <c r="D1342" t="s">
        <v>1432</v>
      </c>
    </row>
    <row r="1343" spans="1:5" x14ac:dyDescent="0.25">
      <c r="A1343" t="str">
        <f t="shared" si="42"/>
        <v>49</v>
      </c>
      <c r="B1343" t="str">
        <f>"49.0303"</f>
        <v>49.0303</v>
      </c>
      <c r="E1343" t="s">
        <v>1433</v>
      </c>
    </row>
    <row r="1344" spans="1:5" x14ac:dyDescent="0.25">
      <c r="A1344" t="str">
        <f t="shared" si="42"/>
        <v>49</v>
      </c>
      <c r="B1344" t="str">
        <f>"49.0304"</f>
        <v>49.0304</v>
      </c>
      <c r="E1344" t="s">
        <v>1434</v>
      </c>
    </row>
    <row r="1345" spans="1:5" x14ac:dyDescent="0.25">
      <c r="A1345" t="str">
        <f t="shared" si="42"/>
        <v>49</v>
      </c>
      <c r="B1345" t="str">
        <f>"49.0309"</f>
        <v>49.0309</v>
      </c>
      <c r="E1345" t="s">
        <v>1435</v>
      </c>
    </row>
    <row r="1346" spans="1:5" x14ac:dyDescent="0.25">
      <c r="A1346" t="str">
        <f t="shared" si="42"/>
        <v>49</v>
      </c>
      <c r="B1346" t="str">
        <f>"49.0399"</f>
        <v>49.0399</v>
      </c>
      <c r="E1346" t="s">
        <v>1436</v>
      </c>
    </row>
    <row r="1347" spans="1:5" x14ac:dyDescent="0.25">
      <c r="A1347" t="str">
        <f t="shared" si="42"/>
        <v>49</v>
      </c>
      <c r="B1347" t="str">
        <f>"49.99"</f>
        <v>49.99</v>
      </c>
      <c r="D1347" t="s">
        <v>1437</v>
      </c>
    </row>
    <row r="1348" spans="1:5" x14ac:dyDescent="0.25">
      <c r="A1348" t="str">
        <f>"50"</f>
        <v>50</v>
      </c>
      <c r="B1348" t="str">
        <f>"50"</f>
        <v>50</v>
      </c>
      <c r="C1348" t="s">
        <v>1438</v>
      </c>
    </row>
    <row r="1349" spans="1:5" x14ac:dyDescent="0.25">
      <c r="A1349" t="str">
        <f t="shared" ref="A1349:A1412" si="43">"50"</f>
        <v>50</v>
      </c>
      <c r="B1349" t="str">
        <f>"50.01"</f>
        <v>50.01</v>
      </c>
      <c r="D1349" t="s">
        <v>1439</v>
      </c>
    </row>
    <row r="1350" spans="1:5" x14ac:dyDescent="0.25">
      <c r="A1350" t="str">
        <f t="shared" si="43"/>
        <v>50</v>
      </c>
      <c r="B1350" t="str">
        <f>"50.0101"</f>
        <v>50.0101</v>
      </c>
      <c r="E1350" t="s">
        <v>1439</v>
      </c>
    </row>
    <row r="1351" spans="1:5" x14ac:dyDescent="0.25">
      <c r="A1351" t="str">
        <f t="shared" si="43"/>
        <v>50</v>
      </c>
      <c r="B1351" t="str">
        <f>"50.0102"</f>
        <v>50.0102</v>
      </c>
      <c r="E1351" t="s">
        <v>1440</v>
      </c>
    </row>
    <row r="1352" spans="1:5" x14ac:dyDescent="0.25">
      <c r="A1352" t="str">
        <f t="shared" si="43"/>
        <v>50</v>
      </c>
      <c r="B1352" t="str">
        <f>"50.02"</f>
        <v>50.02</v>
      </c>
      <c r="D1352" t="s">
        <v>1441</v>
      </c>
    </row>
    <row r="1353" spans="1:5" x14ac:dyDescent="0.25">
      <c r="A1353" t="str">
        <f t="shared" si="43"/>
        <v>50</v>
      </c>
      <c r="B1353" t="str">
        <f>"50.03"</f>
        <v>50.03</v>
      </c>
      <c r="D1353" t="s">
        <v>1442</v>
      </c>
    </row>
    <row r="1354" spans="1:5" x14ac:dyDescent="0.25">
      <c r="A1354" t="str">
        <f t="shared" si="43"/>
        <v>50</v>
      </c>
      <c r="B1354" t="str">
        <f>"50.0301"</f>
        <v>50.0301</v>
      </c>
      <c r="E1354" t="s">
        <v>1443</v>
      </c>
    </row>
    <row r="1355" spans="1:5" x14ac:dyDescent="0.25">
      <c r="A1355" t="str">
        <f t="shared" si="43"/>
        <v>50</v>
      </c>
      <c r="B1355" t="str">
        <f>"50.0302"</f>
        <v>50.0302</v>
      </c>
      <c r="E1355" t="s">
        <v>1444</v>
      </c>
    </row>
    <row r="1356" spans="1:5" x14ac:dyDescent="0.25">
      <c r="A1356" t="str">
        <f t="shared" si="43"/>
        <v>50</v>
      </c>
      <c r="B1356" t="str">
        <f>"50.0399"</f>
        <v>50.0399</v>
      </c>
      <c r="E1356" t="s">
        <v>1445</v>
      </c>
    </row>
    <row r="1357" spans="1:5" x14ac:dyDescent="0.25">
      <c r="A1357" t="str">
        <f t="shared" si="43"/>
        <v>50</v>
      </c>
      <c r="B1357" t="str">
        <f>"50.04"</f>
        <v>50.04</v>
      </c>
      <c r="D1357" t="s">
        <v>1446</v>
      </c>
    </row>
    <row r="1358" spans="1:5" x14ac:dyDescent="0.25">
      <c r="A1358" t="str">
        <f t="shared" si="43"/>
        <v>50</v>
      </c>
      <c r="B1358" t="str">
        <f>"50.0401"</f>
        <v>50.0401</v>
      </c>
      <c r="E1358" t="s">
        <v>1447</v>
      </c>
    </row>
    <row r="1359" spans="1:5" x14ac:dyDescent="0.25">
      <c r="A1359" t="str">
        <f t="shared" si="43"/>
        <v>50</v>
      </c>
      <c r="B1359" t="str">
        <f>"50.0402"</f>
        <v>50.0402</v>
      </c>
      <c r="E1359" t="s">
        <v>1448</v>
      </c>
    </row>
    <row r="1360" spans="1:5" x14ac:dyDescent="0.25">
      <c r="A1360" t="str">
        <f t="shared" si="43"/>
        <v>50</v>
      </c>
      <c r="B1360" t="str">
        <f>"50.0404"</f>
        <v>50.0404</v>
      </c>
      <c r="E1360" t="s">
        <v>1449</v>
      </c>
    </row>
    <row r="1361" spans="1:5" x14ac:dyDescent="0.25">
      <c r="A1361" t="str">
        <f t="shared" si="43"/>
        <v>50</v>
      </c>
      <c r="B1361" t="str">
        <f>"50.0406"</f>
        <v>50.0406</v>
      </c>
      <c r="E1361" t="s">
        <v>1450</v>
      </c>
    </row>
    <row r="1362" spans="1:5" x14ac:dyDescent="0.25">
      <c r="A1362" t="str">
        <f t="shared" si="43"/>
        <v>50</v>
      </c>
      <c r="B1362" t="str">
        <f>"50.0407"</f>
        <v>50.0407</v>
      </c>
      <c r="E1362" t="s">
        <v>1451</v>
      </c>
    </row>
    <row r="1363" spans="1:5" x14ac:dyDescent="0.25">
      <c r="A1363" t="str">
        <f t="shared" si="43"/>
        <v>50</v>
      </c>
      <c r="B1363" t="str">
        <f>"50.0408"</f>
        <v>50.0408</v>
      </c>
      <c r="E1363" t="s">
        <v>1452</v>
      </c>
    </row>
    <row r="1364" spans="1:5" x14ac:dyDescent="0.25">
      <c r="A1364" t="str">
        <f t="shared" si="43"/>
        <v>50</v>
      </c>
      <c r="B1364" t="str">
        <f>"50.0409"</f>
        <v>50.0409</v>
      </c>
      <c r="E1364" t="s">
        <v>1453</v>
      </c>
    </row>
    <row r="1365" spans="1:5" x14ac:dyDescent="0.25">
      <c r="A1365" t="str">
        <f t="shared" si="43"/>
        <v>50</v>
      </c>
      <c r="B1365" t="str">
        <f>"50.0410"</f>
        <v>50.0410</v>
      </c>
      <c r="E1365" t="s">
        <v>1454</v>
      </c>
    </row>
    <row r="1366" spans="1:5" x14ac:dyDescent="0.25">
      <c r="A1366" t="str">
        <f t="shared" si="43"/>
        <v>50</v>
      </c>
      <c r="B1366" t="str">
        <f>"50.0411"</f>
        <v>50.0411</v>
      </c>
      <c r="E1366" t="s">
        <v>1455</v>
      </c>
    </row>
    <row r="1367" spans="1:5" x14ac:dyDescent="0.25">
      <c r="A1367" t="str">
        <f t="shared" si="43"/>
        <v>50</v>
      </c>
      <c r="B1367" t="str">
        <f>"50.0499"</f>
        <v>50.0499</v>
      </c>
      <c r="E1367" t="s">
        <v>1456</v>
      </c>
    </row>
    <row r="1368" spans="1:5" x14ac:dyDescent="0.25">
      <c r="A1368" t="str">
        <f t="shared" si="43"/>
        <v>50</v>
      </c>
      <c r="B1368" t="str">
        <f>"50.05"</f>
        <v>50.05</v>
      </c>
      <c r="D1368" t="s">
        <v>1457</v>
      </c>
    </row>
    <row r="1369" spans="1:5" x14ac:dyDescent="0.25">
      <c r="A1369" t="str">
        <f t="shared" si="43"/>
        <v>50</v>
      </c>
      <c r="B1369" t="str">
        <f>"50.0501"</f>
        <v>50.0501</v>
      </c>
      <c r="E1369" t="s">
        <v>1458</v>
      </c>
    </row>
    <row r="1370" spans="1:5" x14ac:dyDescent="0.25">
      <c r="A1370" t="str">
        <f t="shared" si="43"/>
        <v>50</v>
      </c>
      <c r="B1370" t="str">
        <f>"50.0502"</f>
        <v>50.0502</v>
      </c>
      <c r="E1370" t="s">
        <v>1459</v>
      </c>
    </row>
    <row r="1371" spans="1:5" x14ac:dyDescent="0.25">
      <c r="A1371" t="str">
        <f t="shared" si="43"/>
        <v>50</v>
      </c>
      <c r="B1371" t="str">
        <f>"50.0504"</f>
        <v>50.0504</v>
      </c>
      <c r="E1371" t="s">
        <v>1460</v>
      </c>
    </row>
    <row r="1372" spans="1:5" x14ac:dyDescent="0.25">
      <c r="A1372" t="str">
        <f t="shared" si="43"/>
        <v>50</v>
      </c>
      <c r="B1372" t="str">
        <f>"50.0505"</f>
        <v>50.0505</v>
      </c>
      <c r="E1372" t="s">
        <v>1461</v>
      </c>
    </row>
    <row r="1373" spans="1:5" x14ac:dyDescent="0.25">
      <c r="A1373" t="str">
        <f t="shared" si="43"/>
        <v>50</v>
      </c>
      <c r="B1373" t="str">
        <f>"50.0506"</f>
        <v>50.0506</v>
      </c>
      <c r="E1373" t="s">
        <v>1462</v>
      </c>
    </row>
    <row r="1374" spans="1:5" x14ac:dyDescent="0.25">
      <c r="A1374" t="str">
        <f t="shared" si="43"/>
        <v>50</v>
      </c>
      <c r="B1374" t="str">
        <f>"50.0507"</f>
        <v>50.0507</v>
      </c>
      <c r="E1374" t="s">
        <v>1463</v>
      </c>
    </row>
    <row r="1375" spans="1:5" x14ac:dyDescent="0.25">
      <c r="A1375" t="str">
        <f t="shared" si="43"/>
        <v>50</v>
      </c>
      <c r="B1375" t="str">
        <f>"50.0509"</f>
        <v>50.0509</v>
      </c>
      <c r="E1375" t="s">
        <v>1465</v>
      </c>
    </row>
    <row r="1376" spans="1:5" x14ac:dyDescent="0.25">
      <c r="A1376" t="str">
        <f t="shared" si="43"/>
        <v>50</v>
      </c>
      <c r="B1376" t="str">
        <f>"50.0510"</f>
        <v>50.0510</v>
      </c>
      <c r="E1376" t="s">
        <v>1466</v>
      </c>
    </row>
    <row r="1377" spans="1:5" x14ac:dyDescent="0.25">
      <c r="A1377" t="str">
        <f t="shared" si="43"/>
        <v>50</v>
      </c>
      <c r="B1377" t="str">
        <f>"50.0599"</f>
        <v>50.0599</v>
      </c>
      <c r="E1377" t="s">
        <v>1467</v>
      </c>
    </row>
    <row r="1378" spans="1:5" x14ac:dyDescent="0.25">
      <c r="A1378" t="str">
        <f t="shared" si="43"/>
        <v>50</v>
      </c>
      <c r="B1378" t="str">
        <f>"50.06"</f>
        <v>50.06</v>
      </c>
      <c r="D1378" t="s">
        <v>1468</v>
      </c>
    </row>
    <row r="1379" spans="1:5" x14ac:dyDescent="0.25">
      <c r="A1379" t="str">
        <f t="shared" si="43"/>
        <v>50</v>
      </c>
      <c r="B1379" t="str">
        <f>"50.0601"</f>
        <v>50.0601</v>
      </c>
      <c r="E1379" t="s">
        <v>1469</v>
      </c>
    </row>
    <row r="1380" spans="1:5" x14ac:dyDescent="0.25">
      <c r="A1380" t="str">
        <f t="shared" si="43"/>
        <v>50</v>
      </c>
      <c r="B1380" t="str">
        <f>"50.0602"</f>
        <v>50.0602</v>
      </c>
      <c r="E1380" t="s">
        <v>1470</v>
      </c>
    </row>
    <row r="1381" spans="1:5" x14ac:dyDescent="0.25">
      <c r="A1381" t="str">
        <f t="shared" si="43"/>
        <v>50</v>
      </c>
      <c r="B1381" t="str">
        <f>"50.0605"</f>
        <v>50.0605</v>
      </c>
      <c r="E1381" t="s">
        <v>1471</v>
      </c>
    </row>
    <row r="1382" spans="1:5" x14ac:dyDescent="0.25">
      <c r="A1382" t="str">
        <f t="shared" si="43"/>
        <v>50</v>
      </c>
      <c r="B1382" t="str">
        <f>"50.0607"</f>
        <v>50.0607</v>
      </c>
      <c r="E1382" t="s">
        <v>1472</v>
      </c>
    </row>
    <row r="1383" spans="1:5" x14ac:dyDescent="0.25">
      <c r="A1383" t="str">
        <f t="shared" si="43"/>
        <v>50</v>
      </c>
      <c r="B1383" t="str">
        <f>"50.0699"</f>
        <v>50.0699</v>
      </c>
      <c r="E1383" t="s">
        <v>1473</v>
      </c>
    </row>
    <row r="1384" spans="1:5" x14ac:dyDescent="0.25">
      <c r="A1384" t="str">
        <f t="shared" si="43"/>
        <v>50</v>
      </c>
      <c r="B1384" t="str">
        <f>"50.07"</f>
        <v>50.07</v>
      </c>
      <c r="D1384" t="s">
        <v>1474</v>
      </c>
    </row>
    <row r="1385" spans="1:5" x14ac:dyDescent="0.25">
      <c r="A1385" t="str">
        <f t="shared" si="43"/>
        <v>50</v>
      </c>
      <c r="B1385" t="str">
        <f>"50.0701"</f>
        <v>50.0701</v>
      </c>
      <c r="E1385" t="s">
        <v>1475</v>
      </c>
    </row>
    <row r="1386" spans="1:5" x14ac:dyDescent="0.25">
      <c r="A1386" t="str">
        <f t="shared" si="43"/>
        <v>50</v>
      </c>
      <c r="B1386" t="str">
        <f>"50.0702"</f>
        <v>50.0702</v>
      </c>
      <c r="E1386" t="s">
        <v>1476</v>
      </c>
    </row>
    <row r="1387" spans="1:5" x14ac:dyDescent="0.25">
      <c r="A1387" t="str">
        <f t="shared" si="43"/>
        <v>50</v>
      </c>
      <c r="B1387" t="str">
        <f>"50.0703"</f>
        <v>50.0703</v>
      </c>
      <c r="E1387" t="s">
        <v>1477</v>
      </c>
    </row>
    <row r="1388" spans="1:5" x14ac:dyDescent="0.25">
      <c r="A1388" t="str">
        <f t="shared" si="43"/>
        <v>50</v>
      </c>
      <c r="B1388" t="str">
        <f>"50.0704"</f>
        <v>50.0704</v>
      </c>
      <c r="E1388" t="s">
        <v>1478</v>
      </c>
    </row>
    <row r="1389" spans="1:5" x14ac:dyDescent="0.25">
      <c r="A1389" t="str">
        <f t="shared" si="43"/>
        <v>50</v>
      </c>
      <c r="B1389" t="str">
        <f>"50.0705"</f>
        <v>50.0705</v>
      </c>
      <c r="E1389" t="s">
        <v>1479</v>
      </c>
    </row>
    <row r="1390" spans="1:5" x14ac:dyDescent="0.25">
      <c r="A1390" t="str">
        <f t="shared" si="43"/>
        <v>50</v>
      </c>
      <c r="B1390" t="str">
        <f>"50.0706"</f>
        <v>50.0706</v>
      </c>
      <c r="E1390" t="s">
        <v>1480</v>
      </c>
    </row>
    <row r="1391" spans="1:5" x14ac:dyDescent="0.25">
      <c r="A1391" t="str">
        <f t="shared" si="43"/>
        <v>50</v>
      </c>
      <c r="B1391" t="str">
        <f>"50.0708"</f>
        <v>50.0708</v>
      </c>
      <c r="E1391" t="s">
        <v>1481</v>
      </c>
    </row>
    <row r="1392" spans="1:5" x14ac:dyDescent="0.25">
      <c r="A1392" t="str">
        <f t="shared" si="43"/>
        <v>50</v>
      </c>
      <c r="B1392" t="str">
        <f>"50.0709"</f>
        <v>50.0709</v>
      </c>
      <c r="E1392" t="s">
        <v>1482</v>
      </c>
    </row>
    <row r="1393" spans="1:5" x14ac:dyDescent="0.25">
      <c r="A1393" t="str">
        <f t="shared" si="43"/>
        <v>50</v>
      </c>
      <c r="B1393" t="str">
        <f>"50.0710"</f>
        <v>50.0710</v>
      </c>
      <c r="E1393" t="s">
        <v>1483</v>
      </c>
    </row>
    <row r="1394" spans="1:5" x14ac:dyDescent="0.25">
      <c r="A1394" t="str">
        <f t="shared" si="43"/>
        <v>50</v>
      </c>
      <c r="B1394" t="str">
        <f>"50.0711"</f>
        <v>50.0711</v>
      </c>
      <c r="E1394" t="s">
        <v>1484</v>
      </c>
    </row>
    <row r="1395" spans="1:5" x14ac:dyDescent="0.25">
      <c r="A1395" t="str">
        <f t="shared" si="43"/>
        <v>50</v>
      </c>
      <c r="B1395" t="str">
        <f>"50.0712"</f>
        <v>50.0712</v>
      </c>
      <c r="E1395" t="s">
        <v>1485</v>
      </c>
    </row>
    <row r="1396" spans="1:5" x14ac:dyDescent="0.25">
      <c r="A1396" t="str">
        <f t="shared" si="43"/>
        <v>50</v>
      </c>
      <c r="B1396" t="str">
        <f>"50.0713"</f>
        <v>50.0713</v>
      </c>
      <c r="E1396" t="s">
        <v>1486</v>
      </c>
    </row>
    <row r="1397" spans="1:5" x14ac:dyDescent="0.25">
      <c r="A1397" t="str">
        <f t="shared" si="43"/>
        <v>50</v>
      </c>
      <c r="B1397" t="str">
        <f>"50.0799"</f>
        <v>50.0799</v>
      </c>
      <c r="E1397" t="s">
        <v>1487</v>
      </c>
    </row>
    <row r="1398" spans="1:5" x14ac:dyDescent="0.25">
      <c r="A1398" t="str">
        <f t="shared" si="43"/>
        <v>50</v>
      </c>
      <c r="B1398" t="str">
        <f>"50.09"</f>
        <v>50.09</v>
      </c>
      <c r="D1398" t="s">
        <v>1093</v>
      </c>
    </row>
    <row r="1399" spans="1:5" x14ac:dyDescent="0.25">
      <c r="A1399" t="str">
        <f t="shared" si="43"/>
        <v>50</v>
      </c>
      <c r="B1399" t="str">
        <f>"50.0901"</f>
        <v>50.0901</v>
      </c>
      <c r="E1399" t="s">
        <v>1488</v>
      </c>
    </row>
    <row r="1400" spans="1:5" x14ac:dyDescent="0.25">
      <c r="A1400" t="str">
        <f t="shared" si="43"/>
        <v>50</v>
      </c>
      <c r="B1400" t="str">
        <f>"50.0902"</f>
        <v>50.0902</v>
      </c>
      <c r="E1400" t="s">
        <v>1489</v>
      </c>
    </row>
    <row r="1401" spans="1:5" x14ac:dyDescent="0.25">
      <c r="A1401" t="str">
        <f t="shared" si="43"/>
        <v>50</v>
      </c>
      <c r="B1401" t="str">
        <f>"50.0903"</f>
        <v>50.0903</v>
      </c>
      <c r="E1401" t="s">
        <v>1490</v>
      </c>
    </row>
    <row r="1402" spans="1:5" x14ac:dyDescent="0.25">
      <c r="A1402" t="str">
        <f t="shared" si="43"/>
        <v>50</v>
      </c>
      <c r="B1402" t="str">
        <f>"50.0904"</f>
        <v>50.0904</v>
      </c>
      <c r="E1402" t="s">
        <v>1491</v>
      </c>
    </row>
    <row r="1403" spans="1:5" x14ac:dyDescent="0.25">
      <c r="A1403" t="str">
        <f t="shared" si="43"/>
        <v>50</v>
      </c>
      <c r="B1403" t="str">
        <f>"50.0905"</f>
        <v>50.0905</v>
      </c>
      <c r="E1403" t="s">
        <v>1492</v>
      </c>
    </row>
    <row r="1404" spans="1:5" x14ac:dyDescent="0.25">
      <c r="A1404" t="str">
        <f t="shared" si="43"/>
        <v>50</v>
      </c>
      <c r="B1404" t="str">
        <f>"50.0906"</f>
        <v>50.0906</v>
      </c>
      <c r="E1404" t="s">
        <v>1493</v>
      </c>
    </row>
    <row r="1405" spans="1:5" x14ac:dyDescent="0.25">
      <c r="A1405" t="str">
        <f t="shared" si="43"/>
        <v>50</v>
      </c>
      <c r="B1405" t="str">
        <f>"50.0907"</f>
        <v>50.0907</v>
      </c>
      <c r="E1405" t="s">
        <v>1494</v>
      </c>
    </row>
    <row r="1406" spans="1:5" x14ac:dyDescent="0.25">
      <c r="A1406" t="str">
        <f t="shared" si="43"/>
        <v>50</v>
      </c>
      <c r="B1406" t="str">
        <f>"50.0908"</f>
        <v>50.0908</v>
      </c>
      <c r="E1406" t="s">
        <v>1495</v>
      </c>
    </row>
    <row r="1407" spans="1:5" x14ac:dyDescent="0.25">
      <c r="A1407" t="str">
        <f t="shared" si="43"/>
        <v>50</v>
      </c>
      <c r="B1407" t="str">
        <f>"50.0909"</f>
        <v>50.0909</v>
      </c>
      <c r="E1407" t="s">
        <v>1496</v>
      </c>
    </row>
    <row r="1408" spans="1:5" x14ac:dyDescent="0.25">
      <c r="A1408" t="str">
        <f t="shared" si="43"/>
        <v>50</v>
      </c>
      <c r="B1408" t="str">
        <f>"50.0910"</f>
        <v>50.0910</v>
      </c>
      <c r="E1408" t="s">
        <v>1497</v>
      </c>
    </row>
    <row r="1409" spans="1:5" x14ac:dyDescent="0.25">
      <c r="A1409" t="str">
        <f t="shared" si="43"/>
        <v>50</v>
      </c>
      <c r="B1409" t="str">
        <f>"50.0911"</f>
        <v>50.0911</v>
      </c>
      <c r="E1409" t="s">
        <v>1498</v>
      </c>
    </row>
    <row r="1410" spans="1:5" x14ac:dyDescent="0.25">
      <c r="A1410" t="str">
        <f t="shared" si="43"/>
        <v>50</v>
      </c>
      <c r="B1410" t="str">
        <f>"50.0912"</f>
        <v>50.0912</v>
      </c>
      <c r="E1410" t="s">
        <v>1499</v>
      </c>
    </row>
    <row r="1411" spans="1:5" x14ac:dyDescent="0.25">
      <c r="A1411" t="str">
        <f t="shared" si="43"/>
        <v>50</v>
      </c>
      <c r="B1411" t="str">
        <f>"50.0913"</f>
        <v>50.0913</v>
      </c>
      <c r="E1411" t="s">
        <v>1500</v>
      </c>
    </row>
    <row r="1412" spans="1:5" x14ac:dyDescent="0.25">
      <c r="A1412" t="str">
        <f t="shared" si="43"/>
        <v>50</v>
      </c>
      <c r="B1412" t="str">
        <f>"50.0914"</f>
        <v>50.0914</v>
      </c>
      <c r="E1412" t="s">
        <v>1501</v>
      </c>
    </row>
    <row r="1413" spans="1:5" x14ac:dyDescent="0.25">
      <c r="A1413" t="str">
        <f t="shared" ref="A1413:A1422" si="44">"50"</f>
        <v>50</v>
      </c>
      <c r="B1413" t="str">
        <f>"50.0915"</f>
        <v>50.0915</v>
      </c>
      <c r="E1413" t="s">
        <v>1502</v>
      </c>
    </row>
    <row r="1414" spans="1:5" x14ac:dyDescent="0.25">
      <c r="A1414" t="str">
        <f t="shared" si="44"/>
        <v>50</v>
      </c>
      <c r="B1414" t="str">
        <f>"50.0916"</f>
        <v>50.0916</v>
      </c>
      <c r="E1414" t="s">
        <v>1503</v>
      </c>
    </row>
    <row r="1415" spans="1:5" x14ac:dyDescent="0.25">
      <c r="A1415" t="str">
        <f t="shared" si="44"/>
        <v>50</v>
      </c>
      <c r="B1415" t="str">
        <f>"50.0999"</f>
        <v>50.0999</v>
      </c>
      <c r="E1415" t="s">
        <v>1504</v>
      </c>
    </row>
    <row r="1416" spans="1:5" x14ac:dyDescent="0.25">
      <c r="A1416" t="str">
        <f t="shared" si="44"/>
        <v>50</v>
      </c>
      <c r="B1416" t="str">
        <f>"50.10"</f>
        <v>50.10</v>
      </c>
      <c r="D1416" t="s">
        <v>1505</v>
      </c>
    </row>
    <row r="1417" spans="1:5" x14ac:dyDescent="0.25">
      <c r="A1417" t="str">
        <f t="shared" si="44"/>
        <v>50</v>
      </c>
      <c r="B1417" t="str">
        <f>"50.1001"</f>
        <v>50.1001</v>
      </c>
      <c r="E1417" t="s">
        <v>1506</v>
      </c>
    </row>
    <row r="1418" spans="1:5" x14ac:dyDescent="0.25">
      <c r="A1418" t="str">
        <f t="shared" si="44"/>
        <v>50</v>
      </c>
      <c r="B1418" t="str">
        <f>"50.1002"</f>
        <v>50.1002</v>
      </c>
      <c r="E1418" t="s">
        <v>1507</v>
      </c>
    </row>
    <row r="1419" spans="1:5" x14ac:dyDescent="0.25">
      <c r="A1419" t="str">
        <f t="shared" si="44"/>
        <v>50</v>
      </c>
      <c r="B1419" t="str">
        <f>"50.1003"</f>
        <v>50.1003</v>
      </c>
      <c r="E1419" t="s">
        <v>1508</v>
      </c>
    </row>
    <row r="1420" spans="1:5" x14ac:dyDescent="0.25">
      <c r="A1420" t="str">
        <f t="shared" si="44"/>
        <v>50</v>
      </c>
      <c r="B1420" t="str">
        <f>"50.1004"</f>
        <v>50.1004</v>
      </c>
      <c r="E1420" t="s">
        <v>1464</v>
      </c>
    </row>
    <row r="1421" spans="1:5" x14ac:dyDescent="0.25">
      <c r="A1421" t="str">
        <f t="shared" si="44"/>
        <v>50</v>
      </c>
      <c r="B1421" t="str">
        <f>"50.1099"</f>
        <v>50.1099</v>
      </c>
      <c r="E1421" t="s">
        <v>1509</v>
      </c>
    </row>
    <row r="1422" spans="1:5" x14ac:dyDescent="0.25">
      <c r="A1422" t="str">
        <f t="shared" si="44"/>
        <v>50</v>
      </c>
      <c r="B1422" t="str">
        <f>"50.99"</f>
        <v>50.99</v>
      </c>
      <c r="D1422" t="s">
        <v>1510</v>
      </c>
    </row>
    <row r="1423" spans="1:5" x14ac:dyDescent="0.25">
      <c r="A1423" t="str">
        <f>"51"</f>
        <v>51</v>
      </c>
      <c r="B1423" t="str">
        <f>"51"</f>
        <v>51</v>
      </c>
      <c r="C1423" t="s">
        <v>1511</v>
      </c>
    </row>
    <row r="1424" spans="1:5" x14ac:dyDescent="0.25">
      <c r="A1424" t="str">
        <f t="shared" ref="A1424:A1487" si="45">"51"</f>
        <v>51</v>
      </c>
      <c r="B1424" t="str">
        <f>"51.00"</f>
        <v>51.00</v>
      </c>
      <c r="D1424" t="s">
        <v>1512</v>
      </c>
    </row>
    <row r="1425" spans="1:5" x14ac:dyDescent="0.25">
      <c r="A1425" t="str">
        <f t="shared" si="45"/>
        <v>51</v>
      </c>
      <c r="B1425" t="str">
        <f>"51.0000"</f>
        <v>51.0000</v>
      </c>
      <c r="E1425" t="s">
        <v>1512</v>
      </c>
    </row>
    <row r="1426" spans="1:5" x14ac:dyDescent="0.25">
      <c r="A1426" t="str">
        <f t="shared" si="45"/>
        <v>51</v>
      </c>
      <c r="B1426" t="str">
        <f>"51.0001"</f>
        <v>51.0001</v>
      </c>
      <c r="E1426" t="s">
        <v>1513</v>
      </c>
    </row>
    <row r="1427" spans="1:5" x14ac:dyDescent="0.25">
      <c r="A1427" t="str">
        <f t="shared" si="45"/>
        <v>51</v>
      </c>
      <c r="B1427" t="str">
        <f>"51.01"</f>
        <v>51.01</v>
      </c>
      <c r="D1427" t="s">
        <v>1514</v>
      </c>
    </row>
    <row r="1428" spans="1:5" x14ac:dyDescent="0.25">
      <c r="A1428" t="str">
        <f t="shared" si="45"/>
        <v>51</v>
      </c>
      <c r="B1428" t="str">
        <f>"51.02"</f>
        <v>51.02</v>
      </c>
      <c r="D1428" t="s">
        <v>1515</v>
      </c>
    </row>
    <row r="1429" spans="1:5" x14ac:dyDescent="0.25">
      <c r="A1429" t="str">
        <f t="shared" si="45"/>
        <v>51</v>
      </c>
      <c r="B1429" t="str">
        <f>"51.0201"</f>
        <v>51.0201</v>
      </c>
      <c r="E1429" t="s">
        <v>1516</v>
      </c>
    </row>
    <row r="1430" spans="1:5" x14ac:dyDescent="0.25">
      <c r="A1430" t="str">
        <f t="shared" si="45"/>
        <v>51</v>
      </c>
      <c r="B1430" t="str">
        <f>"51.0202"</f>
        <v>51.0202</v>
      </c>
      <c r="E1430" t="s">
        <v>1517</v>
      </c>
    </row>
    <row r="1431" spans="1:5" x14ac:dyDescent="0.25">
      <c r="A1431" t="str">
        <f t="shared" si="45"/>
        <v>51</v>
      </c>
      <c r="B1431" t="str">
        <f>"51.0203"</f>
        <v>51.0203</v>
      </c>
      <c r="E1431" t="s">
        <v>1518</v>
      </c>
    </row>
    <row r="1432" spans="1:5" x14ac:dyDescent="0.25">
      <c r="A1432" t="str">
        <f t="shared" si="45"/>
        <v>51</v>
      </c>
      <c r="B1432" t="str">
        <f>"51.0204"</f>
        <v>51.0204</v>
      </c>
      <c r="E1432" t="s">
        <v>1519</v>
      </c>
    </row>
    <row r="1433" spans="1:5" x14ac:dyDescent="0.25">
      <c r="A1433" t="str">
        <f t="shared" si="45"/>
        <v>51</v>
      </c>
      <c r="B1433" t="str">
        <f>"51.0299"</f>
        <v>51.0299</v>
      </c>
      <c r="E1433" t="s">
        <v>1520</v>
      </c>
    </row>
    <row r="1434" spans="1:5" x14ac:dyDescent="0.25">
      <c r="A1434" t="str">
        <f t="shared" si="45"/>
        <v>51</v>
      </c>
      <c r="B1434" t="str">
        <f>"51.04"</f>
        <v>51.04</v>
      </c>
      <c r="D1434" t="s">
        <v>1521</v>
      </c>
    </row>
    <row r="1435" spans="1:5" x14ac:dyDescent="0.25">
      <c r="A1435" t="str">
        <f t="shared" si="45"/>
        <v>51</v>
      </c>
      <c r="B1435" t="str">
        <f>"51.05"</f>
        <v>51.05</v>
      </c>
      <c r="D1435" t="s">
        <v>1522</v>
      </c>
    </row>
    <row r="1436" spans="1:5" x14ac:dyDescent="0.25">
      <c r="A1436" t="str">
        <f t="shared" si="45"/>
        <v>51</v>
      </c>
      <c r="B1436" t="str">
        <f>"51.0501"</f>
        <v>51.0501</v>
      </c>
      <c r="E1436" t="s">
        <v>1523</v>
      </c>
    </row>
    <row r="1437" spans="1:5" x14ac:dyDescent="0.25">
      <c r="A1437" t="str">
        <f t="shared" si="45"/>
        <v>51</v>
      </c>
      <c r="B1437" t="str">
        <f>"51.0502"</f>
        <v>51.0502</v>
      </c>
      <c r="E1437" t="s">
        <v>1524</v>
      </c>
    </row>
    <row r="1438" spans="1:5" x14ac:dyDescent="0.25">
      <c r="A1438" t="str">
        <f t="shared" si="45"/>
        <v>51</v>
      </c>
      <c r="B1438" t="str">
        <f>"51.0503"</f>
        <v>51.0503</v>
      </c>
      <c r="E1438" t="s">
        <v>1525</v>
      </c>
    </row>
    <row r="1439" spans="1:5" x14ac:dyDescent="0.25">
      <c r="A1439" t="str">
        <f t="shared" si="45"/>
        <v>51</v>
      </c>
      <c r="B1439" t="str">
        <f>"51.0504"</f>
        <v>51.0504</v>
      </c>
      <c r="E1439" t="s">
        <v>1526</v>
      </c>
    </row>
    <row r="1440" spans="1:5" x14ac:dyDescent="0.25">
      <c r="A1440" t="str">
        <f t="shared" si="45"/>
        <v>51</v>
      </c>
      <c r="B1440" t="str">
        <f>"51.0505"</f>
        <v>51.0505</v>
      </c>
      <c r="E1440" t="s">
        <v>1527</v>
      </c>
    </row>
    <row r="1441" spans="1:5" x14ac:dyDescent="0.25">
      <c r="A1441" t="str">
        <f t="shared" si="45"/>
        <v>51</v>
      </c>
      <c r="B1441" t="str">
        <f>"51.0506"</f>
        <v>51.0506</v>
      </c>
      <c r="E1441" t="s">
        <v>1528</v>
      </c>
    </row>
    <row r="1442" spans="1:5" x14ac:dyDescent="0.25">
      <c r="A1442" t="str">
        <f t="shared" si="45"/>
        <v>51</v>
      </c>
      <c r="B1442" t="str">
        <f>"51.0507"</f>
        <v>51.0507</v>
      </c>
      <c r="E1442" t="s">
        <v>1529</v>
      </c>
    </row>
    <row r="1443" spans="1:5" x14ac:dyDescent="0.25">
      <c r="A1443" t="str">
        <f t="shared" si="45"/>
        <v>51</v>
      </c>
      <c r="B1443" t="str">
        <f>"51.0508"</f>
        <v>51.0508</v>
      </c>
      <c r="E1443" t="s">
        <v>1530</v>
      </c>
    </row>
    <row r="1444" spans="1:5" x14ac:dyDescent="0.25">
      <c r="A1444" t="str">
        <f t="shared" si="45"/>
        <v>51</v>
      </c>
      <c r="B1444" t="str">
        <f>"51.0509"</f>
        <v>51.0509</v>
      </c>
      <c r="E1444" t="s">
        <v>1531</v>
      </c>
    </row>
    <row r="1445" spans="1:5" x14ac:dyDescent="0.25">
      <c r="A1445" t="str">
        <f t="shared" si="45"/>
        <v>51</v>
      </c>
      <c r="B1445" t="str">
        <f>"51.0510"</f>
        <v>51.0510</v>
      </c>
      <c r="E1445" t="s">
        <v>1532</v>
      </c>
    </row>
    <row r="1446" spans="1:5" x14ac:dyDescent="0.25">
      <c r="A1446" t="str">
        <f t="shared" si="45"/>
        <v>51</v>
      </c>
      <c r="B1446" t="str">
        <f>"51.0511"</f>
        <v>51.0511</v>
      </c>
      <c r="E1446" t="s">
        <v>1533</v>
      </c>
    </row>
    <row r="1447" spans="1:5" x14ac:dyDescent="0.25">
      <c r="A1447" t="str">
        <f t="shared" si="45"/>
        <v>51</v>
      </c>
      <c r="B1447" t="str">
        <f>"51.0599"</f>
        <v>51.0599</v>
      </c>
      <c r="E1447" t="s">
        <v>1534</v>
      </c>
    </row>
    <row r="1448" spans="1:5" x14ac:dyDescent="0.25">
      <c r="A1448" t="str">
        <f t="shared" si="45"/>
        <v>51</v>
      </c>
      <c r="B1448" t="str">
        <f>"51.06"</f>
        <v>51.06</v>
      </c>
      <c r="D1448" t="s">
        <v>1535</v>
      </c>
    </row>
    <row r="1449" spans="1:5" x14ac:dyDescent="0.25">
      <c r="A1449" t="str">
        <f t="shared" si="45"/>
        <v>51</v>
      </c>
      <c r="B1449" t="str">
        <f>"51.0601"</f>
        <v>51.0601</v>
      </c>
      <c r="E1449" t="s">
        <v>1536</v>
      </c>
    </row>
    <row r="1450" spans="1:5" x14ac:dyDescent="0.25">
      <c r="A1450" t="str">
        <f t="shared" si="45"/>
        <v>51</v>
      </c>
      <c r="B1450" t="str">
        <f>"51.0602"</f>
        <v>51.0602</v>
      </c>
      <c r="E1450" t="s">
        <v>1537</v>
      </c>
    </row>
    <row r="1451" spans="1:5" x14ac:dyDescent="0.25">
      <c r="A1451" t="str">
        <f t="shared" si="45"/>
        <v>51</v>
      </c>
      <c r="B1451" t="str">
        <f>"51.0603"</f>
        <v>51.0603</v>
      </c>
      <c r="E1451" t="s">
        <v>1538</v>
      </c>
    </row>
    <row r="1452" spans="1:5" x14ac:dyDescent="0.25">
      <c r="A1452" t="str">
        <f t="shared" si="45"/>
        <v>51</v>
      </c>
      <c r="B1452" t="str">
        <f>"51.0699"</f>
        <v>51.0699</v>
      </c>
      <c r="E1452" t="s">
        <v>1539</v>
      </c>
    </row>
    <row r="1453" spans="1:5" x14ac:dyDescent="0.25">
      <c r="A1453" t="str">
        <f t="shared" si="45"/>
        <v>51</v>
      </c>
      <c r="B1453" t="str">
        <f>"51.07"</f>
        <v>51.07</v>
      </c>
      <c r="D1453" t="s">
        <v>1540</v>
      </c>
    </row>
    <row r="1454" spans="1:5" x14ac:dyDescent="0.25">
      <c r="A1454" t="str">
        <f t="shared" si="45"/>
        <v>51</v>
      </c>
      <c r="B1454" t="str">
        <f>"51.0701"</f>
        <v>51.0701</v>
      </c>
      <c r="E1454" t="s">
        <v>1541</v>
      </c>
    </row>
    <row r="1455" spans="1:5" x14ac:dyDescent="0.25">
      <c r="A1455" t="str">
        <f t="shared" si="45"/>
        <v>51</v>
      </c>
      <c r="B1455" t="str">
        <f>"51.0702"</f>
        <v>51.0702</v>
      </c>
      <c r="E1455" t="s">
        <v>1542</v>
      </c>
    </row>
    <row r="1456" spans="1:5" x14ac:dyDescent="0.25">
      <c r="A1456" t="str">
        <f t="shared" si="45"/>
        <v>51</v>
      </c>
      <c r="B1456" t="str">
        <f>"51.0703"</f>
        <v>51.0703</v>
      </c>
      <c r="E1456" t="s">
        <v>1543</v>
      </c>
    </row>
    <row r="1457" spans="1:5" x14ac:dyDescent="0.25">
      <c r="A1457" t="str">
        <f t="shared" si="45"/>
        <v>51</v>
      </c>
      <c r="B1457" t="str">
        <f>"51.0704"</f>
        <v>51.0704</v>
      </c>
      <c r="E1457" t="s">
        <v>1544</v>
      </c>
    </row>
    <row r="1458" spans="1:5" x14ac:dyDescent="0.25">
      <c r="A1458" t="str">
        <f t="shared" si="45"/>
        <v>51</v>
      </c>
      <c r="B1458" t="str">
        <f>"51.0705"</f>
        <v>51.0705</v>
      </c>
      <c r="E1458" t="s">
        <v>1545</v>
      </c>
    </row>
    <row r="1459" spans="1:5" x14ac:dyDescent="0.25">
      <c r="A1459" t="str">
        <f t="shared" si="45"/>
        <v>51</v>
      </c>
      <c r="B1459" t="str">
        <f>"51.0706"</f>
        <v>51.0706</v>
      </c>
      <c r="E1459" t="s">
        <v>1546</v>
      </c>
    </row>
    <row r="1460" spans="1:5" x14ac:dyDescent="0.25">
      <c r="A1460" t="str">
        <f t="shared" si="45"/>
        <v>51</v>
      </c>
      <c r="B1460" t="str">
        <f>"51.0707"</f>
        <v>51.0707</v>
      </c>
      <c r="E1460" t="s">
        <v>1547</v>
      </c>
    </row>
    <row r="1461" spans="1:5" x14ac:dyDescent="0.25">
      <c r="A1461" t="str">
        <f t="shared" si="45"/>
        <v>51</v>
      </c>
      <c r="B1461" t="str">
        <f>"51.0708"</f>
        <v>51.0708</v>
      </c>
      <c r="E1461" t="s">
        <v>1548</v>
      </c>
    </row>
    <row r="1462" spans="1:5" x14ac:dyDescent="0.25">
      <c r="A1462" t="str">
        <f t="shared" si="45"/>
        <v>51</v>
      </c>
      <c r="B1462" t="str">
        <f>"51.0709"</f>
        <v>51.0709</v>
      </c>
      <c r="E1462" t="s">
        <v>1549</v>
      </c>
    </row>
    <row r="1463" spans="1:5" x14ac:dyDescent="0.25">
      <c r="A1463" t="str">
        <f t="shared" si="45"/>
        <v>51</v>
      </c>
      <c r="B1463" t="str">
        <f>"51.0710"</f>
        <v>51.0710</v>
      </c>
      <c r="E1463" t="s">
        <v>1550</v>
      </c>
    </row>
    <row r="1464" spans="1:5" x14ac:dyDescent="0.25">
      <c r="A1464" t="str">
        <f t="shared" si="45"/>
        <v>51</v>
      </c>
      <c r="B1464" t="str">
        <f>"51.0711"</f>
        <v>51.0711</v>
      </c>
      <c r="E1464" t="s">
        <v>1551</v>
      </c>
    </row>
    <row r="1465" spans="1:5" x14ac:dyDescent="0.25">
      <c r="A1465" t="str">
        <f t="shared" si="45"/>
        <v>51</v>
      </c>
      <c r="B1465" t="str">
        <f>"51.0712"</f>
        <v>51.0712</v>
      </c>
      <c r="E1465" t="s">
        <v>1552</v>
      </c>
    </row>
    <row r="1466" spans="1:5" x14ac:dyDescent="0.25">
      <c r="A1466" t="str">
        <f t="shared" si="45"/>
        <v>51</v>
      </c>
      <c r="B1466" t="str">
        <f>"51.0713"</f>
        <v>51.0713</v>
      </c>
      <c r="E1466" t="s">
        <v>1553</v>
      </c>
    </row>
    <row r="1467" spans="1:5" x14ac:dyDescent="0.25">
      <c r="A1467" t="str">
        <f t="shared" si="45"/>
        <v>51</v>
      </c>
      <c r="B1467" t="str">
        <f>"51.0714"</f>
        <v>51.0714</v>
      </c>
      <c r="E1467" t="s">
        <v>1554</v>
      </c>
    </row>
    <row r="1468" spans="1:5" x14ac:dyDescent="0.25">
      <c r="A1468" t="str">
        <f t="shared" si="45"/>
        <v>51</v>
      </c>
      <c r="B1468" t="str">
        <f>"51.0715"</f>
        <v>51.0715</v>
      </c>
      <c r="E1468" t="s">
        <v>1555</v>
      </c>
    </row>
    <row r="1469" spans="1:5" x14ac:dyDescent="0.25">
      <c r="A1469" t="str">
        <f t="shared" si="45"/>
        <v>51</v>
      </c>
      <c r="B1469" t="str">
        <f>"51.0716"</f>
        <v>51.0716</v>
      </c>
      <c r="E1469" t="s">
        <v>1556</v>
      </c>
    </row>
    <row r="1470" spans="1:5" x14ac:dyDescent="0.25">
      <c r="A1470" t="str">
        <f t="shared" si="45"/>
        <v>51</v>
      </c>
      <c r="B1470" t="str">
        <f>"51.0717"</f>
        <v>51.0717</v>
      </c>
      <c r="E1470" t="s">
        <v>1557</v>
      </c>
    </row>
    <row r="1471" spans="1:5" x14ac:dyDescent="0.25">
      <c r="A1471" t="str">
        <f t="shared" si="45"/>
        <v>51</v>
      </c>
      <c r="B1471" t="str">
        <f>"51.0718"</f>
        <v>51.0718</v>
      </c>
      <c r="E1471" t="s">
        <v>1558</v>
      </c>
    </row>
    <row r="1472" spans="1:5" x14ac:dyDescent="0.25">
      <c r="A1472" t="str">
        <f t="shared" si="45"/>
        <v>51</v>
      </c>
      <c r="B1472" t="str">
        <f>"51.0719"</f>
        <v>51.0719</v>
      </c>
      <c r="E1472" t="s">
        <v>1559</v>
      </c>
    </row>
    <row r="1473" spans="1:5" x14ac:dyDescent="0.25">
      <c r="A1473" t="str">
        <f t="shared" si="45"/>
        <v>51</v>
      </c>
      <c r="B1473" t="str">
        <f>"51.0799"</f>
        <v>51.0799</v>
      </c>
      <c r="E1473" t="s">
        <v>1560</v>
      </c>
    </row>
    <row r="1474" spans="1:5" x14ac:dyDescent="0.25">
      <c r="A1474" t="str">
        <f t="shared" si="45"/>
        <v>51</v>
      </c>
      <c r="B1474" t="str">
        <f>"51.08"</f>
        <v>51.08</v>
      </c>
      <c r="D1474" t="s">
        <v>1561</v>
      </c>
    </row>
    <row r="1475" spans="1:5" x14ac:dyDescent="0.25">
      <c r="A1475" t="str">
        <f t="shared" si="45"/>
        <v>51</v>
      </c>
      <c r="B1475" t="str">
        <f>"51.0801"</f>
        <v>51.0801</v>
      </c>
      <c r="E1475" t="s">
        <v>1562</v>
      </c>
    </row>
    <row r="1476" spans="1:5" x14ac:dyDescent="0.25">
      <c r="A1476" t="str">
        <f t="shared" si="45"/>
        <v>51</v>
      </c>
      <c r="B1476" t="str">
        <f>"51.0802"</f>
        <v>51.0802</v>
      </c>
      <c r="E1476" t="s">
        <v>1563</v>
      </c>
    </row>
    <row r="1477" spans="1:5" x14ac:dyDescent="0.25">
      <c r="A1477" t="str">
        <f t="shared" si="45"/>
        <v>51</v>
      </c>
      <c r="B1477" t="str">
        <f>"51.0803"</f>
        <v>51.0803</v>
      </c>
      <c r="E1477" t="s">
        <v>1564</v>
      </c>
    </row>
    <row r="1478" spans="1:5" x14ac:dyDescent="0.25">
      <c r="A1478" t="str">
        <f t="shared" si="45"/>
        <v>51</v>
      </c>
      <c r="B1478" t="str">
        <f>"51.0805"</f>
        <v>51.0805</v>
      </c>
      <c r="E1478" t="s">
        <v>1565</v>
      </c>
    </row>
    <row r="1479" spans="1:5" x14ac:dyDescent="0.25">
      <c r="A1479" t="str">
        <f t="shared" si="45"/>
        <v>51</v>
      </c>
      <c r="B1479" t="str">
        <f>"51.0806"</f>
        <v>51.0806</v>
      </c>
      <c r="E1479" t="s">
        <v>1566</v>
      </c>
    </row>
    <row r="1480" spans="1:5" x14ac:dyDescent="0.25">
      <c r="A1480" t="str">
        <f t="shared" si="45"/>
        <v>51</v>
      </c>
      <c r="B1480" t="str">
        <f>"51.0808"</f>
        <v>51.0808</v>
      </c>
      <c r="E1480" t="s">
        <v>1567</v>
      </c>
    </row>
    <row r="1481" spans="1:5" x14ac:dyDescent="0.25">
      <c r="A1481" t="str">
        <f t="shared" si="45"/>
        <v>51</v>
      </c>
      <c r="B1481" t="str">
        <f>"51.0809"</f>
        <v>51.0809</v>
      </c>
      <c r="E1481" t="s">
        <v>1568</v>
      </c>
    </row>
    <row r="1482" spans="1:5" x14ac:dyDescent="0.25">
      <c r="A1482" t="str">
        <f t="shared" si="45"/>
        <v>51</v>
      </c>
      <c r="B1482" t="str">
        <f>"51.0810"</f>
        <v>51.0810</v>
      </c>
      <c r="E1482" t="s">
        <v>1569</v>
      </c>
    </row>
    <row r="1483" spans="1:5" x14ac:dyDescent="0.25">
      <c r="A1483" t="str">
        <f t="shared" si="45"/>
        <v>51</v>
      </c>
      <c r="B1483" t="str">
        <f>"51.0811"</f>
        <v>51.0811</v>
      </c>
      <c r="E1483" t="s">
        <v>1570</v>
      </c>
    </row>
    <row r="1484" spans="1:5" x14ac:dyDescent="0.25">
      <c r="A1484" t="str">
        <f t="shared" si="45"/>
        <v>51</v>
      </c>
      <c r="B1484" t="str">
        <f>"51.0812"</f>
        <v>51.0812</v>
      </c>
      <c r="E1484" t="s">
        <v>1571</v>
      </c>
    </row>
    <row r="1485" spans="1:5" x14ac:dyDescent="0.25">
      <c r="A1485" t="str">
        <f t="shared" si="45"/>
        <v>51</v>
      </c>
      <c r="B1485" t="str">
        <f>"51.0813"</f>
        <v>51.0813</v>
      </c>
      <c r="E1485" t="s">
        <v>1572</v>
      </c>
    </row>
    <row r="1486" spans="1:5" x14ac:dyDescent="0.25">
      <c r="A1486" t="str">
        <f t="shared" si="45"/>
        <v>51</v>
      </c>
      <c r="B1486" t="str">
        <f>"51.0814"</f>
        <v>51.0814</v>
      </c>
      <c r="E1486" t="s">
        <v>1573</v>
      </c>
    </row>
    <row r="1487" spans="1:5" x14ac:dyDescent="0.25">
      <c r="A1487" t="str">
        <f t="shared" si="45"/>
        <v>51</v>
      </c>
      <c r="B1487" t="str">
        <f>"51.0815"</f>
        <v>51.0815</v>
      </c>
      <c r="E1487" t="s">
        <v>1574</v>
      </c>
    </row>
    <row r="1488" spans="1:5" x14ac:dyDescent="0.25">
      <c r="A1488" t="str">
        <f t="shared" ref="A1488:A1551" si="46">"51"</f>
        <v>51</v>
      </c>
      <c r="B1488" t="str">
        <f>"51.0816"</f>
        <v>51.0816</v>
      </c>
      <c r="E1488" t="s">
        <v>1575</v>
      </c>
    </row>
    <row r="1489" spans="1:5" x14ac:dyDescent="0.25">
      <c r="A1489" t="str">
        <f t="shared" si="46"/>
        <v>51</v>
      </c>
      <c r="B1489" t="str">
        <f>"51.0899"</f>
        <v>51.0899</v>
      </c>
      <c r="E1489" t="s">
        <v>1576</v>
      </c>
    </row>
    <row r="1490" spans="1:5" x14ac:dyDescent="0.25">
      <c r="A1490" t="str">
        <f t="shared" si="46"/>
        <v>51</v>
      </c>
      <c r="B1490" t="str">
        <f>"51.09"</f>
        <v>51.09</v>
      </c>
      <c r="D1490" t="s">
        <v>1577</v>
      </c>
    </row>
    <row r="1491" spans="1:5" x14ac:dyDescent="0.25">
      <c r="A1491" t="str">
        <f t="shared" si="46"/>
        <v>51</v>
      </c>
      <c r="B1491" t="str">
        <f>"51.0901"</f>
        <v>51.0901</v>
      </c>
      <c r="E1491" t="s">
        <v>1578</v>
      </c>
    </row>
    <row r="1492" spans="1:5" x14ac:dyDescent="0.25">
      <c r="A1492" t="str">
        <f t="shared" si="46"/>
        <v>51</v>
      </c>
      <c r="B1492" t="str">
        <f>"51.0902"</f>
        <v>51.0902</v>
      </c>
      <c r="E1492" t="s">
        <v>1579</v>
      </c>
    </row>
    <row r="1493" spans="1:5" x14ac:dyDescent="0.25">
      <c r="A1493" t="str">
        <f t="shared" si="46"/>
        <v>51</v>
      </c>
      <c r="B1493" t="str">
        <f>"51.0903"</f>
        <v>51.0903</v>
      </c>
      <c r="E1493" t="s">
        <v>1580</v>
      </c>
    </row>
    <row r="1494" spans="1:5" x14ac:dyDescent="0.25">
      <c r="A1494" t="str">
        <f t="shared" si="46"/>
        <v>51</v>
      </c>
      <c r="B1494" t="str">
        <f>"51.0904"</f>
        <v>51.0904</v>
      </c>
      <c r="E1494" t="s">
        <v>1581</v>
      </c>
    </row>
    <row r="1495" spans="1:5" x14ac:dyDescent="0.25">
      <c r="A1495" t="str">
        <f t="shared" si="46"/>
        <v>51</v>
      </c>
      <c r="B1495" t="str">
        <f>"51.0905"</f>
        <v>51.0905</v>
      </c>
      <c r="E1495" t="s">
        <v>1582</v>
      </c>
    </row>
    <row r="1496" spans="1:5" x14ac:dyDescent="0.25">
      <c r="A1496" t="str">
        <f t="shared" si="46"/>
        <v>51</v>
      </c>
      <c r="B1496" t="str">
        <f>"51.0906"</f>
        <v>51.0906</v>
      </c>
      <c r="E1496" t="s">
        <v>1583</v>
      </c>
    </row>
    <row r="1497" spans="1:5" x14ac:dyDescent="0.25">
      <c r="A1497" t="str">
        <f t="shared" si="46"/>
        <v>51</v>
      </c>
      <c r="B1497" t="str">
        <f>"51.0907"</f>
        <v>51.0907</v>
      </c>
      <c r="E1497" t="s">
        <v>1584</v>
      </c>
    </row>
    <row r="1498" spans="1:5" x14ac:dyDescent="0.25">
      <c r="A1498" t="str">
        <f t="shared" si="46"/>
        <v>51</v>
      </c>
      <c r="B1498" t="str">
        <f>"51.0908"</f>
        <v>51.0908</v>
      </c>
      <c r="E1498" t="s">
        <v>1585</v>
      </c>
    </row>
    <row r="1499" spans="1:5" x14ac:dyDescent="0.25">
      <c r="A1499" t="str">
        <f t="shared" si="46"/>
        <v>51</v>
      </c>
      <c r="B1499" t="str">
        <f>"51.0909"</f>
        <v>51.0909</v>
      </c>
      <c r="E1499" t="s">
        <v>1586</v>
      </c>
    </row>
    <row r="1500" spans="1:5" x14ac:dyDescent="0.25">
      <c r="A1500" t="str">
        <f t="shared" si="46"/>
        <v>51</v>
      </c>
      <c r="B1500" t="str">
        <f>"51.0910"</f>
        <v>51.0910</v>
      </c>
      <c r="E1500" t="s">
        <v>1587</v>
      </c>
    </row>
    <row r="1501" spans="1:5" x14ac:dyDescent="0.25">
      <c r="A1501" t="str">
        <f t="shared" si="46"/>
        <v>51</v>
      </c>
      <c r="B1501" t="str">
        <f>"51.0911"</f>
        <v>51.0911</v>
      </c>
      <c r="E1501" t="s">
        <v>1588</v>
      </c>
    </row>
    <row r="1502" spans="1:5" x14ac:dyDescent="0.25">
      <c r="A1502" t="str">
        <f t="shared" si="46"/>
        <v>51</v>
      </c>
      <c r="B1502" t="str">
        <f>"51.0912"</f>
        <v>51.0912</v>
      </c>
      <c r="E1502" t="s">
        <v>1589</v>
      </c>
    </row>
    <row r="1503" spans="1:5" x14ac:dyDescent="0.25">
      <c r="A1503" t="str">
        <f t="shared" si="46"/>
        <v>51</v>
      </c>
      <c r="B1503" t="str">
        <f>"51.0913"</f>
        <v>51.0913</v>
      </c>
      <c r="E1503" t="s">
        <v>1590</v>
      </c>
    </row>
    <row r="1504" spans="1:5" x14ac:dyDescent="0.25">
      <c r="A1504" t="str">
        <f t="shared" si="46"/>
        <v>51</v>
      </c>
      <c r="B1504" t="str">
        <f>"51.0914"</f>
        <v>51.0914</v>
      </c>
      <c r="E1504" t="s">
        <v>1591</v>
      </c>
    </row>
    <row r="1505" spans="1:5" x14ac:dyDescent="0.25">
      <c r="A1505" t="str">
        <f t="shared" si="46"/>
        <v>51</v>
      </c>
      <c r="B1505" t="str">
        <f>"51.0915"</f>
        <v>51.0915</v>
      </c>
      <c r="E1505" t="s">
        <v>1592</v>
      </c>
    </row>
    <row r="1506" spans="1:5" x14ac:dyDescent="0.25">
      <c r="A1506" t="str">
        <f t="shared" si="46"/>
        <v>51</v>
      </c>
      <c r="B1506" t="str">
        <f>"51.0916"</f>
        <v>51.0916</v>
      </c>
      <c r="E1506" t="s">
        <v>1593</v>
      </c>
    </row>
    <row r="1507" spans="1:5" x14ac:dyDescent="0.25">
      <c r="A1507" t="str">
        <f t="shared" si="46"/>
        <v>51</v>
      </c>
      <c r="B1507" t="str">
        <f>"51.0917"</f>
        <v>51.0917</v>
      </c>
      <c r="E1507" t="s">
        <v>1594</v>
      </c>
    </row>
    <row r="1508" spans="1:5" x14ac:dyDescent="0.25">
      <c r="A1508" t="str">
        <f t="shared" si="46"/>
        <v>51</v>
      </c>
      <c r="B1508" t="str">
        <f>"51.0918"</f>
        <v>51.0918</v>
      </c>
      <c r="E1508" t="s">
        <v>1595</v>
      </c>
    </row>
    <row r="1509" spans="1:5" x14ac:dyDescent="0.25">
      <c r="A1509" t="str">
        <f t="shared" si="46"/>
        <v>51</v>
      </c>
      <c r="B1509" t="str">
        <f>"51.0919"</f>
        <v>51.0919</v>
      </c>
      <c r="E1509" t="s">
        <v>1596</v>
      </c>
    </row>
    <row r="1510" spans="1:5" x14ac:dyDescent="0.25">
      <c r="A1510" t="str">
        <f t="shared" si="46"/>
        <v>51</v>
      </c>
      <c r="B1510" t="str">
        <f>"51.0920"</f>
        <v>51.0920</v>
      </c>
      <c r="E1510" t="s">
        <v>1597</v>
      </c>
    </row>
    <row r="1511" spans="1:5" x14ac:dyDescent="0.25">
      <c r="A1511" t="str">
        <f t="shared" si="46"/>
        <v>51</v>
      </c>
      <c r="B1511" t="str">
        <f>"51.0999"</f>
        <v>51.0999</v>
      </c>
      <c r="E1511" t="s">
        <v>1598</v>
      </c>
    </row>
    <row r="1512" spans="1:5" x14ac:dyDescent="0.25">
      <c r="A1512" t="str">
        <f t="shared" si="46"/>
        <v>51</v>
      </c>
      <c r="B1512" t="str">
        <f>"51.10"</f>
        <v>51.10</v>
      </c>
      <c r="D1512" t="s">
        <v>1599</v>
      </c>
    </row>
    <row r="1513" spans="1:5" x14ac:dyDescent="0.25">
      <c r="A1513" t="str">
        <f t="shared" si="46"/>
        <v>51</v>
      </c>
      <c r="B1513" t="str">
        <f>"51.1001"</f>
        <v>51.1001</v>
      </c>
      <c r="E1513" t="s">
        <v>1600</v>
      </c>
    </row>
    <row r="1514" spans="1:5" x14ac:dyDescent="0.25">
      <c r="A1514" t="str">
        <f t="shared" si="46"/>
        <v>51</v>
      </c>
      <c r="B1514" t="str">
        <f>"51.1002"</f>
        <v>51.1002</v>
      </c>
      <c r="E1514" t="s">
        <v>1601</v>
      </c>
    </row>
    <row r="1515" spans="1:5" x14ac:dyDescent="0.25">
      <c r="A1515" t="str">
        <f t="shared" si="46"/>
        <v>51</v>
      </c>
      <c r="B1515" t="str">
        <f>"51.1003"</f>
        <v>51.1003</v>
      </c>
      <c r="E1515" t="s">
        <v>1602</v>
      </c>
    </row>
    <row r="1516" spans="1:5" x14ac:dyDescent="0.25">
      <c r="A1516" t="str">
        <f t="shared" si="46"/>
        <v>51</v>
      </c>
      <c r="B1516" t="str">
        <f>"51.1004"</f>
        <v>51.1004</v>
      </c>
      <c r="E1516" t="s">
        <v>1603</v>
      </c>
    </row>
    <row r="1517" spans="1:5" x14ac:dyDescent="0.25">
      <c r="A1517" t="str">
        <f t="shared" si="46"/>
        <v>51</v>
      </c>
      <c r="B1517" t="str">
        <f>"51.1005"</f>
        <v>51.1005</v>
      </c>
      <c r="E1517" t="s">
        <v>1604</v>
      </c>
    </row>
    <row r="1518" spans="1:5" x14ac:dyDescent="0.25">
      <c r="A1518" t="str">
        <f t="shared" si="46"/>
        <v>51</v>
      </c>
      <c r="B1518" t="str">
        <f>"51.1006"</f>
        <v>51.1006</v>
      </c>
      <c r="E1518" t="s">
        <v>1605</v>
      </c>
    </row>
    <row r="1519" spans="1:5" x14ac:dyDescent="0.25">
      <c r="A1519" t="str">
        <f t="shared" si="46"/>
        <v>51</v>
      </c>
      <c r="B1519" t="str">
        <f>"51.1007"</f>
        <v>51.1007</v>
      </c>
      <c r="E1519" t="s">
        <v>1606</v>
      </c>
    </row>
    <row r="1520" spans="1:5" x14ac:dyDescent="0.25">
      <c r="A1520" t="str">
        <f t="shared" si="46"/>
        <v>51</v>
      </c>
      <c r="B1520" t="str">
        <f>"51.1008"</f>
        <v>51.1008</v>
      </c>
      <c r="E1520" t="s">
        <v>1607</v>
      </c>
    </row>
    <row r="1521" spans="1:5" x14ac:dyDescent="0.25">
      <c r="A1521" t="str">
        <f t="shared" si="46"/>
        <v>51</v>
      </c>
      <c r="B1521" t="str">
        <f>"51.1009"</f>
        <v>51.1009</v>
      </c>
      <c r="E1521" t="s">
        <v>1608</v>
      </c>
    </row>
    <row r="1522" spans="1:5" x14ac:dyDescent="0.25">
      <c r="A1522" t="str">
        <f t="shared" si="46"/>
        <v>51</v>
      </c>
      <c r="B1522" t="str">
        <f>"51.1010"</f>
        <v>51.1010</v>
      </c>
      <c r="E1522" t="s">
        <v>1609</v>
      </c>
    </row>
    <row r="1523" spans="1:5" x14ac:dyDescent="0.25">
      <c r="A1523" t="str">
        <f t="shared" si="46"/>
        <v>51</v>
      </c>
      <c r="B1523" t="str">
        <f>"51.1011"</f>
        <v>51.1011</v>
      </c>
      <c r="E1523" t="s">
        <v>1610</v>
      </c>
    </row>
    <row r="1524" spans="1:5" x14ac:dyDescent="0.25">
      <c r="A1524" t="str">
        <f t="shared" si="46"/>
        <v>51</v>
      </c>
      <c r="B1524" t="str">
        <f>"51.1012"</f>
        <v>51.1012</v>
      </c>
      <c r="E1524" t="s">
        <v>1611</v>
      </c>
    </row>
    <row r="1525" spans="1:5" x14ac:dyDescent="0.25">
      <c r="A1525" t="str">
        <f t="shared" si="46"/>
        <v>51</v>
      </c>
      <c r="B1525" t="str">
        <f>"51.1099"</f>
        <v>51.1099</v>
      </c>
      <c r="E1525" t="s">
        <v>1612</v>
      </c>
    </row>
    <row r="1526" spans="1:5" x14ac:dyDescent="0.25">
      <c r="A1526" t="str">
        <f t="shared" si="46"/>
        <v>51</v>
      </c>
      <c r="B1526" t="str">
        <f>"51.11"</f>
        <v>51.11</v>
      </c>
      <c r="D1526" t="s">
        <v>1613</v>
      </c>
    </row>
    <row r="1527" spans="1:5" x14ac:dyDescent="0.25">
      <c r="A1527" t="str">
        <f t="shared" si="46"/>
        <v>51</v>
      </c>
      <c r="B1527" t="str">
        <f>"51.1101"</f>
        <v>51.1101</v>
      </c>
      <c r="E1527" t="s">
        <v>1614</v>
      </c>
    </row>
    <row r="1528" spans="1:5" x14ac:dyDescent="0.25">
      <c r="A1528" t="str">
        <f t="shared" si="46"/>
        <v>51</v>
      </c>
      <c r="B1528" t="str">
        <f>"51.1102"</f>
        <v>51.1102</v>
      </c>
      <c r="E1528" t="s">
        <v>1615</v>
      </c>
    </row>
    <row r="1529" spans="1:5" x14ac:dyDescent="0.25">
      <c r="A1529" t="str">
        <f t="shared" si="46"/>
        <v>51</v>
      </c>
      <c r="B1529" t="str">
        <f>"51.1103"</f>
        <v>51.1103</v>
      </c>
      <c r="E1529" t="s">
        <v>1616</v>
      </c>
    </row>
    <row r="1530" spans="1:5" x14ac:dyDescent="0.25">
      <c r="A1530" t="str">
        <f t="shared" si="46"/>
        <v>51</v>
      </c>
      <c r="B1530" t="str">
        <f>"51.1104"</f>
        <v>51.1104</v>
      </c>
      <c r="E1530" t="s">
        <v>1617</v>
      </c>
    </row>
    <row r="1531" spans="1:5" x14ac:dyDescent="0.25">
      <c r="A1531" t="str">
        <f t="shared" si="46"/>
        <v>51</v>
      </c>
      <c r="B1531" t="str">
        <f>"51.1105"</f>
        <v>51.1105</v>
      </c>
      <c r="E1531" t="s">
        <v>1618</v>
      </c>
    </row>
    <row r="1532" spans="1:5" x14ac:dyDescent="0.25">
      <c r="A1532" t="str">
        <f t="shared" si="46"/>
        <v>51</v>
      </c>
      <c r="B1532" t="str">
        <f>"51.1106"</f>
        <v>51.1106</v>
      </c>
      <c r="E1532" t="s">
        <v>1619</v>
      </c>
    </row>
    <row r="1533" spans="1:5" x14ac:dyDescent="0.25">
      <c r="A1533" t="str">
        <f t="shared" si="46"/>
        <v>51</v>
      </c>
      <c r="B1533" t="str">
        <f>"51.1107"</f>
        <v>51.1107</v>
      </c>
      <c r="E1533" t="s">
        <v>1620</v>
      </c>
    </row>
    <row r="1534" spans="1:5" x14ac:dyDescent="0.25">
      <c r="A1534" t="str">
        <f t="shared" si="46"/>
        <v>51</v>
      </c>
      <c r="B1534" t="str">
        <f>"51.1108"</f>
        <v>51.1108</v>
      </c>
      <c r="E1534" t="s">
        <v>1621</v>
      </c>
    </row>
    <row r="1535" spans="1:5" x14ac:dyDescent="0.25">
      <c r="A1535" t="str">
        <f t="shared" si="46"/>
        <v>51</v>
      </c>
      <c r="B1535" t="str">
        <f>"51.1109"</f>
        <v>51.1109</v>
      </c>
      <c r="E1535" t="s">
        <v>1622</v>
      </c>
    </row>
    <row r="1536" spans="1:5" x14ac:dyDescent="0.25">
      <c r="A1536" t="str">
        <f t="shared" si="46"/>
        <v>51</v>
      </c>
      <c r="B1536" t="str">
        <f>"51.1199"</f>
        <v>51.1199</v>
      </c>
      <c r="E1536" t="s">
        <v>1623</v>
      </c>
    </row>
    <row r="1537" spans="1:5" x14ac:dyDescent="0.25">
      <c r="A1537" t="str">
        <f t="shared" si="46"/>
        <v>51</v>
      </c>
      <c r="B1537" t="str">
        <f>"51.12"</f>
        <v>51.12</v>
      </c>
      <c r="D1537" t="s">
        <v>1624</v>
      </c>
    </row>
    <row r="1538" spans="1:5" x14ac:dyDescent="0.25">
      <c r="A1538" t="str">
        <f t="shared" si="46"/>
        <v>51</v>
      </c>
      <c r="B1538" t="str">
        <f>"51.14"</f>
        <v>51.14</v>
      </c>
      <c r="D1538" t="s">
        <v>1625</v>
      </c>
    </row>
    <row r="1539" spans="1:5" x14ac:dyDescent="0.25">
      <c r="A1539" t="str">
        <f t="shared" si="46"/>
        <v>51</v>
      </c>
      <c r="B1539" t="str">
        <f>"51.15"</f>
        <v>51.15</v>
      </c>
      <c r="D1539" t="s">
        <v>1626</v>
      </c>
    </row>
    <row r="1540" spans="1:5" x14ac:dyDescent="0.25">
      <c r="A1540" t="str">
        <f t="shared" si="46"/>
        <v>51</v>
      </c>
      <c r="B1540" t="str">
        <f>"51.1501"</f>
        <v>51.1501</v>
      </c>
      <c r="E1540" t="s">
        <v>1627</v>
      </c>
    </row>
    <row r="1541" spans="1:5" x14ac:dyDescent="0.25">
      <c r="A1541" t="str">
        <f t="shared" si="46"/>
        <v>51</v>
      </c>
      <c r="B1541" t="str">
        <f>"51.1502"</f>
        <v>51.1502</v>
      </c>
      <c r="E1541" t="s">
        <v>1628</v>
      </c>
    </row>
    <row r="1542" spans="1:5" x14ac:dyDescent="0.25">
      <c r="A1542" t="str">
        <f t="shared" si="46"/>
        <v>51</v>
      </c>
      <c r="B1542" t="str">
        <f>"51.1503"</f>
        <v>51.1503</v>
      </c>
      <c r="E1542" t="s">
        <v>1629</v>
      </c>
    </row>
    <row r="1543" spans="1:5" x14ac:dyDescent="0.25">
      <c r="A1543" t="str">
        <f t="shared" si="46"/>
        <v>51</v>
      </c>
      <c r="B1543" t="str">
        <f>"51.1504"</f>
        <v>51.1504</v>
      </c>
      <c r="E1543" t="s">
        <v>1630</v>
      </c>
    </row>
    <row r="1544" spans="1:5" x14ac:dyDescent="0.25">
      <c r="A1544" t="str">
        <f t="shared" si="46"/>
        <v>51</v>
      </c>
      <c r="B1544" t="str">
        <f>"51.1505"</f>
        <v>51.1505</v>
      </c>
      <c r="E1544" t="s">
        <v>1631</v>
      </c>
    </row>
    <row r="1545" spans="1:5" x14ac:dyDescent="0.25">
      <c r="A1545" t="str">
        <f t="shared" si="46"/>
        <v>51</v>
      </c>
      <c r="B1545" t="str">
        <f>"51.1506"</f>
        <v>51.1506</v>
      </c>
      <c r="E1545" t="s">
        <v>1632</v>
      </c>
    </row>
    <row r="1546" spans="1:5" x14ac:dyDescent="0.25">
      <c r="A1546" t="str">
        <f t="shared" si="46"/>
        <v>51</v>
      </c>
      <c r="B1546" t="str">
        <f>"51.1507"</f>
        <v>51.1507</v>
      </c>
      <c r="E1546" t="s">
        <v>1633</v>
      </c>
    </row>
    <row r="1547" spans="1:5" x14ac:dyDescent="0.25">
      <c r="A1547" t="str">
        <f t="shared" si="46"/>
        <v>51</v>
      </c>
      <c r="B1547" t="str">
        <f>"51.1508"</f>
        <v>51.1508</v>
      </c>
      <c r="E1547" t="s">
        <v>1634</v>
      </c>
    </row>
    <row r="1548" spans="1:5" x14ac:dyDescent="0.25">
      <c r="A1548" t="str">
        <f t="shared" si="46"/>
        <v>51</v>
      </c>
      <c r="B1548" t="str">
        <f>"51.1509"</f>
        <v>51.1509</v>
      </c>
      <c r="E1548" t="s">
        <v>1635</v>
      </c>
    </row>
    <row r="1549" spans="1:5" x14ac:dyDescent="0.25">
      <c r="A1549" t="str">
        <f t="shared" si="46"/>
        <v>51</v>
      </c>
      <c r="B1549" t="str">
        <f>"51.1599"</f>
        <v>51.1599</v>
      </c>
      <c r="E1549" t="s">
        <v>1636</v>
      </c>
    </row>
    <row r="1550" spans="1:5" x14ac:dyDescent="0.25">
      <c r="A1550" t="str">
        <f t="shared" si="46"/>
        <v>51</v>
      </c>
      <c r="B1550" t="str">
        <f>"51.17"</f>
        <v>51.17</v>
      </c>
      <c r="D1550" t="s">
        <v>1648</v>
      </c>
    </row>
    <row r="1551" spans="1:5" x14ac:dyDescent="0.25">
      <c r="A1551" t="str">
        <f t="shared" si="46"/>
        <v>51</v>
      </c>
      <c r="B1551" t="str">
        <f>"51.18"</f>
        <v>51.18</v>
      </c>
      <c r="D1551" t="s">
        <v>1649</v>
      </c>
    </row>
    <row r="1552" spans="1:5" x14ac:dyDescent="0.25">
      <c r="A1552" t="str">
        <f t="shared" ref="A1552:A1615" si="47">"51"</f>
        <v>51</v>
      </c>
      <c r="B1552" t="str">
        <f>"51.1801"</f>
        <v>51.1801</v>
      </c>
      <c r="E1552" t="s">
        <v>1650</v>
      </c>
    </row>
    <row r="1553" spans="1:5" x14ac:dyDescent="0.25">
      <c r="A1553" t="str">
        <f t="shared" si="47"/>
        <v>51</v>
      </c>
      <c r="B1553" t="str">
        <f>"51.1802"</f>
        <v>51.1802</v>
      </c>
      <c r="E1553" t="s">
        <v>1651</v>
      </c>
    </row>
    <row r="1554" spans="1:5" x14ac:dyDescent="0.25">
      <c r="A1554" t="str">
        <f t="shared" si="47"/>
        <v>51</v>
      </c>
      <c r="B1554" t="str">
        <f>"51.1803"</f>
        <v>51.1803</v>
      </c>
      <c r="E1554" t="s">
        <v>1652</v>
      </c>
    </row>
    <row r="1555" spans="1:5" x14ac:dyDescent="0.25">
      <c r="A1555" t="str">
        <f t="shared" si="47"/>
        <v>51</v>
      </c>
      <c r="B1555" t="str">
        <f>"51.1804"</f>
        <v>51.1804</v>
      </c>
      <c r="E1555" t="s">
        <v>1653</v>
      </c>
    </row>
    <row r="1556" spans="1:5" x14ac:dyDescent="0.25">
      <c r="A1556" t="str">
        <f t="shared" si="47"/>
        <v>51</v>
      </c>
      <c r="B1556" t="str">
        <f>"51.1899"</f>
        <v>51.1899</v>
      </c>
      <c r="E1556" t="s">
        <v>1654</v>
      </c>
    </row>
    <row r="1557" spans="1:5" x14ac:dyDescent="0.25">
      <c r="A1557" t="str">
        <f t="shared" si="47"/>
        <v>51</v>
      </c>
      <c r="B1557" t="str">
        <f>"51.19"</f>
        <v>51.19</v>
      </c>
      <c r="D1557" t="s">
        <v>1655</v>
      </c>
    </row>
    <row r="1558" spans="1:5" x14ac:dyDescent="0.25">
      <c r="A1558" t="str">
        <f t="shared" si="47"/>
        <v>51</v>
      </c>
      <c r="B1558" t="str">
        <f>"51.20"</f>
        <v>51.20</v>
      </c>
      <c r="D1558" t="s">
        <v>1656</v>
      </c>
    </row>
    <row r="1559" spans="1:5" x14ac:dyDescent="0.25">
      <c r="A1559" t="str">
        <f t="shared" si="47"/>
        <v>51</v>
      </c>
      <c r="B1559" t="str">
        <f>"51.2001"</f>
        <v>51.2001</v>
      </c>
      <c r="E1559" t="s">
        <v>1657</v>
      </c>
    </row>
    <row r="1560" spans="1:5" x14ac:dyDescent="0.25">
      <c r="A1560" t="str">
        <f t="shared" si="47"/>
        <v>51</v>
      </c>
      <c r="B1560" t="str">
        <f>"51.2002"</f>
        <v>51.2002</v>
      </c>
      <c r="E1560" t="s">
        <v>1658</v>
      </c>
    </row>
    <row r="1561" spans="1:5" x14ac:dyDescent="0.25">
      <c r="A1561" t="str">
        <f t="shared" si="47"/>
        <v>51</v>
      </c>
      <c r="B1561" t="str">
        <f>"51.2003"</f>
        <v>51.2003</v>
      </c>
      <c r="E1561" t="s">
        <v>1659</v>
      </c>
    </row>
    <row r="1562" spans="1:5" x14ac:dyDescent="0.25">
      <c r="A1562" t="str">
        <f t="shared" si="47"/>
        <v>51</v>
      </c>
      <c r="B1562" t="str">
        <f>"51.2004"</f>
        <v>51.2004</v>
      </c>
      <c r="E1562" t="s">
        <v>1660</v>
      </c>
    </row>
    <row r="1563" spans="1:5" x14ac:dyDescent="0.25">
      <c r="A1563" t="str">
        <f t="shared" si="47"/>
        <v>51</v>
      </c>
      <c r="B1563" t="str">
        <f>"51.2005"</f>
        <v>51.2005</v>
      </c>
      <c r="E1563" t="s">
        <v>1661</v>
      </c>
    </row>
    <row r="1564" spans="1:5" x14ac:dyDescent="0.25">
      <c r="A1564" t="str">
        <f t="shared" si="47"/>
        <v>51</v>
      </c>
      <c r="B1564" t="str">
        <f>"51.2006"</f>
        <v>51.2006</v>
      </c>
      <c r="E1564" t="s">
        <v>1662</v>
      </c>
    </row>
    <row r="1565" spans="1:5" x14ac:dyDescent="0.25">
      <c r="A1565" t="str">
        <f t="shared" si="47"/>
        <v>51</v>
      </c>
      <c r="B1565" t="str">
        <f>"51.2007"</f>
        <v>51.2007</v>
      </c>
      <c r="E1565" t="s">
        <v>1663</v>
      </c>
    </row>
    <row r="1566" spans="1:5" x14ac:dyDescent="0.25">
      <c r="A1566" t="str">
        <f t="shared" si="47"/>
        <v>51</v>
      </c>
      <c r="B1566" t="str">
        <f>"51.2008"</f>
        <v>51.2008</v>
      </c>
      <c r="E1566" t="s">
        <v>1664</v>
      </c>
    </row>
    <row r="1567" spans="1:5" x14ac:dyDescent="0.25">
      <c r="A1567" t="str">
        <f t="shared" si="47"/>
        <v>51</v>
      </c>
      <c r="B1567" t="str">
        <f>"51.2009"</f>
        <v>51.2009</v>
      </c>
      <c r="E1567" t="s">
        <v>1665</v>
      </c>
    </row>
    <row r="1568" spans="1:5" x14ac:dyDescent="0.25">
      <c r="A1568" t="str">
        <f t="shared" si="47"/>
        <v>51</v>
      </c>
      <c r="B1568" t="str">
        <f>"51.2010"</f>
        <v>51.2010</v>
      </c>
      <c r="E1568" t="s">
        <v>1666</v>
      </c>
    </row>
    <row r="1569" spans="1:5" x14ac:dyDescent="0.25">
      <c r="A1569" t="str">
        <f t="shared" si="47"/>
        <v>51</v>
      </c>
      <c r="B1569" t="str">
        <f>"51.2011"</f>
        <v>51.2011</v>
      </c>
      <c r="E1569" t="s">
        <v>1667</v>
      </c>
    </row>
    <row r="1570" spans="1:5" x14ac:dyDescent="0.25">
      <c r="A1570" t="str">
        <f t="shared" si="47"/>
        <v>51</v>
      </c>
      <c r="B1570" t="str">
        <f>"51.2099"</f>
        <v>51.2099</v>
      </c>
      <c r="E1570" t="s">
        <v>1668</v>
      </c>
    </row>
    <row r="1571" spans="1:5" x14ac:dyDescent="0.25">
      <c r="A1571" t="str">
        <f t="shared" si="47"/>
        <v>51</v>
      </c>
      <c r="B1571" t="str">
        <f>"51.21"</f>
        <v>51.21</v>
      </c>
      <c r="D1571" t="s">
        <v>1669</v>
      </c>
    </row>
    <row r="1572" spans="1:5" x14ac:dyDescent="0.25">
      <c r="A1572" t="str">
        <f t="shared" si="47"/>
        <v>51</v>
      </c>
      <c r="B1572" t="str">
        <f>"51.22"</f>
        <v>51.22</v>
      </c>
      <c r="D1572" t="s">
        <v>1670</v>
      </c>
    </row>
    <row r="1573" spans="1:5" x14ac:dyDescent="0.25">
      <c r="A1573" t="str">
        <f t="shared" si="47"/>
        <v>51</v>
      </c>
      <c r="B1573" t="str">
        <f>"51.2201"</f>
        <v>51.2201</v>
      </c>
      <c r="E1573" t="s">
        <v>1671</v>
      </c>
    </row>
    <row r="1574" spans="1:5" x14ac:dyDescent="0.25">
      <c r="A1574" t="str">
        <f t="shared" si="47"/>
        <v>51</v>
      </c>
      <c r="B1574" t="str">
        <f>"51.2202"</f>
        <v>51.2202</v>
      </c>
      <c r="E1574" t="s">
        <v>1672</v>
      </c>
    </row>
    <row r="1575" spans="1:5" x14ac:dyDescent="0.25">
      <c r="A1575" t="str">
        <f t="shared" si="47"/>
        <v>51</v>
      </c>
      <c r="B1575" t="str">
        <f>"51.2205"</f>
        <v>51.2205</v>
      </c>
      <c r="E1575" t="s">
        <v>1673</v>
      </c>
    </row>
    <row r="1576" spans="1:5" x14ac:dyDescent="0.25">
      <c r="A1576" t="str">
        <f t="shared" si="47"/>
        <v>51</v>
      </c>
      <c r="B1576" t="str">
        <f>"51.2206"</f>
        <v>51.2206</v>
      </c>
      <c r="E1576" t="s">
        <v>1674</v>
      </c>
    </row>
    <row r="1577" spans="1:5" x14ac:dyDescent="0.25">
      <c r="A1577" t="str">
        <f t="shared" si="47"/>
        <v>51</v>
      </c>
      <c r="B1577" t="str">
        <f>"51.2207"</f>
        <v>51.2207</v>
      </c>
      <c r="E1577" t="s">
        <v>1675</v>
      </c>
    </row>
    <row r="1578" spans="1:5" x14ac:dyDescent="0.25">
      <c r="A1578" t="str">
        <f t="shared" si="47"/>
        <v>51</v>
      </c>
      <c r="B1578" t="str">
        <f>"51.2208"</f>
        <v>51.2208</v>
      </c>
      <c r="E1578" t="s">
        <v>1676</v>
      </c>
    </row>
    <row r="1579" spans="1:5" x14ac:dyDescent="0.25">
      <c r="A1579" t="str">
        <f t="shared" si="47"/>
        <v>51</v>
      </c>
      <c r="B1579" t="str">
        <f>"51.2209"</f>
        <v>51.2209</v>
      </c>
      <c r="E1579" t="s">
        <v>1677</v>
      </c>
    </row>
    <row r="1580" spans="1:5" x14ac:dyDescent="0.25">
      <c r="A1580" t="str">
        <f t="shared" si="47"/>
        <v>51</v>
      </c>
      <c r="B1580" t="str">
        <f>"51.2210"</f>
        <v>51.2210</v>
      </c>
      <c r="E1580" t="s">
        <v>1678</v>
      </c>
    </row>
    <row r="1581" spans="1:5" x14ac:dyDescent="0.25">
      <c r="A1581" t="str">
        <f t="shared" si="47"/>
        <v>51</v>
      </c>
      <c r="B1581" t="str">
        <f>"51.2211"</f>
        <v>51.2211</v>
      </c>
      <c r="E1581" t="s">
        <v>1679</v>
      </c>
    </row>
    <row r="1582" spans="1:5" x14ac:dyDescent="0.25">
      <c r="A1582" t="str">
        <f t="shared" si="47"/>
        <v>51</v>
      </c>
      <c r="B1582" t="str">
        <f>"51.2212"</f>
        <v>51.2212</v>
      </c>
      <c r="E1582" t="s">
        <v>1680</v>
      </c>
    </row>
    <row r="1583" spans="1:5" x14ac:dyDescent="0.25">
      <c r="A1583" t="str">
        <f t="shared" si="47"/>
        <v>51</v>
      </c>
      <c r="B1583" t="str">
        <f>"51.2299"</f>
        <v>51.2299</v>
      </c>
      <c r="E1583" t="s">
        <v>1681</v>
      </c>
    </row>
    <row r="1584" spans="1:5" x14ac:dyDescent="0.25">
      <c r="A1584" t="str">
        <f t="shared" si="47"/>
        <v>51</v>
      </c>
      <c r="B1584" t="str">
        <f>"51.23"</f>
        <v>51.23</v>
      </c>
      <c r="D1584" t="s">
        <v>1682</v>
      </c>
    </row>
    <row r="1585" spans="1:5" x14ac:dyDescent="0.25">
      <c r="A1585" t="str">
        <f t="shared" si="47"/>
        <v>51</v>
      </c>
      <c r="B1585" t="str">
        <f>"51.2301"</f>
        <v>51.2301</v>
      </c>
      <c r="E1585" t="s">
        <v>1683</v>
      </c>
    </row>
    <row r="1586" spans="1:5" x14ac:dyDescent="0.25">
      <c r="A1586" t="str">
        <f t="shared" si="47"/>
        <v>51</v>
      </c>
      <c r="B1586" t="str">
        <f>"51.2302"</f>
        <v>51.2302</v>
      </c>
      <c r="E1586" t="s">
        <v>1684</v>
      </c>
    </row>
    <row r="1587" spans="1:5" x14ac:dyDescent="0.25">
      <c r="A1587" t="str">
        <f t="shared" si="47"/>
        <v>51</v>
      </c>
      <c r="B1587" t="str">
        <f>"51.2305"</f>
        <v>51.2305</v>
      </c>
      <c r="E1587" t="s">
        <v>1685</v>
      </c>
    </row>
    <row r="1588" spans="1:5" x14ac:dyDescent="0.25">
      <c r="A1588" t="str">
        <f t="shared" si="47"/>
        <v>51</v>
      </c>
      <c r="B1588" t="str">
        <f>"51.2306"</f>
        <v>51.2306</v>
      </c>
      <c r="E1588" t="s">
        <v>1686</v>
      </c>
    </row>
    <row r="1589" spans="1:5" x14ac:dyDescent="0.25">
      <c r="A1589" t="str">
        <f t="shared" si="47"/>
        <v>51</v>
      </c>
      <c r="B1589" t="str">
        <f>"51.2307"</f>
        <v>51.2307</v>
      </c>
      <c r="E1589" t="s">
        <v>1687</v>
      </c>
    </row>
    <row r="1590" spans="1:5" x14ac:dyDescent="0.25">
      <c r="A1590" t="str">
        <f t="shared" si="47"/>
        <v>51</v>
      </c>
      <c r="B1590" t="str">
        <f>"51.2308"</f>
        <v>51.2308</v>
      </c>
      <c r="E1590" t="s">
        <v>1688</v>
      </c>
    </row>
    <row r="1591" spans="1:5" x14ac:dyDescent="0.25">
      <c r="A1591" t="str">
        <f t="shared" si="47"/>
        <v>51</v>
      </c>
      <c r="B1591" t="str">
        <f>"51.2309"</f>
        <v>51.2309</v>
      </c>
      <c r="E1591" t="s">
        <v>1689</v>
      </c>
    </row>
    <row r="1592" spans="1:5" x14ac:dyDescent="0.25">
      <c r="A1592" t="str">
        <f t="shared" si="47"/>
        <v>51</v>
      </c>
      <c r="B1592" t="str">
        <f>"51.2310"</f>
        <v>51.2310</v>
      </c>
      <c r="E1592" t="s">
        <v>1690</v>
      </c>
    </row>
    <row r="1593" spans="1:5" x14ac:dyDescent="0.25">
      <c r="A1593" t="str">
        <f t="shared" si="47"/>
        <v>51</v>
      </c>
      <c r="B1593" t="str">
        <f>"51.2311"</f>
        <v>51.2311</v>
      </c>
      <c r="E1593" t="s">
        <v>1691</v>
      </c>
    </row>
    <row r="1594" spans="1:5" x14ac:dyDescent="0.25">
      <c r="A1594" t="str">
        <f t="shared" si="47"/>
        <v>51</v>
      </c>
      <c r="B1594" t="str">
        <f>"51.2312"</f>
        <v>51.2312</v>
      </c>
      <c r="E1594" t="s">
        <v>1692</v>
      </c>
    </row>
    <row r="1595" spans="1:5" x14ac:dyDescent="0.25">
      <c r="A1595" t="str">
        <f t="shared" si="47"/>
        <v>51</v>
      </c>
      <c r="B1595" t="str">
        <f>"51.2313"</f>
        <v>51.2313</v>
      </c>
      <c r="E1595" t="s">
        <v>1693</v>
      </c>
    </row>
    <row r="1596" spans="1:5" x14ac:dyDescent="0.25">
      <c r="A1596" t="str">
        <f t="shared" si="47"/>
        <v>51</v>
      </c>
      <c r="B1596" t="str">
        <f>"51.2314"</f>
        <v>51.2314</v>
      </c>
      <c r="E1596" t="s">
        <v>1694</v>
      </c>
    </row>
    <row r="1597" spans="1:5" x14ac:dyDescent="0.25">
      <c r="A1597" t="str">
        <f t="shared" si="47"/>
        <v>51</v>
      </c>
      <c r="B1597" t="str">
        <f>"51.2399"</f>
        <v>51.2399</v>
      </c>
      <c r="E1597" t="s">
        <v>1695</v>
      </c>
    </row>
    <row r="1598" spans="1:5" x14ac:dyDescent="0.25">
      <c r="A1598" t="str">
        <f t="shared" si="47"/>
        <v>51</v>
      </c>
      <c r="B1598" t="str">
        <f>"51.24"</f>
        <v>51.24</v>
      </c>
      <c r="D1598" t="s">
        <v>1696</v>
      </c>
    </row>
    <row r="1599" spans="1:5" x14ac:dyDescent="0.25">
      <c r="A1599" t="str">
        <f t="shared" si="47"/>
        <v>51</v>
      </c>
      <c r="B1599" t="str">
        <f>"51.25"</f>
        <v>51.25</v>
      </c>
      <c r="D1599" t="s">
        <v>1697</v>
      </c>
    </row>
    <row r="1600" spans="1:5" x14ac:dyDescent="0.25">
      <c r="A1600" t="str">
        <f t="shared" si="47"/>
        <v>51</v>
      </c>
      <c r="B1600" t="str">
        <f>"51.2501"</f>
        <v>51.2501</v>
      </c>
      <c r="E1600" t="s">
        <v>1698</v>
      </c>
    </row>
    <row r="1601" spans="1:5" x14ac:dyDescent="0.25">
      <c r="A1601" t="str">
        <f t="shared" si="47"/>
        <v>51</v>
      </c>
      <c r="B1601" t="str">
        <f>"51.2502"</f>
        <v>51.2502</v>
      </c>
      <c r="E1601" t="s">
        <v>1699</v>
      </c>
    </row>
    <row r="1602" spans="1:5" x14ac:dyDescent="0.25">
      <c r="A1602" t="str">
        <f t="shared" si="47"/>
        <v>51</v>
      </c>
      <c r="B1602" t="str">
        <f>"51.2503"</f>
        <v>51.2503</v>
      </c>
      <c r="E1602" t="s">
        <v>1700</v>
      </c>
    </row>
    <row r="1603" spans="1:5" x14ac:dyDescent="0.25">
      <c r="A1603" t="str">
        <f t="shared" si="47"/>
        <v>51</v>
      </c>
      <c r="B1603" t="str">
        <f>"51.2504"</f>
        <v>51.2504</v>
      </c>
      <c r="E1603" t="s">
        <v>1701</v>
      </c>
    </row>
    <row r="1604" spans="1:5" x14ac:dyDescent="0.25">
      <c r="A1604" t="str">
        <f t="shared" si="47"/>
        <v>51</v>
      </c>
      <c r="B1604" t="str">
        <f>"51.2505"</f>
        <v>51.2505</v>
      </c>
      <c r="E1604" t="s">
        <v>1702</v>
      </c>
    </row>
    <row r="1605" spans="1:5" x14ac:dyDescent="0.25">
      <c r="A1605" t="str">
        <f t="shared" si="47"/>
        <v>51</v>
      </c>
      <c r="B1605" t="str">
        <f>"51.2506"</f>
        <v>51.2506</v>
      </c>
      <c r="E1605" t="s">
        <v>1703</v>
      </c>
    </row>
    <row r="1606" spans="1:5" x14ac:dyDescent="0.25">
      <c r="A1606" t="str">
        <f t="shared" si="47"/>
        <v>51</v>
      </c>
      <c r="B1606" t="str">
        <f>"51.2507"</f>
        <v>51.2507</v>
      </c>
      <c r="E1606" t="s">
        <v>1704</v>
      </c>
    </row>
    <row r="1607" spans="1:5" x14ac:dyDescent="0.25">
      <c r="A1607" t="str">
        <f t="shared" si="47"/>
        <v>51</v>
      </c>
      <c r="B1607" t="str">
        <f>"51.2508"</f>
        <v>51.2508</v>
      </c>
      <c r="E1607" t="s">
        <v>1705</v>
      </c>
    </row>
    <row r="1608" spans="1:5" x14ac:dyDescent="0.25">
      <c r="A1608" t="str">
        <f t="shared" si="47"/>
        <v>51</v>
      </c>
      <c r="B1608" t="str">
        <f>"51.2509"</f>
        <v>51.2509</v>
      </c>
      <c r="E1608" t="s">
        <v>1706</v>
      </c>
    </row>
    <row r="1609" spans="1:5" x14ac:dyDescent="0.25">
      <c r="A1609" t="str">
        <f t="shared" si="47"/>
        <v>51</v>
      </c>
      <c r="B1609" t="str">
        <f>"51.2510"</f>
        <v>51.2510</v>
      </c>
      <c r="E1609" t="s">
        <v>1707</v>
      </c>
    </row>
    <row r="1610" spans="1:5" x14ac:dyDescent="0.25">
      <c r="A1610" t="str">
        <f t="shared" si="47"/>
        <v>51</v>
      </c>
      <c r="B1610" t="str">
        <f>"51.2511"</f>
        <v>51.2511</v>
      </c>
      <c r="E1610" t="s">
        <v>1708</v>
      </c>
    </row>
    <row r="1611" spans="1:5" x14ac:dyDescent="0.25">
      <c r="A1611" t="str">
        <f t="shared" si="47"/>
        <v>51</v>
      </c>
      <c r="B1611" t="str">
        <f>"51.2599"</f>
        <v>51.2599</v>
      </c>
      <c r="E1611" t="s">
        <v>1709</v>
      </c>
    </row>
    <row r="1612" spans="1:5" x14ac:dyDescent="0.25">
      <c r="A1612" t="str">
        <f t="shared" si="47"/>
        <v>51</v>
      </c>
      <c r="B1612" t="str">
        <f>"51.26"</f>
        <v>51.26</v>
      </c>
      <c r="D1612" t="s">
        <v>1710</v>
      </c>
    </row>
    <row r="1613" spans="1:5" x14ac:dyDescent="0.25">
      <c r="A1613" t="str">
        <f t="shared" si="47"/>
        <v>51</v>
      </c>
      <c r="B1613" t="str">
        <f>"51.2601"</f>
        <v>51.2601</v>
      </c>
      <c r="E1613" t="s">
        <v>1711</v>
      </c>
    </row>
    <row r="1614" spans="1:5" x14ac:dyDescent="0.25">
      <c r="A1614" t="str">
        <f t="shared" si="47"/>
        <v>51</v>
      </c>
      <c r="B1614" t="str">
        <f>"51.2602"</f>
        <v>51.2602</v>
      </c>
      <c r="E1614" t="s">
        <v>1712</v>
      </c>
    </row>
    <row r="1615" spans="1:5" x14ac:dyDescent="0.25">
      <c r="A1615" t="str">
        <f t="shared" si="47"/>
        <v>51</v>
      </c>
      <c r="B1615" t="str">
        <f>"51.2603"</f>
        <v>51.2603</v>
      </c>
      <c r="E1615" t="s">
        <v>1713</v>
      </c>
    </row>
    <row r="1616" spans="1:5" x14ac:dyDescent="0.25">
      <c r="A1616" t="str">
        <f t="shared" ref="A1616:A1679" si="48">"51"</f>
        <v>51</v>
      </c>
      <c r="B1616" t="str">
        <f>"51.2604"</f>
        <v>51.2604</v>
      </c>
      <c r="E1616" t="s">
        <v>1714</v>
      </c>
    </row>
    <row r="1617" spans="1:5" x14ac:dyDescent="0.25">
      <c r="A1617" t="str">
        <f t="shared" si="48"/>
        <v>51</v>
      </c>
      <c r="B1617" t="str">
        <f>"51.2699"</f>
        <v>51.2699</v>
      </c>
      <c r="E1617" t="s">
        <v>1715</v>
      </c>
    </row>
    <row r="1618" spans="1:5" x14ac:dyDescent="0.25">
      <c r="A1618" t="str">
        <f t="shared" si="48"/>
        <v>51</v>
      </c>
      <c r="B1618" t="str">
        <f>"51.27"</f>
        <v>51.27</v>
      </c>
      <c r="D1618" t="s">
        <v>1716</v>
      </c>
    </row>
    <row r="1619" spans="1:5" x14ac:dyDescent="0.25">
      <c r="A1619" t="str">
        <f t="shared" si="48"/>
        <v>51</v>
      </c>
      <c r="B1619" t="str">
        <f>"51.2703"</f>
        <v>51.2703</v>
      </c>
      <c r="E1619" t="s">
        <v>1717</v>
      </c>
    </row>
    <row r="1620" spans="1:5" x14ac:dyDescent="0.25">
      <c r="A1620" t="str">
        <f t="shared" si="48"/>
        <v>51</v>
      </c>
      <c r="B1620" t="str">
        <f>"51.2706"</f>
        <v>51.2706</v>
      </c>
      <c r="E1620" t="s">
        <v>1718</v>
      </c>
    </row>
    <row r="1621" spans="1:5" x14ac:dyDescent="0.25">
      <c r="A1621" t="str">
        <f t="shared" si="48"/>
        <v>51</v>
      </c>
      <c r="B1621" t="str">
        <f>"51.2799"</f>
        <v>51.2799</v>
      </c>
      <c r="E1621" t="s">
        <v>1719</v>
      </c>
    </row>
    <row r="1622" spans="1:5" x14ac:dyDescent="0.25">
      <c r="A1622" t="str">
        <f t="shared" si="48"/>
        <v>51</v>
      </c>
      <c r="B1622" t="str">
        <f>"51.31"</f>
        <v>51.31</v>
      </c>
      <c r="D1622" t="s">
        <v>1720</v>
      </c>
    </row>
    <row r="1623" spans="1:5" x14ac:dyDescent="0.25">
      <c r="A1623" t="str">
        <f t="shared" si="48"/>
        <v>51</v>
      </c>
      <c r="B1623" t="str">
        <f>"51.3101"</f>
        <v>51.3101</v>
      </c>
      <c r="E1623" t="s">
        <v>1721</v>
      </c>
    </row>
    <row r="1624" spans="1:5" x14ac:dyDescent="0.25">
      <c r="A1624" t="str">
        <f t="shared" si="48"/>
        <v>51</v>
      </c>
      <c r="B1624" t="str">
        <f>"51.3102"</f>
        <v>51.3102</v>
      </c>
      <c r="E1624" t="s">
        <v>1722</v>
      </c>
    </row>
    <row r="1625" spans="1:5" x14ac:dyDescent="0.25">
      <c r="A1625" t="str">
        <f t="shared" si="48"/>
        <v>51</v>
      </c>
      <c r="B1625" t="str">
        <f>"51.3103"</f>
        <v>51.3103</v>
      </c>
      <c r="E1625" t="s">
        <v>1723</v>
      </c>
    </row>
    <row r="1626" spans="1:5" x14ac:dyDescent="0.25">
      <c r="A1626" t="str">
        <f t="shared" si="48"/>
        <v>51</v>
      </c>
      <c r="B1626" t="str">
        <f>"51.3104"</f>
        <v>51.3104</v>
      </c>
      <c r="E1626" t="s">
        <v>1724</v>
      </c>
    </row>
    <row r="1627" spans="1:5" x14ac:dyDescent="0.25">
      <c r="A1627" t="str">
        <f t="shared" si="48"/>
        <v>51</v>
      </c>
      <c r="B1627" t="str">
        <f>"51.3199"</f>
        <v>51.3199</v>
      </c>
      <c r="E1627" t="s">
        <v>1725</v>
      </c>
    </row>
    <row r="1628" spans="1:5" x14ac:dyDescent="0.25">
      <c r="A1628" t="str">
        <f t="shared" si="48"/>
        <v>51</v>
      </c>
      <c r="B1628" t="str">
        <f>"51.32"</f>
        <v>51.32</v>
      </c>
      <c r="D1628" t="s">
        <v>1726</v>
      </c>
    </row>
    <row r="1629" spans="1:5" x14ac:dyDescent="0.25">
      <c r="A1629" t="str">
        <f t="shared" si="48"/>
        <v>51</v>
      </c>
      <c r="B1629" t="str">
        <f>"51.33"</f>
        <v>51.33</v>
      </c>
      <c r="D1629" t="s">
        <v>1727</v>
      </c>
    </row>
    <row r="1630" spans="1:5" x14ac:dyDescent="0.25">
      <c r="A1630" t="str">
        <f t="shared" si="48"/>
        <v>51</v>
      </c>
      <c r="B1630" t="str">
        <f>"51.3300"</f>
        <v>51.3300</v>
      </c>
      <c r="E1630" t="s">
        <v>1728</v>
      </c>
    </row>
    <row r="1631" spans="1:5" x14ac:dyDescent="0.25">
      <c r="A1631" t="str">
        <f t="shared" si="48"/>
        <v>51</v>
      </c>
      <c r="B1631" t="str">
        <f>"51.3301"</f>
        <v>51.3301</v>
      </c>
      <c r="E1631" t="s">
        <v>1729</v>
      </c>
    </row>
    <row r="1632" spans="1:5" x14ac:dyDescent="0.25">
      <c r="A1632" t="str">
        <f t="shared" si="48"/>
        <v>51</v>
      </c>
      <c r="B1632" t="str">
        <f>"51.3302"</f>
        <v>51.3302</v>
      </c>
      <c r="E1632" t="s">
        <v>1730</v>
      </c>
    </row>
    <row r="1633" spans="1:5" x14ac:dyDescent="0.25">
      <c r="A1633" t="str">
        <f t="shared" si="48"/>
        <v>51</v>
      </c>
      <c r="B1633" t="str">
        <f>"51.3303"</f>
        <v>51.3303</v>
      </c>
      <c r="E1633" t="s">
        <v>1731</v>
      </c>
    </row>
    <row r="1634" spans="1:5" x14ac:dyDescent="0.25">
      <c r="A1634" t="str">
        <f t="shared" si="48"/>
        <v>51</v>
      </c>
      <c r="B1634" t="str">
        <f>"51.3304"</f>
        <v>51.3304</v>
      </c>
      <c r="E1634" t="s">
        <v>1732</v>
      </c>
    </row>
    <row r="1635" spans="1:5" x14ac:dyDescent="0.25">
      <c r="A1635" t="str">
        <f t="shared" si="48"/>
        <v>51</v>
      </c>
      <c r="B1635" t="str">
        <f>"51.3305"</f>
        <v>51.3305</v>
      </c>
      <c r="E1635" t="s">
        <v>1733</v>
      </c>
    </row>
    <row r="1636" spans="1:5" x14ac:dyDescent="0.25">
      <c r="A1636" t="str">
        <f t="shared" si="48"/>
        <v>51</v>
      </c>
      <c r="B1636" t="str">
        <f>"51.3306"</f>
        <v>51.3306</v>
      </c>
      <c r="E1636" t="s">
        <v>1734</v>
      </c>
    </row>
    <row r="1637" spans="1:5" x14ac:dyDescent="0.25">
      <c r="A1637" t="str">
        <f t="shared" si="48"/>
        <v>51</v>
      </c>
      <c r="B1637" t="str">
        <f>"51.3399"</f>
        <v>51.3399</v>
      </c>
      <c r="E1637" t="s">
        <v>1735</v>
      </c>
    </row>
    <row r="1638" spans="1:5" x14ac:dyDescent="0.25">
      <c r="A1638" t="str">
        <f t="shared" si="48"/>
        <v>51</v>
      </c>
      <c r="B1638" t="str">
        <f>"51.34"</f>
        <v>51.34</v>
      </c>
      <c r="D1638" t="s">
        <v>1736</v>
      </c>
    </row>
    <row r="1639" spans="1:5" x14ac:dyDescent="0.25">
      <c r="A1639" t="str">
        <f t="shared" si="48"/>
        <v>51</v>
      </c>
      <c r="B1639" t="str">
        <f>"51.3401"</f>
        <v>51.3401</v>
      </c>
      <c r="E1639" t="s">
        <v>1737</v>
      </c>
    </row>
    <row r="1640" spans="1:5" x14ac:dyDescent="0.25">
      <c r="A1640" t="str">
        <f t="shared" si="48"/>
        <v>51</v>
      </c>
      <c r="B1640" t="str">
        <f>"51.3499"</f>
        <v>51.3499</v>
      </c>
      <c r="E1640" t="s">
        <v>1738</v>
      </c>
    </row>
    <row r="1641" spans="1:5" x14ac:dyDescent="0.25">
      <c r="A1641" t="str">
        <f t="shared" si="48"/>
        <v>51</v>
      </c>
      <c r="B1641" t="str">
        <f>"51.35"</f>
        <v>51.35</v>
      </c>
      <c r="D1641" t="s">
        <v>1739</v>
      </c>
    </row>
    <row r="1642" spans="1:5" x14ac:dyDescent="0.25">
      <c r="A1642" t="str">
        <f t="shared" si="48"/>
        <v>51</v>
      </c>
      <c r="B1642" t="str">
        <f>"51.3501"</f>
        <v>51.3501</v>
      </c>
      <c r="E1642" t="s">
        <v>1740</v>
      </c>
    </row>
    <row r="1643" spans="1:5" x14ac:dyDescent="0.25">
      <c r="A1643" t="str">
        <f t="shared" si="48"/>
        <v>51</v>
      </c>
      <c r="B1643" t="str">
        <f>"51.3502"</f>
        <v>51.3502</v>
      </c>
      <c r="E1643" t="s">
        <v>1741</v>
      </c>
    </row>
    <row r="1644" spans="1:5" x14ac:dyDescent="0.25">
      <c r="A1644" t="str">
        <f t="shared" si="48"/>
        <v>51</v>
      </c>
      <c r="B1644" t="str">
        <f>"51.3503"</f>
        <v>51.3503</v>
      </c>
      <c r="E1644" t="s">
        <v>1742</v>
      </c>
    </row>
    <row r="1645" spans="1:5" x14ac:dyDescent="0.25">
      <c r="A1645" t="str">
        <f t="shared" si="48"/>
        <v>51</v>
      </c>
      <c r="B1645" t="str">
        <f>"51.3599"</f>
        <v>51.3599</v>
      </c>
      <c r="E1645" t="s">
        <v>1743</v>
      </c>
    </row>
    <row r="1646" spans="1:5" x14ac:dyDescent="0.25">
      <c r="A1646" t="str">
        <f t="shared" si="48"/>
        <v>51</v>
      </c>
      <c r="B1646" t="str">
        <f>"51.36"</f>
        <v>51.36</v>
      </c>
      <c r="D1646" t="s">
        <v>1744</v>
      </c>
    </row>
    <row r="1647" spans="1:5" x14ac:dyDescent="0.25">
      <c r="A1647" t="str">
        <f t="shared" si="48"/>
        <v>51</v>
      </c>
      <c r="B1647" t="str">
        <f>"51.3601"</f>
        <v>51.3601</v>
      </c>
      <c r="E1647" t="s">
        <v>1745</v>
      </c>
    </row>
    <row r="1648" spans="1:5" x14ac:dyDescent="0.25">
      <c r="A1648" t="str">
        <f t="shared" si="48"/>
        <v>51</v>
      </c>
      <c r="B1648" t="str">
        <f>"51.3602"</f>
        <v>51.3602</v>
      </c>
      <c r="E1648" t="s">
        <v>1746</v>
      </c>
    </row>
    <row r="1649" spans="1:5" x14ac:dyDescent="0.25">
      <c r="A1649" t="str">
        <f t="shared" si="48"/>
        <v>51</v>
      </c>
      <c r="B1649" t="str">
        <f>"51.3603"</f>
        <v>51.3603</v>
      </c>
      <c r="E1649" t="s">
        <v>1747</v>
      </c>
    </row>
    <row r="1650" spans="1:5" x14ac:dyDescent="0.25">
      <c r="A1650" t="str">
        <f t="shared" si="48"/>
        <v>51</v>
      </c>
      <c r="B1650" t="str">
        <f>"51.3699"</f>
        <v>51.3699</v>
      </c>
      <c r="E1650" t="s">
        <v>1748</v>
      </c>
    </row>
    <row r="1651" spans="1:5" x14ac:dyDescent="0.25">
      <c r="A1651" t="str">
        <f t="shared" si="48"/>
        <v>51</v>
      </c>
      <c r="B1651" t="str">
        <f>"51.37"</f>
        <v>51.37</v>
      </c>
      <c r="D1651" t="s">
        <v>1749</v>
      </c>
    </row>
    <row r="1652" spans="1:5" x14ac:dyDescent="0.25">
      <c r="A1652" t="str">
        <f t="shared" si="48"/>
        <v>51</v>
      </c>
      <c r="B1652" t="str">
        <f>"51.3701"</f>
        <v>51.3701</v>
      </c>
      <c r="E1652" t="s">
        <v>1750</v>
      </c>
    </row>
    <row r="1653" spans="1:5" x14ac:dyDescent="0.25">
      <c r="A1653" t="str">
        <f t="shared" si="48"/>
        <v>51</v>
      </c>
      <c r="B1653" t="str">
        <f>"51.3702"</f>
        <v>51.3702</v>
      </c>
      <c r="E1653" t="s">
        <v>1751</v>
      </c>
    </row>
    <row r="1654" spans="1:5" x14ac:dyDescent="0.25">
      <c r="A1654" t="str">
        <f t="shared" si="48"/>
        <v>51</v>
      </c>
      <c r="B1654" t="str">
        <f>"51.3703"</f>
        <v>51.3703</v>
      </c>
      <c r="E1654" t="s">
        <v>1752</v>
      </c>
    </row>
    <row r="1655" spans="1:5" x14ac:dyDescent="0.25">
      <c r="A1655" t="str">
        <f t="shared" si="48"/>
        <v>51</v>
      </c>
      <c r="B1655" t="str">
        <f>"51.3704"</f>
        <v>51.3704</v>
      </c>
      <c r="E1655" t="s">
        <v>1753</v>
      </c>
    </row>
    <row r="1656" spans="1:5" x14ac:dyDescent="0.25">
      <c r="A1656" t="str">
        <f t="shared" si="48"/>
        <v>51</v>
      </c>
      <c r="B1656" t="str">
        <f>"51.3799"</f>
        <v>51.3799</v>
      </c>
      <c r="E1656" t="s">
        <v>1754</v>
      </c>
    </row>
    <row r="1657" spans="1:5" x14ac:dyDescent="0.25">
      <c r="A1657" t="str">
        <f t="shared" si="48"/>
        <v>51</v>
      </c>
      <c r="B1657" t="str">
        <f>"51.38"</f>
        <v>51.38</v>
      </c>
      <c r="D1657" t="s">
        <v>1755</v>
      </c>
    </row>
    <row r="1658" spans="1:5" x14ac:dyDescent="0.25">
      <c r="A1658" t="str">
        <f t="shared" si="48"/>
        <v>51</v>
      </c>
      <c r="B1658" t="str">
        <f>"51.3801"</f>
        <v>51.3801</v>
      </c>
      <c r="E1658" t="s">
        <v>1756</v>
      </c>
    </row>
    <row r="1659" spans="1:5" x14ac:dyDescent="0.25">
      <c r="A1659" t="str">
        <f t="shared" si="48"/>
        <v>51</v>
      </c>
      <c r="B1659" t="str">
        <f>"51.3802"</f>
        <v>51.3802</v>
      </c>
      <c r="E1659" t="s">
        <v>1757</v>
      </c>
    </row>
    <row r="1660" spans="1:5" x14ac:dyDescent="0.25">
      <c r="A1660" t="str">
        <f t="shared" si="48"/>
        <v>51</v>
      </c>
      <c r="B1660" t="str">
        <f>"51.3803"</f>
        <v>51.3803</v>
      </c>
      <c r="E1660" t="s">
        <v>1637</v>
      </c>
    </row>
    <row r="1661" spans="1:5" x14ac:dyDescent="0.25">
      <c r="A1661" t="str">
        <f t="shared" si="48"/>
        <v>51</v>
      </c>
      <c r="B1661" t="str">
        <f>"51.3804"</f>
        <v>51.3804</v>
      </c>
      <c r="E1661" t="s">
        <v>1638</v>
      </c>
    </row>
    <row r="1662" spans="1:5" x14ac:dyDescent="0.25">
      <c r="A1662" t="str">
        <f t="shared" si="48"/>
        <v>51</v>
      </c>
      <c r="B1662" t="str">
        <f>"51.3805"</f>
        <v>51.3805</v>
      </c>
      <c r="E1662" t="s">
        <v>1758</v>
      </c>
    </row>
    <row r="1663" spans="1:5" x14ac:dyDescent="0.25">
      <c r="A1663" t="str">
        <f t="shared" si="48"/>
        <v>51</v>
      </c>
      <c r="B1663" t="str">
        <f>"51.3806"</f>
        <v>51.3806</v>
      </c>
      <c r="E1663" t="s">
        <v>1639</v>
      </c>
    </row>
    <row r="1664" spans="1:5" x14ac:dyDescent="0.25">
      <c r="A1664" t="str">
        <f t="shared" si="48"/>
        <v>51</v>
      </c>
      <c r="B1664" t="str">
        <f>"51.3807"</f>
        <v>51.3807</v>
      </c>
      <c r="E1664" t="s">
        <v>1640</v>
      </c>
    </row>
    <row r="1665" spans="1:5" x14ac:dyDescent="0.25">
      <c r="A1665" t="str">
        <f t="shared" si="48"/>
        <v>51</v>
      </c>
      <c r="B1665" t="str">
        <f>"51.3808"</f>
        <v>51.3808</v>
      </c>
      <c r="E1665" t="s">
        <v>1759</v>
      </c>
    </row>
    <row r="1666" spans="1:5" x14ac:dyDescent="0.25">
      <c r="A1666" t="str">
        <f t="shared" si="48"/>
        <v>51</v>
      </c>
      <c r="B1666" t="str">
        <f>"51.3809"</f>
        <v>51.3809</v>
      </c>
      <c r="E1666" t="s">
        <v>1641</v>
      </c>
    </row>
    <row r="1667" spans="1:5" x14ac:dyDescent="0.25">
      <c r="A1667" t="str">
        <f t="shared" si="48"/>
        <v>51</v>
      </c>
      <c r="B1667" t="str">
        <f>"51.3810"</f>
        <v>51.3810</v>
      </c>
      <c r="E1667" t="s">
        <v>1642</v>
      </c>
    </row>
    <row r="1668" spans="1:5" x14ac:dyDescent="0.25">
      <c r="A1668" t="str">
        <f t="shared" si="48"/>
        <v>51</v>
      </c>
      <c r="B1668" t="str">
        <f>"51.3811"</f>
        <v>51.3811</v>
      </c>
      <c r="E1668" t="s">
        <v>1643</v>
      </c>
    </row>
    <row r="1669" spans="1:5" x14ac:dyDescent="0.25">
      <c r="A1669" t="str">
        <f t="shared" si="48"/>
        <v>51</v>
      </c>
      <c r="B1669" t="str">
        <f>"51.3812"</f>
        <v>51.3812</v>
      </c>
      <c r="E1669" t="s">
        <v>1644</v>
      </c>
    </row>
    <row r="1670" spans="1:5" x14ac:dyDescent="0.25">
      <c r="A1670" t="str">
        <f t="shared" si="48"/>
        <v>51</v>
      </c>
      <c r="B1670" t="str">
        <f>"51.3813"</f>
        <v>51.3813</v>
      </c>
      <c r="E1670" t="s">
        <v>1645</v>
      </c>
    </row>
    <row r="1671" spans="1:5" x14ac:dyDescent="0.25">
      <c r="A1671" t="str">
        <f t="shared" si="48"/>
        <v>51</v>
      </c>
      <c r="B1671" t="str">
        <f>"51.3814"</f>
        <v>51.3814</v>
      </c>
      <c r="E1671" t="s">
        <v>1646</v>
      </c>
    </row>
    <row r="1672" spans="1:5" x14ac:dyDescent="0.25">
      <c r="A1672" t="str">
        <f t="shared" si="48"/>
        <v>51</v>
      </c>
      <c r="B1672" t="str">
        <f>"51.3815"</f>
        <v>51.3815</v>
      </c>
      <c r="E1672" t="s">
        <v>1647</v>
      </c>
    </row>
    <row r="1673" spans="1:5" x14ac:dyDescent="0.25">
      <c r="A1673" t="str">
        <f t="shared" si="48"/>
        <v>51</v>
      </c>
      <c r="B1673" t="str">
        <f>"51.3816"</f>
        <v>51.3816</v>
      </c>
      <c r="E1673" t="s">
        <v>1760</v>
      </c>
    </row>
    <row r="1674" spans="1:5" x14ac:dyDescent="0.25">
      <c r="A1674" t="str">
        <f t="shared" si="48"/>
        <v>51</v>
      </c>
      <c r="B1674" t="str">
        <f>"51.3817"</f>
        <v>51.3817</v>
      </c>
      <c r="E1674" t="s">
        <v>1761</v>
      </c>
    </row>
    <row r="1675" spans="1:5" x14ac:dyDescent="0.25">
      <c r="A1675" t="str">
        <f t="shared" si="48"/>
        <v>51</v>
      </c>
      <c r="B1675" t="str">
        <f>"51.3818"</f>
        <v>51.3818</v>
      </c>
      <c r="E1675" t="s">
        <v>1762</v>
      </c>
    </row>
    <row r="1676" spans="1:5" x14ac:dyDescent="0.25">
      <c r="A1676" t="str">
        <f t="shared" si="48"/>
        <v>51</v>
      </c>
      <c r="B1676" t="str">
        <f>"51.3819"</f>
        <v>51.3819</v>
      </c>
      <c r="E1676" t="s">
        <v>1763</v>
      </c>
    </row>
    <row r="1677" spans="1:5" x14ac:dyDescent="0.25">
      <c r="A1677" t="str">
        <f t="shared" si="48"/>
        <v>51</v>
      </c>
      <c r="B1677" t="str">
        <f>"51.3820"</f>
        <v>51.3820</v>
      </c>
      <c r="E1677" t="s">
        <v>1764</v>
      </c>
    </row>
    <row r="1678" spans="1:5" x14ac:dyDescent="0.25">
      <c r="A1678" t="str">
        <f t="shared" si="48"/>
        <v>51</v>
      </c>
      <c r="B1678" t="str">
        <f>"51.3821"</f>
        <v>51.3821</v>
      </c>
      <c r="E1678" t="s">
        <v>1765</v>
      </c>
    </row>
    <row r="1679" spans="1:5" x14ac:dyDescent="0.25">
      <c r="A1679" t="str">
        <f t="shared" si="48"/>
        <v>51</v>
      </c>
      <c r="B1679" t="str">
        <f>"51.3822"</f>
        <v>51.3822</v>
      </c>
      <c r="E1679" t="s">
        <v>1766</v>
      </c>
    </row>
    <row r="1680" spans="1:5" x14ac:dyDescent="0.25">
      <c r="A1680" t="str">
        <f t="shared" ref="A1680:A1685" si="49">"51"</f>
        <v>51</v>
      </c>
      <c r="B1680" t="str">
        <f>"51.3899"</f>
        <v>51.3899</v>
      </c>
      <c r="E1680" t="s">
        <v>1767</v>
      </c>
    </row>
    <row r="1681" spans="1:5" x14ac:dyDescent="0.25">
      <c r="A1681" t="str">
        <f t="shared" si="49"/>
        <v>51</v>
      </c>
      <c r="B1681" t="str">
        <f>"51.39"</f>
        <v>51.39</v>
      </c>
      <c r="D1681" t="s">
        <v>1768</v>
      </c>
    </row>
    <row r="1682" spans="1:5" x14ac:dyDescent="0.25">
      <c r="A1682" t="str">
        <f t="shared" si="49"/>
        <v>51</v>
      </c>
      <c r="B1682" t="str">
        <f>"51.3901"</f>
        <v>51.3901</v>
      </c>
      <c r="E1682" t="s">
        <v>1769</v>
      </c>
    </row>
    <row r="1683" spans="1:5" x14ac:dyDescent="0.25">
      <c r="A1683" t="str">
        <f t="shared" si="49"/>
        <v>51</v>
      </c>
      <c r="B1683" t="str">
        <f>"51.3902"</f>
        <v>51.3902</v>
      </c>
      <c r="E1683" t="s">
        <v>1770</v>
      </c>
    </row>
    <row r="1684" spans="1:5" x14ac:dyDescent="0.25">
      <c r="A1684" t="str">
        <f t="shared" si="49"/>
        <v>51</v>
      </c>
      <c r="B1684" t="str">
        <f>"51.3999"</f>
        <v>51.3999</v>
      </c>
      <c r="E1684" t="s">
        <v>1771</v>
      </c>
    </row>
    <row r="1685" spans="1:5" x14ac:dyDescent="0.25">
      <c r="A1685" t="str">
        <f t="shared" si="49"/>
        <v>51</v>
      </c>
      <c r="B1685" t="str">
        <f>"51.99"</f>
        <v>51.99</v>
      </c>
      <c r="D1685" t="s">
        <v>1772</v>
      </c>
    </row>
    <row r="1686" spans="1:5" x14ac:dyDescent="0.25">
      <c r="A1686" t="str">
        <f>"52"</f>
        <v>52</v>
      </c>
      <c r="B1686" t="str">
        <f>"52"</f>
        <v>52</v>
      </c>
      <c r="C1686" t="s">
        <v>1773</v>
      </c>
    </row>
    <row r="1687" spans="1:5" x14ac:dyDescent="0.25">
      <c r="A1687" t="str">
        <f t="shared" ref="A1687:A1750" si="50">"52"</f>
        <v>52</v>
      </c>
      <c r="B1687" t="str">
        <f>"52.01"</f>
        <v>52.01</v>
      </c>
      <c r="D1687" t="s">
        <v>1774</v>
      </c>
    </row>
    <row r="1688" spans="1:5" x14ac:dyDescent="0.25">
      <c r="A1688" t="str">
        <f t="shared" si="50"/>
        <v>52</v>
      </c>
      <c r="B1688" t="str">
        <f>"52.02"</f>
        <v>52.02</v>
      </c>
      <c r="D1688" t="s">
        <v>1775</v>
      </c>
    </row>
    <row r="1689" spans="1:5" x14ac:dyDescent="0.25">
      <c r="A1689" t="str">
        <f t="shared" si="50"/>
        <v>52</v>
      </c>
      <c r="B1689" t="str">
        <f>"52.0201"</f>
        <v>52.0201</v>
      </c>
      <c r="E1689" t="s">
        <v>1776</v>
      </c>
    </row>
    <row r="1690" spans="1:5" x14ac:dyDescent="0.25">
      <c r="A1690" t="str">
        <f t="shared" si="50"/>
        <v>52</v>
      </c>
      <c r="B1690" t="str">
        <f>"52.0202"</f>
        <v>52.0202</v>
      </c>
      <c r="E1690" t="s">
        <v>1777</v>
      </c>
    </row>
    <row r="1691" spans="1:5" x14ac:dyDescent="0.25">
      <c r="A1691" t="str">
        <f t="shared" si="50"/>
        <v>52</v>
      </c>
      <c r="B1691" t="str">
        <f>"52.0203"</f>
        <v>52.0203</v>
      </c>
      <c r="E1691" t="s">
        <v>1778</v>
      </c>
    </row>
    <row r="1692" spans="1:5" x14ac:dyDescent="0.25">
      <c r="A1692" t="str">
        <f t="shared" si="50"/>
        <v>52</v>
      </c>
      <c r="B1692" t="str">
        <f>"52.0204"</f>
        <v>52.0204</v>
      </c>
      <c r="E1692" t="s">
        <v>1779</v>
      </c>
    </row>
    <row r="1693" spans="1:5" x14ac:dyDescent="0.25">
      <c r="A1693" t="str">
        <f t="shared" si="50"/>
        <v>52</v>
      </c>
      <c r="B1693" t="str">
        <f>"52.0205"</f>
        <v>52.0205</v>
      </c>
      <c r="E1693" t="s">
        <v>1780</v>
      </c>
    </row>
    <row r="1694" spans="1:5" x14ac:dyDescent="0.25">
      <c r="A1694" t="str">
        <f t="shared" si="50"/>
        <v>52</v>
      </c>
      <c r="B1694" t="str">
        <f>"52.0206"</f>
        <v>52.0206</v>
      </c>
      <c r="E1694" t="s">
        <v>1781</v>
      </c>
    </row>
    <row r="1695" spans="1:5" x14ac:dyDescent="0.25">
      <c r="A1695" t="str">
        <f t="shared" si="50"/>
        <v>52</v>
      </c>
      <c r="B1695" t="str">
        <f>"52.0207"</f>
        <v>52.0207</v>
      </c>
      <c r="E1695" t="s">
        <v>1782</v>
      </c>
    </row>
    <row r="1696" spans="1:5" x14ac:dyDescent="0.25">
      <c r="A1696" t="str">
        <f t="shared" si="50"/>
        <v>52</v>
      </c>
      <c r="B1696" t="str">
        <f>"52.0208"</f>
        <v>52.0208</v>
      </c>
      <c r="E1696" t="s">
        <v>1783</v>
      </c>
    </row>
    <row r="1697" spans="1:5" x14ac:dyDescent="0.25">
      <c r="A1697" t="str">
        <f t="shared" si="50"/>
        <v>52</v>
      </c>
      <c r="B1697" t="str">
        <f>"52.0209"</f>
        <v>52.0209</v>
      </c>
      <c r="E1697" t="s">
        <v>1784</v>
      </c>
    </row>
    <row r="1698" spans="1:5" x14ac:dyDescent="0.25">
      <c r="A1698" t="str">
        <f t="shared" si="50"/>
        <v>52</v>
      </c>
      <c r="B1698" t="str">
        <f>"52.0210"</f>
        <v>52.0210</v>
      </c>
      <c r="E1698" t="s">
        <v>1785</v>
      </c>
    </row>
    <row r="1699" spans="1:5" x14ac:dyDescent="0.25">
      <c r="A1699" t="str">
        <f t="shared" si="50"/>
        <v>52</v>
      </c>
      <c r="B1699" t="str">
        <f>"52.0211"</f>
        <v>52.0211</v>
      </c>
      <c r="E1699" t="s">
        <v>1786</v>
      </c>
    </row>
    <row r="1700" spans="1:5" x14ac:dyDescent="0.25">
      <c r="A1700" t="str">
        <f t="shared" si="50"/>
        <v>52</v>
      </c>
      <c r="B1700" t="str">
        <f>"52.0212"</f>
        <v>52.0212</v>
      </c>
      <c r="E1700" t="s">
        <v>1787</v>
      </c>
    </row>
    <row r="1701" spans="1:5" x14ac:dyDescent="0.25">
      <c r="A1701" t="str">
        <f t="shared" si="50"/>
        <v>52</v>
      </c>
      <c r="B1701" t="str">
        <f>"52.0213"</f>
        <v>52.0213</v>
      </c>
      <c r="E1701" t="s">
        <v>1788</v>
      </c>
    </row>
    <row r="1702" spans="1:5" x14ac:dyDescent="0.25">
      <c r="A1702" t="str">
        <f t="shared" si="50"/>
        <v>52</v>
      </c>
      <c r="B1702" t="str">
        <f>"52.0299"</f>
        <v>52.0299</v>
      </c>
      <c r="E1702" t="s">
        <v>1789</v>
      </c>
    </row>
    <row r="1703" spans="1:5" x14ac:dyDescent="0.25">
      <c r="A1703" t="str">
        <f t="shared" si="50"/>
        <v>52</v>
      </c>
      <c r="B1703" t="str">
        <f>"52.03"</f>
        <v>52.03</v>
      </c>
      <c r="D1703" t="s">
        <v>1790</v>
      </c>
    </row>
    <row r="1704" spans="1:5" x14ac:dyDescent="0.25">
      <c r="A1704" t="str">
        <f t="shared" si="50"/>
        <v>52</v>
      </c>
      <c r="B1704" t="str">
        <f>"52.0301"</f>
        <v>52.0301</v>
      </c>
      <c r="E1704" t="s">
        <v>1791</v>
      </c>
    </row>
    <row r="1705" spans="1:5" x14ac:dyDescent="0.25">
      <c r="A1705" t="str">
        <f t="shared" si="50"/>
        <v>52</v>
      </c>
      <c r="B1705" t="str">
        <f>"52.0302"</f>
        <v>52.0302</v>
      </c>
      <c r="E1705" t="s">
        <v>1792</v>
      </c>
    </row>
    <row r="1706" spans="1:5" x14ac:dyDescent="0.25">
      <c r="A1706" t="str">
        <f t="shared" si="50"/>
        <v>52</v>
      </c>
      <c r="B1706" t="str">
        <f>"52.0303"</f>
        <v>52.0303</v>
      </c>
      <c r="E1706" t="s">
        <v>1793</v>
      </c>
    </row>
    <row r="1707" spans="1:5" x14ac:dyDescent="0.25">
      <c r="A1707" t="str">
        <f t="shared" si="50"/>
        <v>52</v>
      </c>
      <c r="B1707" t="str">
        <f>"52.0304"</f>
        <v>52.0304</v>
      </c>
      <c r="E1707" t="s">
        <v>1794</v>
      </c>
    </row>
    <row r="1708" spans="1:5" x14ac:dyDescent="0.25">
      <c r="A1708" t="str">
        <f t="shared" si="50"/>
        <v>52</v>
      </c>
      <c r="B1708" t="str">
        <f>"52.0305"</f>
        <v>52.0305</v>
      </c>
      <c r="E1708" t="s">
        <v>1795</v>
      </c>
    </row>
    <row r="1709" spans="1:5" x14ac:dyDescent="0.25">
      <c r="A1709" t="str">
        <f t="shared" si="50"/>
        <v>52</v>
      </c>
      <c r="B1709" t="str">
        <f>"52.0399"</f>
        <v>52.0399</v>
      </c>
      <c r="E1709" t="s">
        <v>1796</v>
      </c>
    </row>
    <row r="1710" spans="1:5" x14ac:dyDescent="0.25">
      <c r="A1710" t="str">
        <f t="shared" si="50"/>
        <v>52</v>
      </c>
      <c r="B1710" t="str">
        <f>"52.04"</f>
        <v>52.04</v>
      </c>
      <c r="D1710" t="s">
        <v>1797</v>
      </c>
    </row>
    <row r="1711" spans="1:5" x14ac:dyDescent="0.25">
      <c r="A1711" t="str">
        <f t="shared" si="50"/>
        <v>52</v>
      </c>
      <c r="B1711" t="str">
        <f>"52.0401"</f>
        <v>52.0401</v>
      </c>
      <c r="E1711" t="s">
        <v>1798</v>
      </c>
    </row>
    <row r="1712" spans="1:5" x14ac:dyDescent="0.25">
      <c r="A1712" t="str">
        <f t="shared" si="50"/>
        <v>52</v>
      </c>
      <c r="B1712" t="str">
        <f>"52.0402"</f>
        <v>52.0402</v>
      </c>
      <c r="E1712" t="s">
        <v>1799</v>
      </c>
    </row>
    <row r="1713" spans="1:5" x14ac:dyDescent="0.25">
      <c r="A1713" t="str">
        <f t="shared" si="50"/>
        <v>52</v>
      </c>
      <c r="B1713" t="str">
        <f>"52.0406"</f>
        <v>52.0406</v>
      </c>
      <c r="E1713" t="s">
        <v>1800</v>
      </c>
    </row>
    <row r="1714" spans="1:5" x14ac:dyDescent="0.25">
      <c r="A1714" t="str">
        <f t="shared" si="50"/>
        <v>52</v>
      </c>
      <c r="B1714" t="str">
        <f>"52.0407"</f>
        <v>52.0407</v>
      </c>
      <c r="E1714" t="s">
        <v>1801</v>
      </c>
    </row>
    <row r="1715" spans="1:5" x14ac:dyDescent="0.25">
      <c r="A1715" t="str">
        <f t="shared" si="50"/>
        <v>52</v>
      </c>
      <c r="B1715" t="str">
        <f>"52.0408"</f>
        <v>52.0408</v>
      </c>
      <c r="E1715" t="s">
        <v>1802</v>
      </c>
    </row>
    <row r="1716" spans="1:5" x14ac:dyDescent="0.25">
      <c r="A1716" t="str">
        <f t="shared" si="50"/>
        <v>52</v>
      </c>
      <c r="B1716" t="str">
        <f>"52.0409"</f>
        <v>52.0409</v>
      </c>
      <c r="E1716" t="s">
        <v>1803</v>
      </c>
    </row>
    <row r="1717" spans="1:5" x14ac:dyDescent="0.25">
      <c r="A1717" t="str">
        <f t="shared" si="50"/>
        <v>52</v>
      </c>
      <c r="B1717" t="str">
        <f>"52.0410"</f>
        <v>52.0410</v>
      </c>
      <c r="E1717" t="s">
        <v>1804</v>
      </c>
    </row>
    <row r="1718" spans="1:5" x14ac:dyDescent="0.25">
      <c r="A1718" t="str">
        <f t="shared" si="50"/>
        <v>52</v>
      </c>
      <c r="B1718" t="str">
        <f>"52.0411"</f>
        <v>52.0411</v>
      </c>
      <c r="E1718" t="s">
        <v>1805</v>
      </c>
    </row>
    <row r="1719" spans="1:5" x14ac:dyDescent="0.25">
      <c r="A1719" t="str">
        <f t="shared" si="50"/>
        <v>52</v>
      </c>
      <c r="B1719" t="str">
        <f>"52.0499"</f>
        <v>52.0499</v>
      </c>
      <c r="E1719" t="s">
        <v>1806</v>
      </c>
    </row>
    <row r="1720" spans="1:5" x14ac:dyDescent="0.25">
      <c r="A1720" t="str">
        <f t="shared" si="50"/>
        <v>52</v>
      </c>
      <c r="B1720" t="str">
        <f>"52.05"</f>
        <v>52.05</v>
      </c>
      <c r="D1720" t="s">
        <v>1807</v>
      </c>
    </row>
    <row r="1721" spans="1:5" x14ac:dyDescent="0.25">
      <c r="A1721" t="str">
        <f t="shared" si="50"/>
        <v>52</v>
      </c>
      <c r="B1721" t="str">
        <f>"52.06"</f>
        <v>52.06</v>
      </c>
      <c r="D1721" t="s">
        <v>1808</v>
      </c>
    </row>
    <row r="1722" spans="1:5" x14ac:dyDescent="0.25">
      <c r="A1722" t="str">
        <f t="shared" si="50"/>
        <v>52</v>
      </c>
      <c r="B1722" t="str">
        <f>"52.07"</f>
        <v>52.07</v>
      </c>
      <c r="D1722" t="s">
        <v>1809</v>
      </c>
    </row>
    <row r="1723" spans="1:5" x14ac:dyDescent="0.25">
      <c r="A1723" t="str">
        <f t="shared" si="50"/>
        <v>52</v>
      </c>
      <c r="B1723" t="str">
        <f>"52.0701"</f>
        <v>52.0701</v>
      </c>
      <c r="E1723" t="s">
        <v>1810</v>
      </c>
    </row>
    <row r="1724" spans="1:5" x14ac:dyDescent="0.25">
      <c r="A1724" t="str">
        <f t="shared" si="50"/>
        <v>52</v>
      </c>
      <c r="B1724" t="str">
        <f>"52.0702"</f>
        <v>52.0702</v>
      </c>
      <c r="E1724" t="s">
        <v>1811</v>
      </c>
    </row>
    <row r="1725" spans="1:5" x14ac:dyDescent="0.25">
      <c r="A1725" t="str">
        <f t="shared" si="50"/>
        <v>52</v>
      </c>
      <c r="B1725" t="str">
        <f>"52.0703"</f>
        <v>52.0703</v>
      </c>
      <c r="E1725" t="s">
        <v>1812</v>
      </c>
    </row>
    <row r="1726" spans="1:5" x14ac:dyDescent="0.25">
      <c r="A1726" t="str">
        <f t="shared" si="50"/>
        <v>52</v>
      </c>
      <c r="B1726" t="str">
        <f>"52.0799"</f>
        <v>52.0799</v>
      </c>
      <c r="E1726" t="s">
        <v>1813</v>
      </c>
    </row>
    <row r="1727" spans="1:5" x14ac:dyDescent="0.25">
      <c r="A1727" t="str">
        <f t="shared" si="50"/>
        <v>52</v>
      </c>
      <c r="B1727" t="str">
        <f>"52.08"</f>
        <v>52.08</v>
      </c>
      <c r="D1727" t="s">
        <v>1814</v>
      </c>
    </row>
    <row r="1728" spans="1:5" x14ac:dyDescent="0.25">
      <c r="A1728" t="str">
        <f t="shared" si="50"/>
        <v>52</v>
      </c>
      <c r="B1728" t="str">
        <f>"52.0801"</f>
        <v>52.0801</v>
      </c>
      <c r="E1728" t="s">
        <v>1815</v>
      </c>
    </row>
    <row r="1729" spans="1:5" x14ac:dyDescent="0.25">
      <c r="A1729" t="str">
        <f t="shared" si="50"/>
        <v>52</v>
      </c>
      <c r="B1729" t="str">
        <f>"52.0803"</f>
        <v>52.0803</v>
      </c>
      <c r="E1729" t="s">
        <v>1816</v>
      </c>
    </row>
    <row r="1730" spans="1:5" x14ac:dyDescent="0.25">
      <c r="A1730" t="str">
        <f t="shared" si="50"/>
        <v>52</v>
      </c>
      <c r="B1730" t="str">
        <f>"52.0804"</f>
        <v>52.0804</v>
      </c>
      <c r="E1730" t="s">
        <v>1817</v>
      </c>
    </row>
    <row r="1731" spans="1:5" x14ac:dyDescent="0.25">
      <c r="A1731" t="str">
        <f t="shared" si="50"/>
        <v>52</v>
      </c>
      <c r="B1731" t="str">
        <f>"52.0806"</f>
        <v>52.0806</v>
      </c>
      <c r="E1731" t="s">
        <v>1818</v>
      </c>
    </row>
    <row r="1732" spans="1:5" x14ac:dyDescent="0.25">
      <c r="A1732" t="str">
        <f t="shared" si="50"/>
        <v>52</v>
      </c>
      <c r="B1732" t="str">
        <f>"52.0807"</f>
        <v>52.0807</v>
      </c>
      <c r="E1732" t="s">
        <v>1819</v>
      </c>
    </row>
    <row r="1733" spans="1:5" x14ac:dyDescent="0.25">
      <c r="A1733" t="str">
        <f t="shared" si="50"/>
        <v>52</v>
      </c>
      <c r="B1733" t="str">
        <f>"52.0808"</f>
        <v>52.0808</v>
      </c>
      <c r="E1733" t="s">
        <v>1820</v>
      </c>
    </row>
    <row r="1734" spans="1:5" x14ac:dyDescent="0.25">
      <c r="A1734" t="str">
        <f t="shared" si="50"/>
        <v>52</v>
      </c>
      <c r="B1734" t="str">
        <f>"52.0809"</f>
        <v>52.0809</v>
      </c>
      <c r="E1734" t="s">
        <v>1821</v>
      </c>
    </row>
    <row r="1735" spans="1:5" x14ac:dyDescent="0.25">
      <c r="A1735" t="str">
        <f t="shared" si="50"/>
        <v>52</v>
      </c>
      <c r="B1735" t="str">
        <f>"52.0899"</f>
        <v>52.0899</v>
      </c>
      <c r="E1735" t="s">
        <v>1822</v>
      </c>
    </row>
    <row r="1736" spans="1:5" x14ac:dyDescent="0.25">
      <c r="A1736" t="str">
        <f t="shared" si="50"/>
        <v>52</v>
      </c>
      <c r="B1736" t="str">
        <f>"52.09"</f>
        <v>52.09</v>
      </c>
      <c r="D1736" t="s">
        <v>1823</v>
      </c>
    </row>
    <row r="1737" spans="1:5" x14ac:dyDescent="0.25">
      <c r="A1737" t="str">
        <f t="shared" si="50"/>
        <v>52</v>
      </c>
      <c r="B1737" t="str">
        <f>"52.0901"</f>
        <v>52.0901</v>
      </c>
      <c r="E1737" t="s">
        <v>1824</v>
      </c>
    </row>
    <row r="1738" spans="1:5" x14ac:dyDescent="0.25">
      <c r="A1738" t="str">
        <f t="shared" si="50"/>
        <v>52</v>
      </c>
      <c r="B1738" t="str">
        <f>"52.0903"</f>
        <v>52.0903</v>
      </c>
      <c r="E1738" t="s">
        <v>1825</v>
      </c>
    </row>
    <row r="1739" spans="1:5" x14ac:dyDescent="0.25">
      <c r="A1739" t="str">
        <f t="shared" si="50"/>
        <v>52</v>
      </c>
      <c r="B1739" t="str">
        <f>"52.0904"</f>
        <v>52.0904</v>
      </c>
      <c r="E1739" t="s">
        <v>1826</v>
      </c>
    </row>
    <row r="1740" spans="1:5" x14ac:dyDescent="0.25">
      <c r="A1740" t="str">
        <f t="shared" si="50"/>
        <v>52</v>
      </c>
      <c r="B1740" t="str">
        <f>"52.0905"</f>
        <v>52.0905</v>
      </c>
      <c r="E1740" t="s">
        <v>1827</v>
      </c>
    </row>
    <row r="1741" spans="1:5" x14ac:dyDescent="0.25">
      <c r="A1741" t="str">
        <f t="shared" si="50"/>
        <v>52</v>
      </c>
      <c r="B1741" t="str">
        <f>"52.0906"</f>
        <v>52.0906</v>
      </c>
      <c r="E1741" t="s">
        <v>1828</v>
      </c>
    </row>
    <row r="1742" spans="1:5" x14ac:dyDescent="0.25">
      <c r="A1742" t="str">
        <f t="shared" si="50"/>
        <v>52</v>
      </c>
      <c r="B1742" t="str">
        <f>"52.0907"</f>
        <v>52.0907</v>
      </c>
      <c r="E1742" t="s">
        <v>1829</v>
      </c>
    </row>
    <row r="1743" spans="1:5" x14ac:dyDescent="0.25">
      <c r="A1743" t="str">
        <f t="shared" si="50"/>
        <v>52</v>
      </c>
      <c r="B1743" t="str">
        <f>"52.0908"</f>
        <v>52.0908</v>
      </c>
      <c r="E1743" t="s">
        <v>1830</v>
      </c>
    </row>
    <row r="1744" spans="1:5" x14ac:dyDescent="0.25">
      <c r="A1744" t="str">
        <f t="shared" si="50"/>
        <v>52</v>
      </c>
      <c r="B1744" t="str">
        <f>"52.0909"</f>
        <v>52.0909</v>
      </c>
      <c r="E1744" t="s">
        <v>1831</v>
      </c>
    </row>
    <row r="1745" spans="1:5" x14ac:dyDescent="0.25">
      <c r="A1745" t="str">
        <f t="shared" si="50"/>
        <v>52</v>
      </c>
      <c r="B1745" t="str">
        <f>"52.0999"</f>
        <v>52.0999</v>
      </c>
      <c r="E1745" t="s">
        <v>1832</v>
      </c>
    </row>
    <row r="1746" spans="1:5" x14ac:dyDescent="0.25">
      <c r="A1746" t="str">
        <f t="shared" si="50"/>
        <v>52</v>
      </c>
      <c r="B1746" t="str">
        <f>"52.10"</f>
        <v>52.10</v>
      </c>
      <c r="D1746" t="s">
        <v>1833</v>
      </c>
    </row>
    <row r="1747" spans="1:5" x14ac:dyDescent="0.25">
      <c r="A1747" t="str">
        <f t="shared" si="50"/>
        <v>52</v>
      </c>
      <c r="B1747" t="str">
        <f>"52.1001"</f>
        <v>52.1001</v>
      </c>
      <c r="E1747" t="s">
        <v>1834</v>
      </c>
    </row>
    <row r="1748" spans="1:5" x14ac:dyDescent="0.25">
      <c r="A1748" t="str">
        <f t="shared" si="50"/>
        <v>52</v>
      </c>
      <c r="B1748" t="str">
        <f>"52.1002"</f>
        <v>52.1002</v>
      </c>
      <c r="E1748" t="s">
        <v>1835</v>
      </c>
    </row>
    <row r="1749" spans="1:5" x14ac:dyDescent="0.25">
      <c r="A1749" t="str">
        <f t="shared" si="50"/>
        <v>52</v>
      </c>
      <c r="B1749" t="str">
        <f>"52.1003"</f>
        <v>52.1003</v>
      </c>
      <c r="E1749" t="s">
        <v>1836</v>
      </c>
    </row>
    <row r="1750" spans="1:5" x14ac:dyDescent="0.25">
      <c r="A1750" t="str">
        <f t="shared" si="50"/>
        <v>52</v>
      </c>
      <c r="B1750" t="str">
        <f>"52.1004"</f>
        <v>52.1004</v>
      </c>
      <c r="E1750" t="s">
        <v>1837</v>
      </c>
    </row>
    <row r="1751" spans="1:5" x14ac:dyDescent="0.25">
      <c r="A1751" t="str">
        <f t="shared" ref="A1751:A1792" si="51">"52"</f>
        <v>52</v>
      </c>
      <c r="B1751" t="str">
        <f>"52.1005"</f>
        <v>52.1005</v>
      </c>
      <c r="E1751" t="s">
        <v>1838</v>
      </c>
    </row>
    <row r="1752" spans="1:5" x14ac:dyDescent="0.25">
      <c r="A1752" t="str">
        <f t="shared" si="51"/>
        <v>52</v>
      </c>
      <c r="B1752" t="str">
        <f>"52.1099"</f>
        <v>52.1099</v>
      </c>
      <c r="E1752" t="s">
        <v>1839</v>
      </c>
    </row>
    <row r="1753" spans="1:5" x14ac:dyDescent="0.25">
      <c r="A1753" t="str">
        <f t="shared" si="51"/>
        <v>52</v>
      </c>
      <c r="B1753" t="str">
        <f>"52.11"</f>
        <v>52.11</v>
      </c>
      <c r="D1753" t="s">
        <v>1840</v>
      </c>
    </row>
    <row r="1754" spans="1:5" x14ac:dyDescent="0.25">
      <c r="A1754" t="str">
        <f t="shared" si="51"/>
        <v>52</v>
      </c>
      <c r="B1754" t="str">
        <f>"52.12"</f>
        <v>52.12</v>
      </c>
      <c r="D1754" t="s">
        <v>1841</v>
      </c>
    </row>
    <row r="1755" spans="1:5" x14ac:dyDescent="0.25">
      <c r="A1755" t="str">
        <f t="shared" si="51"/>
        <v>52</v>
      </c>
      <c r="B1755" t="str">
        <f>"52.1201"</f>
        <v>52.1201</v>
      </c>
      <c r="E1755" t="s">
        <v>1842</v>
      </c>
    </row>
    <row r="1756" spans="1:5" x14ac:dyDescent="0.25">
      <c r="A1756" t="str">
        <f t="shared" si="51"/>
        <v>52</v>
      </c>
      <c r="B1756" t="str">
        <f>"52.1206"</f>
        <v>52.1206</v>
      </c>
      <c r="E1756" t="s">
        <v>1843</v>
      </c>
    </row>
    <row r="1757" spans="1:5" x14ac:dyDescent="0.25">
      <c r="A1757" t="str">
        <f t="shared" si="51"/>
        <v>52</v>
      </c>
      <c r="B1757" t="str">
        <f>"52.1207"</f>
        <v>52.1207</v>
      </c>
      <c r="E1757" t="s">
        <v>1844</v>
      </c>
    </row>
    <row r="1758" spans="1:5" x14ac:dyDescent="0.25">
      <c r="A1758" t="str">
        <f t="shared" si="51"/>
        <v>52</v>
      </c>
      <c r="B1758" t="str">
        <f>"52.1299"</f>
        <v>52.1299</v>
      </c>
      <c r="E1758" t="s">
        <v>1845</v>
      </c>
    </row>
    <row r="1759" spans="1:5" x14ac:dyDescent="0.25">
      <c r="A1759" t="str">
        <f t="shared" si="51"/>
        <v>52</v>
      </c>
      <c r="B1759" t="str">
        <f>"52.13"</f>
        <v>52.13</v>
      </c>
      <c r="D1759" t="s">
        <v>1846</v>
      </c>
    </row>
    <row r="1760" spans="1:5" x14ac:dyDescent="0.25">
      <c r="A1760" t="str">
        <f t="shared" si="51"/>
        <v>52</v>
      </c>
      <c r="B1760" t="str">
        <f>"52.1301"</f>
        <v>52.1301</v>
      </c>
      <c r="E1760" t="s">
        <v>1847</v>
      </c>
    </row>
    <row r="1761" spans="1:5" x14ac:dyDescent="0.25">
      <c r="A1761" t="str">
        <f t="shared" si="51"/>
        <v>52</v>
      </c>
      <c r="B1761" t="str">
        <f>"52.1302"</f>
        <v>52.1302</v>
      </c>
      <c r="E1761" t="s">
        <v>1848</v>
      </c>
    </row>
    <row r="1762" spans="1:5" x14ac:dyDescent="0.25">
      <c r="A1762" t="str">
        <f t="shared" si="51"/>
        <v>52</v>
      </c>
      <c r="B1762" t="str">
        <f>"52.1304"</f>
        <v>52.1304</v>
      </c>
      <c r="E1762" t="s">
        <v>1849</v>
      </c>
    </row>
    <row r="1763" spans="1:5" x14ac:dyDescent="0.25">
      <c r="A1763" t="str">
        <f t="shared" si="51"/>
        <v>52</v>
      </c>
      <c r="B1763" t="str">
        <f>"52.1399"</f>
        <v>52.1399</v>
      </c>
      <c r="E1763" t="s">
        <v>1850</v>
      </c>
    </row>
    <row r="1764" spans="1:5" x14ac:dyDescent="0.25">
      <c r="A1764" t="str">
        <f t="shared" si="51"/>
        <v>52</v>
      </c>
      <c r="B1764" t="str">
        <f>"52.14"</f>
        <v>52.14</v>
      </c>
      <c r="D1764" t="s">
        <v>1851</v>
      </c>
    </row>
    <row r="1765" spans="1:5" x14ac:dyDescent="0.25">
      <c r="A1765" t="str">
        <f t="shared" si="51"/>
        <v>52</v>
      </c>
      <c r="B1765" t="str">
        <f>"52.1401"</f>
        <v>52.1401</v>
      </c>
      <c r="E1765" t="s">
        <v>1852</v>
      </c>
    </row>
    <row r="1766" spans="1:5" x14ac:dyDescent="0.25">
      <c r="A1766" t="str">
        <f t="shared" si="51"/>
        <v>52</v>
      </c>
      <c r="B1766" t="str">
        <f>"52.1402"</f>
        <v>52.1402</v>
      </c>
      <c r="E1766" t="s">
        <v>1853</v>
      </c>
    </row>
    <row r="1767" spans="1:5" x14ac:dyDescent="0.25">
      <c r="A1767" t="str">
        <f t="shared" si="51"/>
        <v>52</v>
      </c>
      <c r="B1767" t="str">
        <f>"52.1403"</f>
        <v>52.1403</v>
      </c>
      <c r="E1767" t="s">
        <v>1854</v>
      </c>
    </row>
    <row r="1768" spans="1:5" x14ac:dyDescent="0.25">
      <c r="A1768" t="str">
        <f t="shared" si="51"/>
        <v>52</v>
      </c>
      <c r="B1768" t="str">
        <f>"52.1499"</f>
        <v>52.1499</v>
      </c>
      <c r="E1768" t="s">
        <v>1855</v>
      </c>
    </row>
    <row r="1769" spans="1:5" x14ac:dyDescent="0.25">
      <c r="A1769" t="str">
        <f t="shared" si="51"/>
        <v>52</v>
      </c>
      <c r="B1769" t="str">
        <f>"52.15"</f>
        <v>52.15</v>
      </c>
      <c r="D1769" t="s">
        <v>1856</v>
      </c>
    </row>
    <row r="1770" spans="1:5" x14ac:dyDescent="0.25">
      <c r="A1770" t="str">
        <f t="shared" si="51"/>
        <v>52</v>
      </c>
      <c r="B1770" t="str">
        <f>"52.16"</f>
        <v>52.16</v>
      </c>
      <c r="D1770" t="s">
        <v>1857</v>
      </c>
    </row>
    <row r="1771" spans="1:5" x14ac:dyDescent="0.25">
      <c r="A1771" t="str">
        <f t="shared" si="51"/>
        <v>52</v>
      </c>
      <c r="B1771" t="str">
        <f>"52.17"</f>
        <v>52.17</v>
      </c>
      <c r="D1771" t="s">
        <v>1858</v>
      </c>
    </row>
    <row r="1772" spans="1:5" x14ac:dyDescent="0.25">
      <c r="A1772" t="str">
        <f t="shared" si="51"/>
        <v>52</v>
      </c>
      <c r="B1772" t="str">
        <f>"52.18"</f>
        <v>52.18</v>
      </c>
      <c r="D1772" t="s">
        <v>1859</v>
      </c>
    </row>
    <row r="1773" spans="1:5" x14ac:dyDescent="0.25">
      <c r="A1773" t="str">
        <f t="shared" si="51"/>
        <v>52</v>
      </c>
      <c r="B1773" t="str">
        <f>"52.1801"</f>
        <v>52.1801</v>
      </c>
      <c r="E1773" t="s">
        <v>1860</v>
      </c>
    </row>
    <row r="1774" spans="1:5" x14ac:dyDescent="0.25">
      <c r="A1774" t="str">
        <f t="shared" si="51"/>
        <v>52</v>
      </c>
      <c r="B1774" t="str">
        <f>"52.1802"</f>
        <v>52.1802</v>
      </c>
      <c r="E1774" t="s">
        <v>1861</v>
      </c>
    </row>
    <row r="1775" spans="1:5" x14ac:dyDescent="0.25">
      <c r="A1775" t="str">
        <f t="shared" si="51"/>
        <v>52</v>
      </c>
      <c r="B1775" t="str">
        <f>"52.1803"</f>
        <v>52.1803</v>
      </c>
      <c r="E1775" t="s">
        <v>1862</v>
      </c>
    </row>
    <row r="1776" spans="1:5" x14ac:dyDescent="0.25">
      <c r="A1776" t="str">
        <f t="shared" si="51"/>
        <v>52</v>
      </c>
      <c r="B1776" t="str">
        <f>"52.1804"</f>
        <v>52.1804</v>
      </c>
      <c r="E1776" t="s">
        <v>1863</v>
      </c>
    </row>
    <row r="1777" spans="1:5" x14ac:dyDescent="0.25">
      <c r="A1777" t="str">
        <f t="shared" si="51"/>
        <v>52</v>
      </c>
      <c r="B1777" t="str">
        <f>"52.1899"</f>
        <v>52.1899</v>
      </c>
      <c r="E1777" t="s">
        <v>1864</v>
      </c>
    </row>
    <row r="1778" spans="1:5" x14ac:dyDescent="0.25">
      <c r="A1778" t="str">
        <f t="shared" si="51"/>
        <v>52</v>
      </c>
      <c r="B1778" t="str">
        <f>"52.19"</f>
        <v>52.19</v>
      </c>
      <c r="D1778" t="s">
        <v>1865</v>
      </c>
    </row>
    <row r="1779" spans="1:5" x14ac:dyDescent="0.25">
      <c r="A1779" t="str">
        <f t="shared" si="51"/>
        <v>52</v>
      </c>
      <c r="B1779" t="str">
        <f>"52.1901"</f>
        <v>52.1901</v>
      </c>
      <c r="E1779" t="s">
        <v>1866</v>
      </c>
    </row>
    <row r="1780" spans="1:5" x14ac:dyDescent="0.25">
      <c r="A1780" t="str">
        <f t="shared" si="51"/>
        <v>52</v>
      </c>
      <c r="B1780" t="str">
        <f>"52.1902"</f>
        <v>52.1902</v>
      </c>
      <c r="E1780" t="s">
        <v>1867</v>
      </c>
    </row>
    <row r="1781" spans="1:5" x14ac:dyDescent="0.25">
      <c r="A1781" t="str">
        <f t="shared" si="51"/>
        <v>52</v>
      </c>
      <c r="B1781" t="str">
        <f>"52.1903"</f>
        <v>52.1903</v>
      </c>
      <c r="E1781" t="s">
        <v>1868</v>
      </c>
    </row>
    <row r="1782" spans="1:5" x14ac:dyDescent="0.25">
      <c r="A1782" t="str">
        <f t="shared" si="51"/>
        <v>52</v>
      </c>
      <c r="B1782" t="str">
        <f>"52.1904"</f>
        <v>52.1904</v>
      </c>
      <c r="E1782" t="s">
        <v>1869</v>
      </c>
    </row>
    <row r="1783" spans="1:5" x14ac:dyDescent="0.25">
      <c r="A1783" t="str">
        <f t="shared" si="51"/>
        <v>52</v>
      </c>
      <c r="B1783" t="str">
        <f>"52.1905"</f>
        <v>52.1905</v>
      </c>
      <c r="E1783" t="s">
        <v>1870</v>
      </c>
    </row>
    <row r="1784" spans="1:5" x14ac:dyDescent="0.25">
      <c r="A1784" t="str">
        <f t="shared" si="51"/>
        <v>52</v>
      </c>
      <c r="B1784" t="str">
        <f>"52.1906"</f>
        <v>52.1906</v>
      </c>
      <c r="E1784" t="s">
        <v>1871</v>
      </c>
    </row>
    <row r="1785" spans="1:5" x14ac:dyDescent="0.25">
      <c r="A1785" t="str">
        <f t="shared" si="51"/>
        <v>52</v>
      </c>
      <c r="B1785" t="str">
        <f>"52.1907"</f>
        <v>52.1907</v>
      </c>
      <c r="E1785" t="s">
        <v>1872</v>
      </c>
    </row>
    <row r="1786" spans="1:5" x14ac:dyDescent="0.25">
      <c r="A1786" t="str">
        <f t="shared" si="51"/>
        <v>52</v>
      </c>
      <c r="B1786" t="str">
        <f>"52.1908"</f>
        <v>52.1908</v>
      </c>
      <c r="E1786" t="s">
        <v>1873</v>
      </c>
    </row>
    <row r="1787" spans="1:5" x14ac:dyDescent="0.25">
      <c r="A1787" t="str">
        <f t="shared" si="51"/>
        <v>52</v>
      </c>
      <c r="B1787" t="str">
        <f>"52.1909"</f>
        <v>52.1909</v>
      </c>
      <c r="E1787" t="s">
        <v>1874</v>
      </c>
    </row>
    <row r="1788" spans="1:5" x14ac:dyDescent="0.25">
      <c r="A1788" t="str">
        <f t="shared" si="51"/>
        <v>52</v>
      </c>
      <c r="B1788" t="str">
        <f>"52.1910"</f>
        <v>52.1910</v>
      </c>
      <c r="E1788" t="s">
        <v>1875</v>
      </c>
    </row>
    <row r="1789" spans="1:5" x14ac:dyDescent="0.25">
      <c r="A1789" t="str">
        <f t="shared" si="51"/>
        <v>52</v>
      </c>
      <c r="B1789" t="str">
        <f>"52.1999"</f>
        <v>52.1999</v>
      </c>
      <c r="E1789" t="s">
        <v>1876</v>
      </c>
    </row>
    <row r="1790" spans="1:5" x14ac:dyDescent="0.25">
      <c r="A1790" t="str">
        <f t="shared" si="51"/>
        <v>52</v>
      </c>
      <c r="B1790" t="str">
        <f>"52.20"</f>
        <v>52.20</v>
      </c>
      <c r="D1790" t="s">
        <v>1877</v>
      </c>
    </row>
    <row r="1791" spans="1:5" x14ac:dyDescent="0.25">
      <c r="A1791" t="str">
        <f t="shared" si="51"/>
        <v>52</v>
      </c>
      <c r="B1791" t="str">
        <f>"52.21"</f>
        <v>52.21</v>
      </c>
      <c r="D1791" t="s">
        <v>1878</v>
      </c>
    </row>
    <row r="1792" spans="1:5" x14ac:dyDescent="0.25">
      <c r="A1792" t="str">
        <f t="shared" si="51"/>
        <v>52</v>
      </c>
      <c r="B1792" t="str">
        <f>"52.99"</f>
        <v>52.99</v>
      </c>
      <c r="D1792" t="s">
        <v>1879</v>
      </c>
    </row>
    <row r="1793" spans="1:5" x14ac:dyDescent="0.25">
      <c r="A1793" t="str">
        <f>"54"</f>
        <v>54</v>
      </c>
      <c r="B1793" t="str">
        <f>"54"</f>
        <v>54</v>
      </c>
      <c r="C1793" t="s">
        <v>1880</v>
      </c>
    </row>
    <row r="1794" spans="1:5" x14ac:dyDescent="0.25">
      <c r="A1794" t="str">
        <f t="shared" ref="A1794:A1803" si="52">"54"</f>
        <v>54</v>
      </c>
      <c r="B1794" t="str">
        <f>"54.01"</f>
        <v>54.01</v>
      </c>
      <c r="D1794" t="s">
        <v>1881</v>
      </c>
    </row>
    <row r="1795" spans="1:5" x14ac:dyDescent="0.25">
      <c r="A1795" t="str">
        <f t="shared" si="52"/>
        <v>54</v>
      </c>
      <c r="B1795" t="str">
        <f>"54.0101"</f>
        <v>54.0101</v>
      </c>
      <c r="E1795" t="s">
        <v>1882</v>
      </c>
    </row>
    <row r="1796" spans="1:5" x14ac:dyDescent="0.25">
      <c r="A1796" t="str">
        <f t="shared" si="52"/>
        <v>54</v>
      </c>
      <c r="B1796" t="str">
        <f>"54.0102"</f>
        <v>54.0102</v>
      </c>
      <c r="E1796" t="s">
        <v>1883</v>
      </c>
    </row>
    <row r="1797" spans="1:5" x14ac:dyDescent="0.25">
      <c r="A1797" t="str">
        <f t="shared" si="52"/>
        <v>54</v>
      </c>
      <c r="B1797" t="str">
        <f>"54.0103"</f>
        <v>54.0103</v>
      </c>
      <c r="E1797" t="s">
        <v>1884</v>
      </c>
    </row>
    <row r="1798" spans="1:5" x14ac:dyDescent="0.25">
      <c r="A1798" t="str">
        <f t="shared" si="52"/>
        <v>54</v>
      </c>
      <c r="B1798" t="str">
        <f>"54.0104"</f>
        <v>54.0104</v>
      </c>
      <c r="E1798" t="s">
        <v>1885</v>
      </c>
    </row>
    <row r="1799" spans="1:5" x14ac:dyDescent="0.25">
      <c r="A1799" t="str">
        <f t="shared" si="52"/>
        <v>54</v>
      </c>
      <c r="B1799" t="str">
        <f>"54.0105"</f>
        <v>54.0105</v>
      </c>
      <c r="E1799" t="s">
        <v>1886</v>
      </c>
    </row>
    <row r="1800" spans="1:5" x14ac:dyDescent="0.25">
      <c r="A1800" t="str">
        <f t="shared" si="52"/>
        <v>54</v>
      </c>
      <c r="B1800" t="str">
        <f>"54.0106"</f>
        <v>54.0106</v>
      </c>
      <c r="E1800" t="s">
        <v>1887</v>
      </c>
    </row>
    <row r="1801" spans="1:5" x14ac:dyDescent="0.25">
      <c r="A1801" t="str">
        <f t="shared" si="52"/>
        <v>54</v>
      </c>
      <c r="B1801" t="str">
        <f>"54.0107"</f>
        <v>54.0107</v>
      </c>
      <c r="E1801" t="s">
        <v>1888</v>
      </c>
    </row>
    <row r="1802" spans="1:5" x14ac:dyDescent="0.25">
      <c r="A1802" t="str">
        <f t="shared" si="52"/>
        <v>54</v>
      </c>
      <c r="B1802" t="str">
        <f>"54.0108"</f>
        <v>54.0108</v>
      </c>
      <c r="E1802" t="s">
        <v>1889</v>
      </c>
    </row>
    <row r="1803" spans="1:5" x14ac:dyDescent="0.25">
      <c r="A1803" t="str">
        <f t="shared" si="52"/>
        <v>54</v>
      </c>
      <c r="B1803" t="str">
        <f>"54.0199"</f>
        <v>54.0199</v>
      </c>
      <c r="E1803" t="s">
        <v>1890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
  <sheetViews>
    <sheetView topLeftCell="J1" workbookViewId="0">
      <selection activeCell="Q5" sqref="Q5:Y10"/>
    </sheetView>
  </sheetViews>
  <sheetFormatPr defaultColWidth="11" defaultRowHeight="15.75" x14ac:dyDescent="0.25"/>
  <cols>
    <col min="1" max="1" width="12.625" customWidth="1"/>
    <col min="2" max="2" width="10.5" customWidth="1"/>
    <col min="3" max="4" width="8.625" customWidth="1"/>
    <col min="5" max="6" width="10.125" customWidth="1"/>
    <col min="7" max="7" width="11.375" customWidth="1"/>
    <col min="8" max="8" width="11.875" customWidth="1"/>
    <col min="9" max="15" width="8.625" customWidth="1"/>
    <col min="16" max="16" width="9.375" customWidth="1"/>
    <col min="17" max="25" width="8.625" customWidth="1"/>
  </cols>
  <sheetData>
    <row r="1" spans="1:25" x14ac:dyDescent="0.25">
      <c r="A1" t="s">
        <v>98</v>
      </c>
    </row>
    <row r="2" spans="1:25" s="8" customFormat="1" ht="51" x14ac:dyDescent="0.2">
      <c r="A2" s="9" t="s">
        <v>79</v>
      </c>
      <c r="B2" s="9" t="s">
        <v>37</v>
      </c>
      <c r="C2" s="9" t="s">
        <v>50</v>
      </c>
      <c r="D2" s="9" t="s">
        <v>51</v>
      </c>
      <c r="E2" s="9" t="s">
        <v>34</v>
      </c>
      <c r="F2" s="9" t="s">
        <v>35</v>
      </c>
      <c r="G2" s="9" t="s">
        <v>41</v>
      </c>
      <c r="H2" s="9" t="s">
        <v>42</v>
      </c>
      <c r="I2" s="9" t="s">
        <v>43</v>
      </c>
      <c r="J2" s="9" t="s">
        <v>44</v>
      </c>
      <c r="K2" s="9" t="s">
        <v>45</v>
      </c>
      <c r="L2" s="9" t="s">
        <v>46</v>
      </c>
      <c r="M2" s="9" t="s">
        <v>16</v>
      </c>
      <c r="N2" s="9" t="s">
        <v>47</v>
      </c>
      <c r="O2" s="9" t="s">
        <v>48</v>
      </c>
      <c r="P2" s="9" t="s">
        <v>49</v>
      </c>
      <c r="Q2" s="9" t="s">
        <v>52</v>
      </c>
      <c r="R2" s="9" t="s">
        <v>2</v>
      </c>
      <c r="S2" s="9" t="s">
        <v>3</v>
      </c>
      <c r="T2" s="9" t="s">
        <v>53</v>
      </c>
      <c r="U2" s="9" t="s">
        <v>5</v>
      </c>
      <c r="V2" s="9" t="s">
        <v>6</v>
      </c>
      <c r="W2" s="9" t="s">
        <v>54</v>
      </c>
      <c r="X2" s="9" t="s">
        <v>7</v>
      </c>
      <c r="Y2" s="9" t="s">
        <v>8</v>
      </c>
    </row>
    <row r="3" spans="1:25" ht="24.75" x14ac:dyDescent="0.25">
      <c r="A3" s="10" t="s">
        <v>40</v>
      </c>
      <c r="B3" s="1"/>
      <c r="C3" s="4"/>
      <c r="D3" s="4"/>
      <c r="E3" s="4"/>
      <c r="F3" s="4"/>
      <c r="G3" s="4"/>
      <c r="H3" s="4"/>
      <c r="I3" s="4"/>
      <c r="J3" s="4"/>
      <c r="K3" s="4"/>
      <c r="L3" s="4"/>
      <c r="M3" s="4"/>
      <c r="N3" s="4"/>
    </row>
    <row r="4" spans="1:25" x14ac:dyDescent="0.25">
      <c r="B4" s="2"/>
      <c r="C4" s="3"/>
      <c r="D4" s="3"/>
      <c r="E4" s="3"/>
      <c r="F4" s="3"/>
      <c r="G4" s="3"/>
      <c r="H4" s="3"/>
      <c r="I4" s="3"/>
      <c r="J4" s="3"/>
      <c r="K4" s="3"/>
      <c r="L4" s="3"/>
      <c r="M4" s="3"/>
      <c r="N4" s="3"/>
      <c r="O4" s="3"/>
      <c r="P4" s="3"/>
      <c r="Q4" s="3"/>
      <c r="R4" s="3"/>
      <c r="S4" s="3"/>
      <c r="T4" s="3"/>
    </row>
    <row r="5" spans="1:25" x14ac:dyDescent="0.25">
      <c r="B5" s="2"/>
      <c r="C5" s="3"/>
      <c r="D5" s="3"/>
      <c r="E5" s="3"/>
      <c r="F5" s="3"/>
      <c r="G5" s="3"/>
      <c r="H5" s="3"/>
      <c r="I5" s="3"/>
      <c r="J5" s="3"/>
      <c r="K5" s="3"/>
      <c r="L5" s="3"/>
      <c r="M5" s="3"/>
      <c r="N5" s="3"/>
      <c r="O5" s="6"/>
      <c r="P5" s="6"/>
      <c r="Q5" s="21"/>
      <c r="R5" s="21"/>
      <c r="S5" s="21"/>
      <c r="T5" s="21"/>
      <c r="U5" s="22"/>
      <c r="V5" s="22"/>
      <c r="W5" s="22"/>
      <c r="X5" s="22"/>
      <c r="Y5" s="22"/>
    </row>
    <row r="6" spans="1:25" x14ac:dyDescent="0.25">
      <c r="B6" s="2"/>
      <c r="C6" s="3"/>
      <c r="D6" s="3"/>
      <c r="E6" s="3"/>
      <c r="F6" s="3"/>
      <c r="G6" s="3"/>
      <c r="H6" s="3"/>
      <c r="I6" s="3"/>
      <c r="J6" s="3"/>
      <c r="K6" s="3"/>
      <c r="L6" s="3"/>
      <c r="M6" s="3"/>
      <c r="N6" s="3"/>
      <c r="O6" s="6"/>
      <c r="P6" s="6"/>
      <c r="Q6" s="21"/>
      <c r="R6" s="21"/>
      <c r="S6" s="21"/>
      <c r="T6" s="21"/>
      <c r="U6" s="22"/>
      <c r="V6" s="22"/>
      <c r="W6" s="22"/>
      <c r="X6" s="22"/>
      <c r="Y6" s="22"/>
    </row>
    <row r="7" spans="1:25" x14ac:dyDescent="0.25">
      <c r="B7" s="2"/>
      <c r="O7" s="6"/>
      <c r="P7" s="6"/>
      <c r="Q7" s="21"/>
      <c r="R7" s="21"/>
      <c r="S7" s="21"/>
      <c r="T7" s="21"/>
      <c r="U7" s="22"/>
      <c r="V7" s="22"/>
      <c r="W7" s="22"/>
      <c r="X7" s="22"/>
      <c r="Y7" s="22"/>
    </row>
    <row r="8" spans="1:25" x14ac:dyDescent="0.25">
      <c r="Q8" s="22"/>
      <c r="R8" s="22"/>
      <c r="S8" s="22"/>
      <c r="T8" s="22"/>
      <c r="U8" s="22"/>
      <c r="V8" s="22"/>
      <c r="W8" s="22"/>
      <c r="X8" s="22"/>
      <c r="Y8" s="22"/>
    </row>
    <row r="9" spans="1:25" x14ac:dyDescent="0.25">
      <c r="Q9" s="22"/>
      <c r="R9" s="22"/>
      <c r="S9" s="22"/>
      <c r="T9" s="22"/>
      <c r="U9" s="22"/>
      <c r="V9" s="22"/>
      <c r="W9" s="22"/>
      <c r="X9" s="22"/>
      <c r="Y9" s="22"/>
    </row>
    <row r="10" spans="1:25" x14ac:dyDescent="0.25">
      <c r="Q10" s="22"/>
      <c r="R10" s="22"/>
      <c r="S10" s="22"/>
      <c r="T10" s="22"/>
      <c r="U10" s="22"/>
      <c r="V10" s="22"/>
      <c r="W10" s="22"/>
      <c r="X10" s="22"/>
      <c r="Y10" s="2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
  <sheetViews>
    <sheetView topLeftCell="H1" workbookViewId="0">
      <selection activeCell="Q5" sqref="Q5:Y14"/>
    </sheetView>
  </sheetViews>
  <sheetFormatPr defaultColWidth="11" defaultRowHeight="15.75" x14ac:dyDescent="0.25"/>
  <cols>
    <col min="1" max="1" width="12.625" customWidth="1"/>
    <col min="2" max="2" width="10.5" customWidth="1"/>
    <col min="3" max="4" width="8.625" customWidth="1"/>
    <col min="5" max="6" width="10.125" customWidth="1"/>
    <col min="7" max="7" width="11.375" customWidth="1"/>
    <col min="8" max="8" width="11.875" customWidth="1"/>
    <col min="9" max="15" width="8.625" customWidth="1"/>
    <col min="16" max="16" width="9.375" customWidth="1"/>
    <col min="17" max="25" width="8.625" customWidth="1"/>
  </cols>
  <sheetData>
    <row r="1" spans="1:25" x14ac:dyDescent="0.25">
      <c r="A1" t="s">
        <v>99</v>
      </c>
    </row>
    <row r="2" spans="1:25" s="8" customFormat="1" ht="51" x14ac:dyDescent="0.2">
      <c r="A2" s="9" t="s">
        <v>79</v>
      </c>
      <c r="B2" s="9" t="s">
        <v>37</v>
      </c>
      <c r="C2" s="9" t="s">
        <v>50</v>
      </c>
      <c r="D2" s="9" t="s">
        <v>51</v>
      </c>
      <c r="E2" s="9" t="s">
        <v>34</v>
      </c>
      <c r="F2" s="9" t="s">
        <v>35</v>
      </c>
      <c r="G2" s="9" t="s">
        <v>41</v>
      </c>
      <c r="H2" s="9" t="s">
        <v>42</v>
      </c>
      <c r="I2" s="9" t="s">
        <v>43</v>
      </c>
      <c r="J2" s="9" t="s">
        <v>44</v>
      </c>
      <c r="K2" s="9" t="s">
        <v>45</v>
      </c>
      <c r="L2" s="9" t="s">
        <v>46</v>
      </c>
      <c r="M2" s="9" t="s">
        <v>16</v>
      </c>
      <c r="N2" s="9" t="s">
        <v>47</v>
      </c>
      <c r="O2" s="9" t="s">
        <v>48</v>
      </c>
      <c r="P2" s="9" t="s">
        <v>49</v>
      </c>
      <c r="Q2" s="9" t="s">
        <v>52</v>
      </c>
      <c r="R2" s="9" t="s">
        <v>2</v>
      </c>
      <c r="S2" s="9" t="s">
        <v>3</v>
      </c>
      <c r="T2" s="9" t="s">
        <v>53</v>
      </c>
      <c r="U2" s="9" t="s">
        <v>5</v>
      </c>
      <c r="V2" s="9" t="s">
        <v>6</v>
      </c>
      <c r="W2" s="9" t="s">
        <v>54</v>
      </c>
      <c r="X2" s="9" t="s">
        <v>7</v>
      </c>
      <c r="Y2" s="9" t="s">
        <v>8</v>
      </c>
    </row>
    <row r="3" spans="1:25" ht="24.75" x14ac:dyDescent="0.25">
      <c r="A3" s="10" t="s">
        <v>40</v>
      </c>
      <c r="B3" s="1"/>
      <c r="C3" s="4"/>
      <c r="D3" s="4"/>
      <c r="E3" s="4"/>
      <c r="F3" s="4"/>
      <c r="G3" s="4"/>
      <c r="H3" s="4"/>
      <c r="I3" s="4"/>
      <c r="J3" s="4"/>
      <c r="K3" s="4"/>
      <c r="L3" s="4"/>
      <c r="M3" s="4"/>
      <c r="N3" s="4"/>
    </row>
    <row r="4" spans="1:25" x14ac:dyDescent="0.25">
      <c r="B4" s="2"/>
      <c r="C4" s="3"/>
      <c r="D4" s="3"/>
      <c r="E4" s="3"/>
      <c r="F4" s="3"/>
      <c r="G4" s="3"/>
      <c r="H4" s="3"/>
      <c r="I4" s="3"/>
      <c r="J4" s="3"/>
      <c r="K4" s="3"/>
      <c r="L4" s="3"/>
      <c r="M4" s="3"/>
      <c r="N4" s="3"/>
      <c r="O4" s="3"/>
      <c r="P4" s="3"/>
      <c r="Q4" s="3"/>
      <c r="R4" s="3"/>
      <c r="S4" s="3"/>
      <c r="T4" s="3"/>
    </row>
    <row r="5" spans="1:25" x14ac:dyDescent="0.25">
      <c r="B5" s="2"/>
      <c r="C5" s="3"/>
      <c r="D5" s="3"/>
      <c r="E5" s="3"/>
      <c r="F5" s="3"/>
      <c r="G5" s="3"/>
      <c r="H5" s="3"/>
      <c r="I5" s="3"/>
      <c r="J5" s="3"/>
      <c r="K5" s="3"/>
      <c r="L5" s="3"/>
      <c r="M5" s="3"/>
      <c r="N5" s="3"/>
      <c r="O5" s="6"/>
      <c r="P5" s="6"/>
      <c r="Q5" s="21"/>
      <c r="R5" s="21"/>
      <c r="S5" s="21"/>
      <c r="T5" s="21"/>
      <c r="U5" s="22"/>
      <c r="V5" s="22"/>
      <c r="W5" s="22"/>
      <c r="X5" s="22"/>
      <c r="Y5" s="22"/>
    </row>
    <row r="6" spans="1:25" x14ac:dyDescent="0.25">
      <c r="B6" s="2"/>
      <c r="C6" s="3"/>
      <c r="D6" s="3"/>
      <c r="E6" s="3"/>
      <c r="F6" s="3"/>
      <c r="G6" s="3"/>
      <c r="H6" s="3"/>
      <c r="I6" s="3"/>
      <c r="J6" s="3"/>
      <c r="K6" s="3"/>
      <c r="L6" s="3"/>
      <c r="M6" s="3"/>
      <c r="N6" s="3"/>
      <c r="O6" s="6"/>
      <c r="P6" s="6"/>
      <c r="Q6" s="21"/>
      <c r="R6" s="21"/>
      <c r="S6" s="21"/>
      <c r="T6" s="21"/>
      <c r="U6" s="22"/>
      <c r="V6" s="22"/>
      <c r="W6" s="22"/>
      <c r="X6" s="22"/>
      <c r="Y6" s="22"/>
    </row>
    <row r="7" spans="1:25" x14ac:dyDescent="0.25">
      <c r="B7" s="2"/>
      <c r="O7" s="6"/>
      <c r="P7" s="6"/>
      <c r="Q7" s="21"/>
      <c r="R7" s="21"/>
      <c r="S7" s="21"/>
      <c r="T7" s="21"/>
      <c r="U7" s="22"/>
      <c r="V7" s="22"/>
      <c r="W7" s="22"/>
      <c r="X7" s="22"/>
      <c r="Y7" s="22"/>
    </row>
    <row r="8" spans="1:25" x14ac:dyDescent="0.25">
      <c r="Q8" s="22"/>
      <c r="R8" s="22"/>
      <c r="S8" s="22"/>
      <c r="T8" s="22"/>
      <c r="U8" s="22"/>
      <c r="V8" s="22"/>
      <c r="W8" s="22"/>
      <c r="X8" s="22"/>
      <c r="Y8" s="22"/>
    </row>
    <row r="9" spans="1:25" x14ac:dyDescent="0.25">
      <c r="Q9" s="22"/>
      <c r="R9" s="22"/>
      <c r="S9" s="22"/>
      <c r="T9" s="22"/>
      <c r="U9" s="22"/>
      <c r="V9" s="22"/>
      <c r="W9" s="22"/>
      <c r="X9" s="22"/>
      <c r="Y9" s="22"/>
    </row>
    <row r="10" spans="1:25" x14ac:dyDescent="0.25">
      <c r="Q10" s="22"/>
      <c r="R10" s="22"/>
      <c r="S10" s="22"/>
      <c r="T10" s="22"/>
      <c r="U10" s="22"/>
      <c r="V10" s="22"/>
      <c r="W10" s="22"/>
      <c r="X10" s="22"/>
      <c r="Y10" s="22"/>
    </row>
    <row r="11" spans="1:25" x14ac:dyDescent="0.25">
      <c r="Q11" s="22"/>
      <c r="R11" s="22"/>
      <c r="S11" s="22"/>
      <c r="T11" s="22"/>
      <c r="U11" s="22"/>
      <c r="V11" s="22"/>
      <c r="W11" s="22"/>
      <c r="X11" s="22"/>
      <c r="Y11" s="22"/>
    </row>
    <row r="12" spans="1:25" x14ac:dyDescent="0.25">
      <c r="Q12" s="22"/>
      <c r="R12" s="22"/>
      <c r="S12" s="22"/>
      <c r="T12" s="22"/>
      <c r="U12" s="22"/>
      <c r="V12" s="22"/>
      <c r="W12" s="22"/>
      <c r="X12" s="22"/>
      <c r="Y12" s="22"/>
    </row>
    <row r="13" spans="1:25" x14ac:dyDescent="0.25">
      <c r="Q13" s="22"/>
      <c r="R13" s="22"/>
      <c r="S13" s="22"/>
      <c r="T13" s="22"/>
      <c r="U13" s="22"/>
      <c r="V13" s="22"/>
      <c r="W13" s="22"/>
      <c r="X13" s="22"/>
      <c r="Y13" s="22"/>
    </row>
    <row r="14" spans="1:25" x14ac:dyDescent="0.25">
      <c r="Q14" s="22"/>
      <c r="R14" s="22"/>
      <c r="S14" s="22"/>
      <c r="T14" s="22"/>
      <c r="U14" s="22"/>
      <c r="V14" s="22"/>
      <c r="W14" s="22"/>
      <c r="X14" s="22"/>
      <c r="Y14" s="2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topLeftCell="L1" workbookViewId="0">
      <selection activeCell="Q5" sqref="Q5:AA13"/>
    </sheetView>
  </sheetViews>
  <sheetFormatPr defaultColWidth="11" defaultRowHeight="15.75" x14ac:dyDescent="0.25"/>
  <cols>
    <col min="1" max="1" width="12.625" customWidth="1"/>
    <col min="2" max="2" width="10.5" customWidth="1"/>
    <col min="3" max="6" width="8.625" customWidth="1"/>
    <col min="7" max="8" width="10.125" customWidth="1"/>
    <col min="9" max="9" width="11.375" customWidth="1"/>
    <col min="10" max="10" width="11.875" customWidth="1"/>
    <col min="11" max="17" width="8.625" customWidth="1"/>
    <col min="18" max="18" width="9.375" customWidth="1"/>
    <col min="19" max="27" width="8.625" customWidth="1"/>
  </cols>
  <sheetData>
    <row r="1" spans="1:27" x14ac:dyDescent="0.25">
      <c r="A1" t="s">
        <v>100</v>
      </c>
    </row>
    <row r="2" spans="1:27" s="8" customFormat="1" ht="51" x14ac:dyDescent="0.2">
      <c r="A2" s="9" t="s">
        <v>79</v>
      </c>
      <c r="B2" s="9" t="s">
        <v>37</v>
      </c>
      <c r="C2" s="9" t="s">
        <v>50</v>
      </c>
      <c r="D2" s="9" t="s">
        <v>51</v>
      </c>
      <c r="E2" s="9" t="s">
        <v>69</v>
      </c>
      <c r="F2" s="9" t="s">
        <v>68</v>
      </c>
      <c r="G2" s="9" t="s">
        <v>34</v>
      </c>
      <c r="H2" s="9" t="s">
        <v>35</v>
      </c>
      <c r="I2" s="9" t="s">
        <v>41</v>
      </c>
      <c r="J2" s="9" t="s">
        <v>42</v>
      </c>
      <c r="K2" s="9" t="s">
        <v>43</v>
      </c>
      <c r="L2" s="9" t="s">
        <v>44</v>
      </c>
      <c r="M2" s="9" t="s">
        <v>45</v>
      </c>
      <c r="N2" s="9" t="s">
        <v>46</v>
      </c>
      <c r="O2" s="9" t="s">
        <v>16</v>
      </c>
      <c r="P2" s="9" t="s">
        <v>47</v>
      </c>
      <c r="Q2" s="9" t="s">
        <v>48</v>
      </c>
      <c r="R2" s="9" t="s">
        <v>49</v>
      </c>
      <c r="S2" s="9" t="s">
        <v>52</v>
      </c>
      <c r="T2" s="9" t="s">
        <v>2</v>
      </c>
      <c r="U2" s="9" t="s">
        <v>3</v>
      </c>
      <c r="V2" s="9" t="s">
        <v>53</v>
      </c>
      <c r="W2" s="9" t="s">
        <v>5</v>
      </c>
      <c r="X2" s="9" t="s">
        <v>6</v>
      </c>
      <c r="Y2" s="9" t="s">
        <v>54</v>
      </c>
      <c r="Z2" s="9" t="s">
        <v>7</v>
      </c>
      <c r="AA2" s="9" t="s">
        <v>8</v>
      </c>
    </row>
    <row r="3" spans="1:27" ht="24.75" x14ac:dyDescent="0.25">
      <c r="A3" s="10" t="s">
        <v>40</v>
      </c>
      <c r="B3" s="1"/>
      <c r="C3" s="4"/>
      <c r="D3" s="4"/>
      <c r="E3" s="4"/>
      <c r="F3" s="4"/>
      <c r="G3" s="4"/>
      <c r="H3" s="4"/>
      <c r="I3" s="4"/>
      <c r="J3" s="4"/>
      <c r="K3" s="4"/>
      <c r="L3" s="4"/>
      <c r="M3" s="4"/>
      <c r="N3" s="4"/>
      <c r="O3" s="4"/>
      <c r="P3" s="4"/>
    </row>
    <row r="4" spans="1:27" x14ac:dyDescent="0.25">
      <c r="B4" s="2"/>
      <c r="C4" s="3"/>
      <c r="D4" s="3"/>
      <c r="E4" s="3"/>
      <c r="F4" s="3"/>
      <c r="G4" s="3"/>
      <c r="H4" s="3"/>
      <c r="I4" s="3"/>
      <c r="J4" s="3"/>
      <c r="K4" s="3"/>
      <c r="L4" s="3"/>
      <c r="M4" s="3"/>
      <c r="N4" s="3"/>
      <c r="O4" s="3"/>
      <c r="P4" s="3"/>
      <c r="Q4" s="3"/>
      <c r="R4" s="3"/>
      <c r="S4" s="3"/>
      <c r="T4" s="3"/>
      <c r="U4" s="3"/>
      <c r="V4" s="3"/>
    </row>
    <row r="5" spans="1:27" x14ac:dyDescent="0.25">
      <c r="B5" s="2"/>
      <c r="C5" s="3"/>
      <c r="D5" s="3"/>
      <c r="E5" s="3"/>
      <c r="F5" s="3"/>
      <c r="G5" s="3"/>
      <c r="H5" s="3"/>
      <c r="I5" s="3"/>
      <c r="J5" s="3"/>
      <c r="K5" s="3"/>
      <c r="L5" s="3"/>
      <c r="M5" s="3"/>
      <c r="N5" s="3"/>
      <c r="O5" s="3"/>
      <c r="P5" s="3"/>
      <c r="Q5" s="21"/>
      <c r="R5" s="21"/>
      <c r="S5" s="21"/>
      <c r="T5" s="21"/>
      <c r="U5" s="21"/>
      <c r="V5" s="21"/>
      <c r="W5" s="22"/>
      <c r="X5" s="22"/>
      <c r="Y5" s="22"/>
      <c r="Z5" s="22"/>
      <c r="AA5" s="22"/>
    </row>
    <row r="6" spans="1:27" x14ac:dyDescent="0.25">
      <c r="B6" s="2"/>
      <c r="C6" s="3"/>
      <c r="D6" s="3"/>
      <c r="E6" s="3"/>
      <c r="F6" s="3"/>
      <c r="G6" s="3"/>
      <c r="H6" s="3"/>
      <c r="I6" s="3"/>
      <c r="J6" s="3"/>
      <c r="K6" s="3"/>
      <c r="L6" s="3"/>
      <c r="M6" s="3"/>
      <c r="N6" s="3"/>
      <c r="O6" s="3"/>
      <c r="P6" s="3"/>
      <c r="Q6" s="21"/>
      <c r="R6" s="21"/>
      <c r="S6" s="21"/>
      <c r="T6" s="21"/>
      <c r="U6" s="21"/>
      <c r="V6" s="21"/>
      <c r="W6" s="22"/>
      <c r="X6" s="22"/>
      <c r="Y6" s="22"/>
      <c r="Z6" s="22"/>
      <c r="AA6" s="22"/>
    </row>
    <row r="7" spans="1:27" x14ac:dyDescent="0.25">
      <c r="B7" s="2"/>
      <c r="Q7" s="21"/>
      <c r="R7" s="21"/>
      <c r="S7" s="21"/>
      <c r="T7" s="21"/>
      <c r="U7" s="21"/>
      <c r="V7" s="21"/>
      <c r="W7" s="22"/>
      <c r="X7" s="22"/>
      <c r="Y7" s="22"/>
      <c r="Z7" s="22"/>
      <c r="AA7" s="22"/>
    </row>
    <row r="8" spans="1:27" x14ac:dyDescent="0.25">
      <c r="Q8" s="22"/>
      <c r="R8" s="22"/>
      <c r="S8" s="22"/>
      <c r="T8" s="22"/>
      <c r="U8" s="22"/>
      <c r="V8" s="22"/>
      <c r="W8" s="22"/>
      <c r="X8" s="22"/>
      <c r="Y8" s="22"/>
      <c r="Z8" s="22"/>
      <c r="AA8" s="22"/>
    </row>
    <row r="9" spans="1:27" x14ac:dyDescent="0.25">
      <c r="Q9" s="22"/>
      <c r="R9" s="22"/>
      <c r="S9" s="22"/>
      <c r="T9" s="22"/>
      <c r="U9" s="22"/>
      <c r="V9" s="22"/>
      <c r="W9" s="22"/>
      <c r="X9" s="22"/>
      <c r="Y9" s="22"/>
      <c r="Z9" s="22"/>
      <c r="AA9" s="22"/>
    </row>
    <row r="10" spans="1:27" x14ac:dyDescent="0.25">
      <c r="Q10" s="22"/>
      <c r="R10" s="22"/>
      <c r="S10" s="22"/>
      <c r="T10" s="22"/>
      <c r="U10" s="22"/>
      <c r="V10" s="22"/>
      <c r="W10" s="22"/>
      <c r="X10" s="22"/>
      <c r="Y10" s="22"/>
      <c r="Z10" s="22"/>
      <c r="AA10" s="22"/>
    </row>
    <row r="11" spans="1:27" x14ac:dyDescent="0.25">
      <c r="Q11" s="22"/>
      <c r="R11" s="22"/>
      <c r="S11" s="22"/>
      <c r="T11" s="22"/>
      <c r="U11" s="22"/>
      <c r="V11" s="22"/>
      <c r="W11" s="22"/>
      <c r="X11" s="22"/>
      <c r="Y11" s="22"/>
      <c r="Z11" s="22"/>
      <c r="AA11" s="22"/>
    </row>
    <row r="12" spans="1:27" x14ac:dyDescent="0.25">
      <c r="Q12" s="22"/>
      <c r="R12" s="22"/>
      <c r="S12" s="22"/>
      <c r="T12" s="22"/>
      <c r="U12" s="22"/>
      <c r="V12" s="22"/>
      <c r="W12" s="22"/>
      <c r="X12" s="22"/>
      <c r="Y12" s="22"/>
      <c r="Z12" s="22"/>
      <c r="AA12" s="22"/>
    </row>
    <row r="13" spans="1:27" x14ac:dyDescent="0.25">
      <c r="Q13" s="22"/>
      <c r="R13" s="22"/>
      <c r="S13" s="22"/>
      <c r="T13" s="22"/>
      <c r="U13" s="22"/>
      <c r="V13" s="22"/>
      <c r="W13" s="22"/>
      <c r="X13" s="22"/>
      <c r="Y13" s="22"/>
      <c r="Z13" s="22"/>
      <c r="AA13"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3"/>
  <sheetViews>
    <sheetView topLeftCell="J1" workbookViewId="0">
      <selection activeCell="Q5" sqref="Q5:AA13"/>
    </sheetView>
  </sheetViews>
  <sheetFormatPr defaultColWidth="11" defaultRowHeight="15.75" x14ac:dyDescent="0.25"/>
  <cols>
    <col min="1" max="1" width="12.625" customWidth="1"/>
    <col min="2" max="2" width="10.5" customWidth="1"/>
    <col min="3" max="6" width="8.625" customWidth="1"/>
    <col min="7" max="8" width="10.125" customWidth="1"/>
    <col min="9" max="9" width="11.375" customWidth="1"/>
    <col min="10" max="10" width="11.875" customWidth="1"/>
    <col min="11" max="12" width="8.625" customWidth="1"/>
    <col min="13" max="13" width="9.5" customWidth="1"/>
    <col min="14" max="14" width="10.5" customWidth="1"/>
    <col min="15" max="17" width="8.625" customWidth="1"/>
    <col min="18" max="18" width="9.375" customWidth="1"/>
    <col min="19" max="27" width="8.625" customWidth="1"/>
  </cols>
  <sheetData>
    <row r="1" spans="1:27" x14ac:dyDescent="0.25">
      <c r="A1" t="s">
        <v>101</v>
      </c>
    </row>
    <row r="2" spans="1:27" s="8" customFormat="1" ht="51" x14ac:dyDescent="0.2">
      <c r="A2" s="9" t="s">
        <v>79</v>
      </c>
      <c r="B2" s="9" t="s">
        <v>37</v>
      </c>
      <c r="C2" s="9" t="s">
        <v>50</v>
      </c>
      <c r="D2" s="9" t="s">
        <v>51</v>
      </c>
      <c r="E2" s="9" t="s">
        <v>69</v>
      </c>
      <c r="F2" s="9" t="s">
        <v>68</v>
      </c>
      <c r="G2" s="9" t="s">
        <v>34</v>
      </c>
      <c r="H2" s="9" t="s">
        <v>35</v>
      </c>
      <c r="I2" s="9" t="s">
        <v>41</v>
      </c>
      <c r="J2" s="9" t="s">
        <v>42</v>
      </c>
      <c r="K2" s="9" t="s">
        <v>43</v>
      </c>
      <c r="L2" s="9" t="s">
        <v>44</v>
      </c>
      <c r="M2" s="9" t="s">
        <v>66</v>
      </c>
      <c r="N2" s="9" t="s">
        <v>67</v>
      </c>
      <c r="O2" s="9" t="s">
        <v>16</v>
      </c>
      <c r="P2" s="9" t="s">
        <v>47</v>
      </c>
      <c r="Q2" s="9" t="s">
        <v>48</v>
      </c>
      <c r="R2" s="9" t="s">
        <v>49</v>
      </c>
      <c r="S2" s="9" t="s">
        <v>52</v>
      </c>
      <c r="T2" s="9" t="s">
        <v>2</v>
      </c>
      <c r="U2" s="9" t="s">
        <v>3</v>
      </c>
      <c r="V2" s="9" t="s">
        <v>53</v>
      </c>
      <c r="W2" s="9" t="s">
        <v>5</v>
      </c>
      <c r="X2" s="9" t="s">
        <v>6</v>
      </c>
      <c r="Y2" s="9" t="s">
        <v>54</v>
      </c>
      <c r="Z2" s="9" t="s">
        <v>7</v>
      </c>
      <c r="AA2" s="9" t="s">
        <v>8</v>
      </c>
    </row>
    <row r="3" spans="1:27" ht="24.75" x14ac:dyDescent="0.25">
      <c r="A3" s="10" t="s">
        <v>40</v>
      </c>
      <c r="B3" s="1"/>
      <c r="C3" s="4"/>
      <c r="D3" s="4"/>
      <c r="E3" s="4"/>
      <c r="F3" s="4"/>
      <c r="G3" s="4"/>
      <c r="H3" s="4"/>
      <c r="I3" s="4"/>
      <c r="J3" s="4"/>
      <c r="K3" s="4"/>
      <c r="L3" s="4"/>
      <c r="M3" s="4"/>
      <c r="N3" s="4"/>
      <c r="O3" s="4"/>
      <c r="P3" s="4"/>
    </row>
    <row r="4" spans="1:27" x14ac:dyDescent="0.25">
      <c r="B4" s="2"/>
      <c r="C4" s="3"/>
      <c r="D4" s="3"/>
      <c r="E4" s="3"/>
      <c r="F4" s="3"/>
      <c r="G4" s="3"/>
      <c r="H4" s="3"/>
      <c r="I4" s="3"/>
      <c r="J4" s="3"/>
      <c r="K4" s="3"/>
      <c r="L4" s="3"/>
      <c r="M4" s="3"/>
      <c r="N4" s="3"/>
      <c r="O4" s="3"/>
      <c r="P4" s="3"/>
      <c r="Q4" s="3"/>
      <c r="R4" s="3"/>
      <c r="S4" s="3"/>
      <c r="T4" s="3"/>
      <c r="U4" s="3"/>
      <c r="V4" s="3"/>
    </row>
    <row r="5" spans="1:27" x14ac:dyDescent="0.25">
      <c r="B5" s="2"/>
      <c r="C5" s="3"/>
      <c r="D5" s="3"/>
      <c r="E5" s="3"/>
      <c r="F5" s="3"/>
      <c r="G5" s="3"/>
      <c r="H5" s="3"/>
      <c r="I5" s="3"/>
      <c r="J5" s="3"/>
      <c r="K5" s="3"/>
      <c r="L5" s="3"/>
      <c r="M5" s="3"/>
      <c r="N5" s="3"/>
      <c r="O5" s="3"/>
      <c r="P5" s="3"/>
      <c r="Q5" s="21"/>
      <c r="R5" s="21"/>
      <c r="S5" s="21"/>
      <c r="T5" s="21"/>
      <c r="U5" s="21"/>
      <c r="V5" s="21"/>
      <c r="W5" s="22"/>
      <c r="X5" s="22"/>
      <c r="Y5" s="22"/>
      <c r="Z5" s="22"/>
      <c r="AA5" s="22"/>
    </row>
    <row r="6" spans="1:27" x14ac:dyDescent="0.25">
      <c r="B6" s="2"/>
      <c r="C6" s="3"/>
      <c r="D6" s="3"/>
      <c r="E6" s="3"/>
      <c r="F6" s="3"/>
      <c r="G6" s="3"/>
      <c r="H6" s="3"/>
      <c r="I6" s="3"/>
      <c r="J6" s="3"/>
      <c r="K6" s="3"/>
      <c r="L6" s="3"/>
      <c r="M6" s="3"/>
      <c r="N6" s="3"/>
      <c r="O6" s="3"/>
      <c r="P6" s="3"/>
      <c r="Q6" s="21"/>
      <c r="R6" s="21"/>
      <c r="S6" s="21"/>
      <c r="T6" s="21"/>
      <c r="U6" s="21"/>
      <c r="V6" s="21"/>
      <c r="W6" s="22"/>
      <c r="X6" s="22"/>
      <c r="Y6" s="22"/>
      <c r="Z6" s="22"/>
      <c r="AA6" s="22"/>
    </row>
    <row r="7" spans="1:27" x14ac:dyDescent="0.25">
      <c r="B7" s="2"/>
      <c r="Q7" s="21"/>
      <c r="R7" s="21"/>
      <c r="S7" s="21"/>
      <c r="T7" s="21"/>
      <c r="U7" s="21"/>
      <c r="V7" s="21"/>
      <c r="W7" s="22"/>
      <c r="X7" s="22"/>
      <c r="Y7" s="22"/>
      <c r="Z7" s="22"/>
      <c r="AA7" s="22"/>
    </row>
    <row r="8" spans="1:27" x14ac:dyDescent="0.25">
      <c r="Q8" s="22"/>
      <c r="R8" s="22"/>
      <c r="S8" s="22"/>
      <c r="T8" s="22"/>
      <c r="U8" s="22"/>
      <c r="V8" s="22"/>
      <c r="W8" s="22"/>
      <c r="X8" s="22"/>
      <c r="Y8" s="22"/>
      <c r="Z8" s="22"/>
      <c r="AA8" s="22"/>
    </row>
    <row r="9" spans="1:27" x14ac:dyDescent="0.25">
      <c r="Q9" s="22"/>
      <c r="R9" s="22"/>
      <c r="S9" s="22"/>
      <c r="T9" s="22"/>
      <c r="U9" s="22"/>
      <c r="V9" s="22"/>
      <c r="W9" s="22"/>
      <c r="X9" s="22"/>
      <c r="Y9" s="22"/>
      <c r="Z9" s="22"/>
      <c r="AA9" s="22"/>
    </row>
    <row r="10" spans="1:27" x14ac:dyDescent="0.25">
      <c r="Q10" s="22"/>
      <c r="R10" s="22"/>
      <c r="S10" s="22"/>
      <c r="T10" s="22"/>
      <c r="U10" s="22"/>
      <c r="V10" s="22"/>
      <c r="W10" s="22"/>
      <c r="X10" s="22"/>
      <c r="Y10" s="22"/>
      <c r="Z10" s="22"/>
      <c r="AA10" s="22"/>
    </row>
    <row r="11" spans="1:27" x14ac:dyDescent="0.25">
      <c r="Q11" s="22"/>
      <c r="R11" s="22"/>
      <c r="S11" s="22"/>
      <c r="T11" s="22"/>
      <c r="U11" s="22"/>
      <c r="V11" s="22"/>
      <c r="W11" s="22"/>
      <c r="X11" s="22"/>
      <c r="Y11" s="22"/>
      <c r="Z11" s="22"/>
      <c r="AA11" s="22"/>
    </row>
    <row r="12" spans="1:27" x14ac:dyDescent="0.25">
      <c r="Q12" s="22"/>
      <c r="R12" s="22"/>
      <c r="S12" s="22"/>
      <c r="T12" s="22"/>
      <c r="U12" s="22"/>
      <c r="V12" s="22"/>
      <c r="W12" s="22"/>
      <c r="X12" s="22"/>
      <c r="Y12" s="22"/>
      <c r="Z12" s="22"/>
      <c r="AA12" s="22"/>
    </row>
    <row r="13" spans="1:27" x14ac:dyDescent="0.25">
      <c r="Q13" s="22"/>
      <c r="R13" s="22"/>
      <c r="S13" s="22"/>
      <c r="T13" s="22"/>
      <c r="U13" s="22"/>
      <c r="V13" s="22"/>
      <c r="W13" s="22"/>
      <c r="X13" s="22"/>
      <c r="Y13" s="22"/>
      <c r="Z13" s="22"/>
      <c r="AA13" s="2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
  <sheetViews>
    <sheetView topLeftCell="I1" workbookViewId="0">
      <selection activeCell="X6" sqref="X6"/>
    </sheetView>
  </sheetViews>
  <sheetFormatPr defaultColWidth="11" defaultRowHeight="15.75" x14ac:dyDescent="0.25"/>
  <cols>
    <col min="1" max="1" width="12.625" customWidth="1"/>
    <col min="2" max="3" width="18.5" customWidth="1"/>
    <col min="4" max="4" width="10.5" customWidth="1"/>
    <col min="5" max="6" width="8.625" customWidth="1"/>
    <col min="7" max="8" width="10.125" customWidth="1"/>
    <col min="9" max="9" width="11.375" customWidth="1"/>
    <col min="10" max="10" width="11.875" customWidth="1"/>
    <col min="11" max="17" width="8.625" customWidth="1"/>
    <col min="18" max="18" width="9.375" customWidth="1"/>
    <col min="19" max="31" width="8.625" customWidth="1"/>
  </cols>
  <sheetData>
    <row r="1" spans="1:31" x14ac:dyDescent="0.25">
      <c r="A1" t="s">
        <v>75</v>
      </c>
    </row>
    <row r="2" spans="1:31" s="8" customFormat="1" ht="51" x14ac:dyDescent="0.2">
      <c r="A2" s="9" t="s">
        <v>79</v>
      </c>
      <c r="B2" s="9" t="s">
        <v>38</v>
      </c>
      <c r="C2" s="9" t="s">
        <v>102</v>
      </c>
      <c r="D2" s="9" t="s">
        <v>37</v>
      </c>
      <c r="E2" s="9" t="s">
        <v>50</v>
      </c>
      <c r="F2" s="9" t="s">
        <v>51</v>
      </c>
      <c r="G2" s="9" t="s">
        <v>34</v>
      </c>
      <c r="H2" s="9" t="s">
        <v>35</v>
      </c>
      <c r="I2" s="9" t="s">
        <v>41</v>
      </c>
      <c r="J2" s="9" t="s">
        <v>42</v>
      </c>
      <c r="K2" s="9" t="s">
        <v>43</v>
      </c>
      <c r="L2" s="9" t="s">
        <v>44</v>
      </c>
      <c r="M2" s="9" t="s">
        <v>45</v>
      </c>
      <c r="N2" s="9" t="s">
        <v>46</v>
      </c>
      <c r="O2" s="9" t="s">
        <v>16</v>
      </c>
      <c r="P2" s="9" t="s">
        <v>47</v>
      </c>
      <c r="Q2" s="9" t="s">
        <v>48</v>
      </c>
      <c r="R2" s="9" t="s">
        <v>49</v>
      </c>
      <c r="S2" s="9" t="s">
        <v>52</v>
      </c>
      <c r="T2" s="9" t="s">
        <v>2</v>
      </c>
      <c r="U2" s="9" t="s">
        <v>3</v>
      </c>
      <c r="V2" s="9" t="s">
        <v>53</v>
      </c>
      <c r="W2" s="9" t="s">
        <v>5</v>
      </c>
      <c r="X2" s="9" t="s">
        <v>6</v>
      </c>
      <c r="Y2" s="9" t="s">
        <v>23</v>
      </c>
      <c r="Z2" s="9" t="s">
        <v>24</v>
      </c>
      <c r="AA2" s="9" t="s">
        <v>54</v>
      </c>
      <c r="AB2" s="9" t="s">
        <v>7</v>
      </c>
      <c r="AC2" s="9" t="s">
        <v>8</v>
      </c>
      <c r="AD2" s="9" t="s">
        <v>25</v>
      </c>
      <c r="AE2" s="9" t="s">
        <v>26</v>
      </c>
    </row>
    <row r="3" spans="1:31" ht="24.75" x14ac:dyDescent="0.25">
      <c r="A3" s="10" t="s">
        <v>40</v>
      </c>
      <c r="B3" s="11" t="s">
        <v>39</v>
      </c>
      <c r="C3" s="11" t="s">
        <v>103</v>
      </c>
      <c r="D3" s="1"/>
      <c r="E3" s="4"/>
      <c r="F3" s="4"/>
      <c r="G3" s="4"/>
      <c r="H3" s="4"/>
      <c r="I3" s="4"/>
      <c r="J3" s="4"/>
      <c r="K3" s="4"/>
      <c r="L3" s="4"/>
      <c r="M3" s="4"/>
      <c r="N3" s="4"/>
      <c r="O3" s="4"/>
      <c r="P3" s="4"/>
    </row>
    <row r="4" spans="1:31" x14ac:dyDescent="0.25">
      <c r="B4" s="2"/>
      <c r="C4" s="2"/>
      <c r="D4" s="2"/>
      <c r="E4" s="3"/>
      <c r="F4" s="3"/>
      <c r="G4" s="3"/>
      <c r="H4" s="3"/>
      <c r="I4" s="3"/>
      <c r="J4" s="3"/>
      <c r="K4" s="3"/>
      <c r="L4" s="3"/>
      <c r="M4" s="3"/>
      <c r="N4" s="3"/>
      <c r="O4" s="3"/>
      <c r="P4" s="3"/>
      <c r="Q4" s="3"/>
      <c r="R4" s="3"/>
      <c r="S4" s="3"/>
      <c r="T4" s="3"/>
      <c r="U4" s="3"/>
      <c r="V4" s="3"/>
    </row>
    <row r="5" spans="1:31" x14ac:dyDescent="0.25">
      <c r="B5" s="2"/>
      <c r="C5" s="2"/>
      <c r="D5" s="2"/>
      <c r="E5" s="3"/>
      <c r="F5" s="3"/>
      <c r="G5" s="3"/>
      <c r="H5" s="3"/>
      <c r="I5" s="3"/>
      <c r="J5" s="3"/>
      <c r="K5" s="3"/>
      <c r="L5" s="3"/>
      <c r="M5" s="3"/>
      <c r="N5" s="3"/>
      <c r="O5" s="3"/>
      <c r="P5" s="21"/>
      <c r="Q5" s="21"/>
      <c r="R5" s="21"/>
      <c r="S5" s="21"/>
      <c r="T5" s="21"/>
      <c r="U5" s="21"/>
      <c r="V5" s="21"/>
    </row>
    <row r="6" spans="1:31" x14ac:dyDescent="0.25">
      <c r="B6" s="2"/>
      <c r="C6" s="2"/>
      <c r="D6" s="2"/>
      <c r="E6" s="3"/>
      <c r="F6" s="3"/>
      <c r="G6" s="3"/>
      <c r="H6" s="3"/>
      <c r="I6" s="3"/>
      <c r="J6" s="3"/>
      <c r="K6" s="3"/>
      <c r="L6" s="3"/>
      <c r="M6" s="3"/>
      <c r="N6" s="3"/>
      <c r="O6" s="3"/>
      <c r="P6" s="3"/>
      <c r="Q6" s="21"/>
      <c r="R6" s="21"/>
      <c r="S6" s="21"/>
      <c r="T6" s="21"/>
      <c r="U6" s="21"/>
      <c r="V6" s="21"/>
      <c r="W6" s="22"/>
      <c r="X6" s="22"/>
    </row>
    <row r="7" spans="1:31" x14ac:dyDescent="0.25">
      <c r="B7" s="2"/>
      <c r="C7" s="2"/>
      <c r="D7" s="2"/>
      <c r="Q7" s="21"/>
      <c r="R7" s="21"/>
      <c r="S7" s="21"/>
      <c r="T7" s="21"/>
      <c r="U7" s="21"/>
      <c r="V7" s="21"/>
      <c r="W7" s="22"/>
      <c r="X7" s="22"/>
    </row>
  </sheetData>
  <pageMargins left="0.75" right="0.75" top="1" bottom="1" header="0.5" footer="0.5"/>
  <pageSetup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8"/>
  <sheetViews>
    <sheetView topLeftCell="L1" workbookViewId="0">
      <selection activeCell="W8" sqref="W8"/>
    </sheetView>
  </sheetViews>
  <sheetFormatPr defaultColWidth="11" defaultRowHeight="15.75" x14ac:dyDescent="0.25"/>
  <cols>
    <col min="1" max="1" width="12.625" customWidth="1"/>
    <col min="2" max="3" width="18.5" customWidth="1"/>
    <col min="4" max="4" width="10.5" customWidth="1"/>
    <col min="5" max="6" width="8.625" customWidth="1"/>
    <col min="7" max="8" width="10.125" customWidth="1"/>
    <col min="9" max="9" width="11.375" customWidth="1"/>
    <col min="10" max="10" width="11.875" customWidth="1"/>
    <col min="11" max="17" width="8.625" customWidth="1"/>
    <col min="18" max="18" width="9.375" customWidth="1"/>
    <col min="19" max="31" width="8.625" customWidth="1"/>
  </cols>
  <sheetData>
    <row r="1" spans="1:31" x14ac:dyDescent="0.25">
      <c r="A1" t="s">
        <v>76</v>
      </c>
    </row>
    <row r="2" spans="1:31" s="8" customFormat="1" ht="51" x14ac:dyDescent="0.2">
      <c r="A2" s="9" t="s">
        <v>79</v>
      </c>
      <c r="B2" s="9" t="s">
        <v>38</v>
      </c>
      <c r="C2" s="9" t="s">
        <v>102</v>
      </c>
      <c r="D2" s="9" t="s">
        <v>37</v>
      </c>
      <c r="E2" s="9" t="s">
        <v>50</v>
      </c>
      <c r="F2" s="9" t="s">
        <v>51</v>
      </c>
      <c r="G2" s="9" t="s">
        <v>34</v>
      </c>
      <c r="H2" s="9" t="s">
        <v>35</v>
      </c>
      <c r="I2" s="9" t="s">
        <v>41</v>
      </c>
      <c r="J2" s="9" t="s">
        <v>42</v>
      </c>
      <c r="K2" s="9" t="s">
        <v>43</v>
      </c>
      <c r="L2" s="9" t="s">
        <v>44</v>
      </c>
      <c r="M2" s="9" t="s">
        <v>45</v>
      </c>
      <c r="N2" s="9" t="s">
        <v>46</v>
      </c>
      <c r="O2" s="9" t="s">
        <v>16</v>
      </c>
      <c r="P2" s="9" t="s">
        <v>47</v>
      </c>
      <c r="Q2" s="9" t="s">
        <v>48</v>
      </c>
      <c r="R2" s="9" t="s">
        <v>49</v>
      </c>
      <c r="S2" s="9" t="s">
        <v>52</v>
      </c>
      <c r="T2" s="9" t="s">
        <v>2</v>
      </c>
      <c r="U2" s="9" t="s">
        <v>3</v>
      </c>
      <c r="V2" s="9" t="s">
        <v>53</v>
      </c>
      <c r="W2" s="9" t="s">
        <v>5</v>
      </c>
      <c r="X2" s="9" t="s">
        <v>6</v>
      </c>
      <c r="Y2" s="9" t="s">
        <v>23</v>
      </c>
      <c r="Z2" s="9" t="s">
        <v>24</v>
      </c>
      <c r="AA2" s="9" t="s">
        <v>54</v>
      </c>
      <c r="AB2" s="9" t="s">
        <v>7</v>
      </c>
      <c r="AC2" s="9" t="s">
        <v>8</v>
      </c>
      <c r="AD2" s="9" t="s">
        <v>25</v>
      </c>
      <c r="AE2" s="9" t="s">
        <v>26</v>
      </c>
    </row>
    <row r="3" spans="1:31" ht="24.75" x14ac:dyDescent="0.25">
      <c r="A3" s="10" t="s">
        <v>40</v>
      </c>
      <c r="B3" s="11" t="s">
        <v>39</v>
      </c>
      <c r="C3" s="11" t="s">
        <v>103</v>
      </c>
      <c r="D3" s="1"/>
      <c r="E3" s="4"/>
      <c r="F3" s="4"/>
      <c r="G3" s="4"/>
      <c r="H3" s="4"/>
      <c r="I3" s="4"/>
      <c r="J3" s="4"/>
      <c r="K3" s="4"/>
      <c r="L3" s="4"/>
      <c r="M3" s="4"/>
      <c r="N3" s="4"/>
      <c r="O3" s="4"/>
      <c r="P3" s="4"/>
    </row>
    <row r="4" spans="1:31" x14ac:dyDescent="0.25">
      <c r="B4" s="2"/>
      <c r="C4" s="2"/>
      <c r="D4" s="2"/>
      <c r="E4" s="3"/>
      <c r="F4" s="3"/>
      <c r="G4" s="3"/>
      <c r="H4" s="3"/>
      <c r="I4" s="3"/>
      <c r="J4" s="3"/>
      <c r="K4" s="3"/>
      <c r="L4" s="3"/>
      <c r="M4" s="3"/>
      <c r="N4" s="3"/>
      <c r="O4" s="3"/>
      <c r="P4" s="3"/>
      <c r="Q4" s="3"/>
      <c r="R4" s="3"/>
      <c r="S4" s="3"/>
      <c r="T4" s="3"/>
      <c r="U4" s="3"/>
      <c r="V4" s="3"/>
    </row>
    <row r="5" spans="1:31" x14ac:dyDescent="0.25">
      <c r="B5" s="2"/>
      <c r="C5" s="2"/>
      <c r="D5" s="2"/>
      <c r="E5" s="3"/>
      <c r="F5" s="3"/>
      <c r="G5" s="3"/>
      <c r="H5" s="3"/>
      <c r="I5" s="3"/>
      <c r="J5" s="3"/>
      <c r="K5" s="3"/>
      <c r="L5" s="3"/>
      <c r="M5" s="3"/>
      <c r="N5" s="3"/>
      <c r="O5" s="3"/>
      <c r="P5" s="3"/>
      <c r="Q5" s="21"/>
      <c r="R5" s="21"/>
      <c r="S5" s="21"/>
      <c r="T5" s="21"/>
      <c r="U5" s="21"/>
      <c r="V5" s="21"/>
      <c r="W5" s="22"/>
      <c r="X5" s="22"/>
      <c r="Y5" s="22"/>
    </row>
    <row r="6" spans="1:31" x14ac:dyDescent="0.25">
      <c r="B6" s="2"/>
      <c r="C6" s="2"/>
      <c r="D6" s="2"/>
      <c r="E6" s="3"/>
      <c r="F6" s="3"/>
      <c r="G6" s="3"/>
      <c r="H6" s="3"/>
      <c r="I6" s="3"/>
      <c r="J6" s="3"/>
      <c r="K6" s="3"/>
      <c r="L6" s="3"/>
      <c r="M6" s="3"/>
      <c r="N6" s="3"/>
      <c r="O6" s="3"/>
      <c r="P6" s="3"/>
      <c r="Q6" s="21"/>
      <c r="R6" s="21"/>
      <c r="S6" s="21"/>
      <c r="T6" s="21"/>
      <c r="U6" s="21"/>
      <c r="V6" s="21"/>
      <c r="W6" s="22"/>
      <c r="X6" s="22"/>
      <c r="Y6" s="22"/>
    </row>
    <row r="7" spans="1:31" x14ac:dyDescent="0.25">
      <c r="B7" s="2"/>
      <c r="C7" s="2"/>
      <c r="D7" s="2"/>
      <c r="Q7" s="21"/>
      <c r="R7" s="21"/>
      <c r="S7" s="21"/>
      <c r="T7" s="21"/>
      <c r="U7" s="21"/>
      <c r="V7" s="21"/>
      <c r="W7" s="22"/>
      <c r="X7" s="22"/>
      <c r="Y7" s="22"/>
    </row>
    <row r="8" spans="1:31" x14ac:dyDescent="0.25">
      <c r="Q8" s="22"/>
      <c r="R8" s="22"/>
      <c r="S8" s="22"/>
      <c r="T8" s="22"/>
      <c r="U8" s="22"/>
      <c r="V8" s="22"/>
      <c r="W8" s="22"/>
      <c r="X8" s="22"/>
      <c r="Y8" s="2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
  <sheetViews>
    <sheetView topLeftCell="K1" workbookViewId="0">
      <selection activeCell="Z12" sqref="Z12"/>
    </sheetView>
  </sheetViews>
  <sheetFormatPr defaultColWidth="11" defaultRowHeight="15.75" x14ac:dyDescent="0.25"/>
  <cols>
    <col min="1" max="1" width="12.625" customWidth="1"/>
    <col min="2" max="3" width="18.5" customWidth="1"/>
    <col min="4" max="4" width="10.5" customWidth="1"/>
    <col min="5" max="6" width="8.625" customWidth="1"/>
    <col min="7" max="8" width="10.125" customWidth="1"/>
    <col min="9" max="9" width="11.375" customWidth="1"/>
    <col min="10" max="10" width="11.875" customWidth="1"/>
    <col min="11" max="17" width="8.625" customWidth="1"/>
    <col min="18" max="18" width="9.375" customWidth="1"/>
    <col min="19" max="29" width="8.625" customWidth="1"/>
  </cols>
  <sheetData>
    <row r="1" spans="1:29" x14ac:dyDescent="0.25">
      <c r="A1" t="s">
        <v>77</v>
      </c>
    </row>
    <row r="2" spans="1:29" s="8" customFormat="1" ht="51" x14ac:dyDescent="0.2">
      <c r="A2" s="9" t="s">
        <v>79</v>
      </c>
      <c r="B2" s="9" t="s">
        <v>38</v>
      </c>
      <c r="C2" s="9" t="s">
        <v>102</v>
      </c>
      <c r="D2" s="9" t="s">
        <v>37</v>
      </c>
      <c r="E2" s="9" t="s">
        <v>50</v>
      </c>
      <c r="F2" s="9" t="s">
        <v>51</v>
      </c>
      <c r="G2" s="9" t="s">
        <v>69</v>
      </c>
      <c r="H2" s="9" t="s">
        <v>68</v>
      </c>
      <c r="I2" s="9" t="s">
        <v>34</v>
      </c>
      <c r="J2" s="9" t="s">
        <v>35</v>
      </c>
      <c r="K2" s="9" t="s">
        <v>41</v>
      </c>
      <c r="L2" s="9" t="s">
        <v>42</v>
      </c>
      <c r="M2" s="9" t="s">
        <v>43</v>
      </c>
      <c r="N2" s="9" t="s">
        <v>44</v>
      </c>
      <c r="O2" s="9" t="s">
        <v>45</v>
      </c>
      <c r="P2" s="9" t="s">
        <v>46</v>
      </c>
      <c r="Q2" s="9" t="s">
        <v>16</v>
      </c>
      <c r="R2" s="9" t="s">
        <v>47</v>
      </c>
      <c r="S2" s="9" t="s">
        <v>48</v>
      </c>
      <c r="T2" s="9" t="s">
        <v>49</v>
      </c>
      <c r="U2" s="9" t="s">
        <v>52</v>
      </c>
      <c r="V2" s="9" t="s">
        <v>2</v>
      </c>
      <c r="W2" s="9" t="s">
        <v>3</v>
      </c>
      <c r="X2" s="9" t="s">
        <v>53</v>
      </c>
      <c r="Y2" s="9" t="s">
        <v>5</v>
      </c>
      <c r="Z2" s="9" t="s">
        <v>6</v>
      </c>
      <c r="AA2" s="9" t="s">
        <v>54</v>
      </c>
      <c r="AB2" s="9" t="s">
        <v>7</v>
      </c>
      <c r="AC2" s="9" t="s">
        <v>8</v>
      </c>
    </row>
    <row r="3" spans="1:29" ht="24.75" x14ac:dyDescent="0.25">
      <c r="A3" s="10" t="s">
        <v>40</v>
      </c>
      <c r="B3" s="11" t="s">
        <v>39</v>
      </c>
      <c r="C3" s="11" t="s">
        <v>103</v>
      </c>
      <c r="D3" s="1"/>
      <c r="E3" s="4"/>
      <c r="F3" s="4"/>
      <c r="G3" s="4"/>
      <c r="H3" s="4"/>
      <c r="I3" s="4"/>
      <c r="J3" s="4"/>
      <c r="K3" s="4"/>
      <c r="L3" s="4"/>
      <c r="M3" s="4"/>
      <c r="N3" s="4"/>
      <c r="O3" s="4"/>
      <c r="P3" s="4"/>
    </row>
    <row r="4" spans="1:29" x14ac:dyDescent="0.25">
      <c r="B4" s="2"/>
      <c r="C4" s="2"/>
      <c r="D4" s="2"/>
      <c r="E4" s="3"/>
      <c r="F4" s="3"/>
      <c r="G4" s="3"/>
      <c r="H4" s="3"/>
      <c r="I4" s="3"/>
      <c r="J4" s="3"/>
      <c r="K4" s="3"/>
      <c r="L4" s="3"/>
      <c r="M4" s="3"/>
      <c r="N4" s="3"/>
      <c r="O4" s="3"/>
      <c r="P4" s="3"/>
      <c r="Q4" s="3"/>
      <c r="R4" s="3"/>
      <c r="S4" s="3"/>
      <c r="T4" s="3"/>
      <c r="U4" s="3"/>
      <c r="V4" s="3"/>
    </row>
    <row r="5" spans="1:29" x14ac:dyDescent="0.25">
      <c r="B5" s="2"/>
      <c r="C5" s="2"/>
      <c r="D5" s="2"/>
      <c r="E5" s="3"/>
      <c r="F5" s="3"/>
      <c r="G5" s="3"/>
      <c r="H5" s="3"/>
      <c r="I5" s="3"/>
      <c r="J5" s="3"/>
      <c r="K5" s="3"/>
      <c r="L5" s="3"/>
      <c r="M5" s="3"/>
      <c r="N5" s="3"/>
      <c r="O5" s="3"/>
      <c r="P5" s="3"/>
      <c r="Q5" s="21"/>
      <c r="R5" s="21"/>
      <c r="S5" s="21"/>
      <c r="T5" s="21"/>
      <c r="U5" s="21"/>
      <c r="V5" s="21"/>
      <c r="W5" s="22"/>
      <c r="X5" s="22"/>
      <c r="Y5" s="22"/>
      <c r="Z5" s="22"/>
      <c r="AA5" s="22"/>
      <c r="AB5" s="22"/>
    </row>
    <row r="6" spans="1:29" x14ac:dyDescent="0.25">
      <c r="B6" s="2"/>
      <c r="C6" s="2"/>
      <c r="D6" s="2"/>
      <c r="E6" s="3"/>
      <c r="F6" s="3"/>
      <c r="G6" s="3"/>
      <c r="H6" s="3"/>
      <c r="I6" s="3"/>
      <c r="J6" s="3"/>
      <c r="K6" s="3"/>
      <c r="L6" s="3"/>
      <c r="M6" s="3"/>
      <c r="N6" s="3"/>
      <c r="O6" s="3"/>
      <c r="P6" s="3"/>
      <c r="Q6" s="21"/>
      <c r="R6" s="21"/>
      <c r="S6" s="21"/>
      <c r="T6" s="21"/>
      <c r="U6" s="21"/>
      <c r="V6" s="21"/>
      <c r="W6" s="22"/>
      <c r="X6" s="22"/>
      <c r="Y6" s="22"/>
      <c r="Z6" s="22"/>
      <c r="AA6" s="22"/>
      <c r="AB6" s="22"/>
    </row>
    <row r="7" spans="1:29" x14ac:dyDescent="0.25">
      <c r="B7" s="2"/>
      <c r="C7" s="2"/>
      <c r="D7" s="2"/>
      <c r="Q7" s="21"/>
      <c r="R7" s="21"/>
      <c r="S7" s="21"/>
      <c r="T7" s="21"/>
      <c r="U7" s="21"/>
      <c r="V7" s="21"/>
      <c r="W7" s="22"/>
      <c r="X7" s="22"/>
      <c r="Y7" s="22"/>
      <c r="Z7" s="22"/>
      <c r="AA7" s="22"/>
      <c r="AB7" s="22"/>
    </row>
    <row r="8" spans="1:29" x14ac:dyDescent="0.25">
      <c r="Q8" s="22"/>
      <c r="R8" s="22"/>
      <c r="S8" s="22"/>
      <c r="T8" s="22"/>
      <c r="U8" s="22"/>
      <c r="V8" s="22"/>
      <c r="W8" s="22"/>
      <c r="X8" s="22"/>
      <c r="Y8" s="22"/>
      <c r="Z8" s="22"/>
      <c r="AA8" s="22"/>
      <c r="AB8" s="22"/>
    </row>
    <row r="9" spans="1:29" x14ac:dyDescent="0.25">
      <c r="Q9" s="22"/>
      <c r="R9" s="22"/>
      <c r="S9" s="22"/>
      <c r="T9" s="22"/>
      <c r="U9" s="22"/>
      <c r="V9" s="22"/>
      <c r="W9" s="22"/>
      <c r="X9" s="22"/>
      <c r="Y9" s="22"/>
      <c r="Z9" s="22"/>
      <c r="AA9" s="22"/>
      <c r="AB9" s="22"/>
    </row>
    <row r="10" spans="1:29" x14ac:dyDescent="0.25">
      <c r="Q10" s="22"/>
      <c r="R10" s="22"/>
      <c r="S10" s="22"/>
      <c r="T10" s="22"/>
      <c r="U10" s="22"/>
      <c r="V10" s="22"/>
      <c r="W10" s="22"/>
      <c r="X10" s="22"/>
      <c r="Y10" s="22"/>
      <c r="Z10" s="22"/>
      <c r="AA10" s="22"/>
      <c r="AB10" s="2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5"/>
  <sheetViews>
    <sheetView topLeftCell="M1" workbookViewId="0">
      <selection activeCell="U13" sqref="U13"/>
    </sheetView>
  </sheetViews>
  <sheetFormatPr defaultColWidth="11" defaultRowHeight="15.75" x14ac:dyDescent="0.25"/>
  <cols>
    <col min="1" max="1" width="12.625" customWidth="1"/>
    <col min="2" max="3" width="18.5" customWidth="1"/>
    <col min="4" max="4" width="10.5" customWidth="1"/>
    <col min="5" max="6" width="8.625" customWidth="1"/>
    <col min="7" max="8" width="10.125" customWidth="1"/>
    <col min="9" max="9" width="11.375" customWidth="1"/>
    <col min="10" max="10" width="11.875" customWidth="1"/>
    <col min="11" max="17" width="8.625" customWidth="1"/>
    <col min="18" max="18" width="9.375" customWidth="1"/>
    <col min="19" max="29" width="8.625" customWidth="1"/>
  </cols>
  <sheetData>
    <row r="1" spans="1:29" x14ac:dyDescent="0.25">
      <c r="A1" t="s">
        <v>78</v>
      </c>
    </row>
    <row r="2" spans="1:29" s="8" customFormat="1" ht="76.5" x14ac:dyDescent="0.2">
      <c r="A2" s="9" t="s">
        <v>79</v>
      </c>
      <c r="B2" s="9" t="s">
        <v>38</v>
      </c>
      <c r="C2" s="9" t="s">
        <v>102</v>
      </c>
      <c r="D2" s="9" t="s">
        <v>37</v>
      </c>
      <c r="E2" s="9" t="s">
        <v>50</v>
      </c>
      <c r="F2" s="9" t="s">
        <v>51</v>
      </c>
      <c r="G2" s="9" t="s">
        <v>69</v>
      </c>
      <c r="H2" s="9" t="s">
        <v>68</v>
      </c>
      <c r="I2" s="9" t="s">
        <v>34</v>
      </c>
      <c r="J2" s="9" t="s">
        <v>35</v>
      </c>
      <c r="K2" s="9" t="s">
        <v>41</v>
      </c>
      <c r="L2" s="9" t="s">
        <v>42</v>
      </c>
      <c r="M2" s="9" t="s">
        <v>43</v>
      </c>
      <c r="N2" s="9" t="s">
        <v>44</v>
      </c>
      <c r="O2" s="9" t="s">
        <v>66</v>
      </c>
      <c r="P2" s="9" t="s">
        <v>67</v>
      </c>
      <c r="Q2" s="9" t="s">
        <v>16</v>
      </c>
      <c r="R2" s="9" t="s">
        <v>47</v>
      </c>
      <c r="S2" s="9" t="s">
        <v>48</v>
      </c>
      <c r="T2" s="9" t="s">
        <v>49</v>
      </c>
      <c r="U2" s="9" t="s">
        <v>52</v>
      </c>
      <c r="V2" s="9" t="s">
        <v>2</v>
      </c>
      <c r="W2" s="9" t="s">
        <v>3</v>
      </c>
      <c r="X2" s="9" t="s">
        <v>53</v>
      </c>
      <c r="Y2" s="9" t="s">
        <v>5</v>
      </c>
      <c r="Z2" s="9" t="s">
        <v>6</v>
      </c>
      <c r="AA2" s="9" t="s">
        <v>54</v>
      </c>
      <c r="AB2" s="9" t="s">
        <v>7</v>
      </c>
      <c r="AC2" s="9" t="s">
        <v>8</v>
      </c>
    </row>
    <row r="3" spans="1:29" ht="24.75" x14ac:dyDescent="0.25">
      <c r="A3" s="10" t="s">
        <v>40</v>
      </c>
      <c r="B3" s="11" t="s">
        <v>39</v>
      </c>
      <c r="C3" s="11" t="s">
        <v>103</v>
      </c>
      <c r="D3" s="1"/>
      <c r="E3" s="4"/>
      <c r="F3" s="4"/>
      <c r="G3" s="4"/>
      <c r="H3" s="4"/>
      <c r="I3" s="4"/>
      <c r="J3" s="4"/>
      <c r="K3" s="4"/>
      <c r="L3" s="4"/>
      <c r="M3" s="4"/>
      <c r="N3" s="4"/>
      <c r="O3" s="4"/>
      <c r="P3" s="4"/>
    </row>
    <row r="4" spans="1:29" x14ac:dyDescent="0.25">
      <c r="B4" s="2"/>
      <c r="C4" s="2"/>
      <c r="D4" s="2"/>
      <c r="E4" s="3"/>
      <c r="F4" s="3"/>
      <c r="G4" s="3"/>
      <c r="H4" s="3"/>
      <c r="I4" s="3"/>
      <c r="J4" s="3"/>
      <c r="K4" s="3"/>
      <c r="L4" s="3"/>
      <c r="M4" s="3"/>
      <c r="N4" s="3"/>
      <c r="O4" s="3"/>
      <c r="P4" s="3"/>
      <c r="Q4" s="3"/>
      <c r="R4" s="3"/>
      <c r="S4" s="3"/>
      <c r="T4" s="3"/>
      <c r="U4" s="3"/>
      <c r="V4" s="3"/>
    </row>
    <row r="5" spans="1:29" x14ac:dyDescent="0.25">
      <c r="B5" s="2"/>
      <c r="C5" s="2"/>
      <c r="D5" s="2"/>
      <c r="E5" s="3"/>
      <c r="F5" s="3"/>
      <c r="G5" s="3"/>
      <c r="H5" s="3"/>
      <c r="I5" s="3"/>
      <c r="J5" s="3"/>
      <c r="K5" s="3"/>
      <c r="L5" s="3"/>
      <c r="M5" s="3"/>
      <c r="N5" s="3"/>
      <c r="O5" s="3"/>
      <c r="P5" s="3"/>
      <c r="Q5" s="21"/>
      <c r="R5" s="21"/>
      <c r="S5" s="21"/>
      <c r="T5" s="21"/>
      <c r="U5" s="21"/>
      <c r="V5" s="21"/>
      <c r="W5" s="22"/>
      <c r="X5" s="22"/>
      <c r="Y5" s="22"/>
      <c r="Z5" s="22"/>
      <c r="AA5" s="22"/>
      <c r="AB5" s="22"/>
    </row>
    <row r="6" spans="1:29" x14ac:dyDescent="0.25">
      <c r="B6" s="2"/>
      <c r="C6" s="2"/>
      <c r="D6" s="2"/>
      <c r="E6" s="3"/>
      <c r="F6" s="3"/>
      <c r="G6" s="3"/>
      <c r="H6" s="3"/>
      <c r="I6" s="3"/>
      <c r="J6" s="3"/>
      <c r="K6" s="3"/>
      <c r="L6" s="3"/>
      <c r="M6" s="3"/>
      <c r="N6" s="3"/>
      <c r="O6" s="3"/>
      <c r="P6" s="3"/>
      <c r="Q6" s="21"/>
      <c r="R6" s="21"/>
      <c r="S6" s="21"/>
      <c r="T6" s="21"/>
      <c r="U6" s="21"/>
      <c r="V6" s="21"/>
      <c r="W6" s="22"/>
      <c r="X6" s="22"/>
      <c r="Y6" s="22"/>
      <c r="Z6" s="22"/>
      <c r="AA6" s="22"/>
      <c r="AB6" s="22"/>
    </row>
    <row r="7" spans="1:29" x14ac:dyDescent="0.25">
      <c r="B7" s="2"/>
      <c r="C7" s="2"/>
      <c r="D7" s="2"/>
      <c r="Q7" s="21"/>
      <c r="R7" s="21"/>
      <c r="S7" s="21"/>
      <c r="T7" s="21"/>
      <c r="U7" s="21"/>
      <c r="V7" s="21"/>
      <c r="W7" s="22"/>
      <c r="X7" s="22"/>
      <c r="Y7" s="22"/>
      <c r="Z7" s="22"/>
      <c r="AA7" s="22"/>
      <c r="AB7" s="22"/>
    </row>
    <row r="8" spans="1:29" x14ac:dyDescent="0.25">
      <c r="Q8" s="22"/>
      <c r="R8" s="22"/>
      <c r="S8" s="22"/>
      <c r="T8" s="22"/>
      <c r="U8" s="22"/>
      <c r="V8" s="22"/>
      <c r="W8" s="22"/>
      <c r="X8" s="22"/>
      <c r="Y8" s="22"/>
      <c r="Z8" s="22"/>
      <c r="AA8" s="22"/>
      <c r="AB8" s="22"/>
    </row>
    <row r="9" spans="1:29" x14ac:dyDescent="0.25">
      <c r="Q9" s="22"/>
      <c r="R9" s="22"/>
      <c r="S9" s="22"/>
      <c r="T9" s="22"/>
      <c r="U9" s="22"/>
      <c r="V9" s="22"/>
      <c r="W9" s="22"/>
      <c r="X9" s="22"/>
      <c r="Y9" s="22"/>
      <c r="Z9" s="22"/>
      <c r="AA9" s="22"/>
      <c r="AB9" s="22"/>
    </row>
    <row r="10" spans="1:29" x14ac:dyDescent="0.25">
      <c r="Q10" s="22"/>
      <c r="R10" s="22"/>
      <c r="S10" s="22"/>
      <c r="T10" s="22"/>
      <c r="U10" s="22"/>
      <c r="V10" s="22"/>
      <c r="W10" s="22"/>
      <c r="X10" s="22"/>
      <c r="Y10" s="22"/>
      <c r="Z10" s="22"/>
      <c r="AA10" s="22"/>
      <c r="AB10" s="22"/>
    </row>
    <row r="11" spans="1:29" x14ac:dyDescent="0.25">
      <c r="Q11" s="22"/>
      <c r="R11" s="22"/>
      <c r="S11" s="22"/>
      <c r="T11" s="22"/>
      <c r="U11" s="22"/>
      <c r="V11" s="22"/>
      <c r="W11" s="22"/>
      <c r="X11" s="22"/>
      <c r="Y11" s="22"/>
      <c r="Z11" s="22"/>
      <c r="AA11" s="22"/>
      <c r="AB11" s="22"/>
    </row>
    <row r="12" spans="1:29" x14ac:dyDescent="0.25">
      <c r="Q12" s="22"/>
      <c r="R12" s="22"/>
      <c r="S12" s="22"/>
      <c r="T12" s="22"/>
      <c r="U12" s="22"/>
      <c r="V12" s="22"/>
      <c r="W12" s="22"/>
      <c r="X12" s="22"/>
      <c r="Y12" s="22"/>
      <c r="Z12" s="22"/>
      <c r="AA12" s="22"/>
      <c r="AB12" s="22"/>
    </row>
    <row r="13" spans="1:29" x14ac:dyDescent="0.25">
      <c r="Q13" s="22"/>
      <c r="R13" s="22"/>
      <c r="S13" s="22"/>
      <c r="T13" s="22"/>
      <c r="U13" s="22"/>
      <c r="V13" s="22"/>
      <c r="W13" s="22"/>
      <c r="X13" s="22"/>
      <c r="Y13" s="22"/>
      <c r="Z13" s="22"/>
      <c r="AA13" s="22"/>
      <c r="AB13" s="22"/>
    </row>
    <row r="14" spans="1:29" x14ac:dyDescent="0.25">
      <c r="Q14" s="22"/>
      <c r="R14" s="22"/>
      <c r="S14" s="22"/>
      <c r="T14" s="22"/>
      <c r="U14" s="22"/>
      <c r="V14" s="22"/>
      <c r="W14" s="22"/>
      <c r="X14" s="22"/>
      <c r="Y14" s="22"/>
      <c r="Z14" s="22"/>
      <c r="AA14" s="22"/>
      <c r="AB14" s="22"/>
    </row>
    <row r="15" spans="1:29" x14ac:dyDescent="0.25">
      <c r="Q15" s="22"/>
      <c r="R15" s="22"/>
      <c r="S15" s="22"/>
      <c r="T15" s="22"/>
      <c r="U15" s="22"/>
      <c r="V15" s="22"/>
      <c r="W15" s="22"/>
      <c r="X15" s="22"/>
      <c r="Y15" s="22"/>
      <c r="Z15" s="22"/>
      <c r="AA15" s="22"/>
      <c r="AB15"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Associate's Summary</vt:lpstr>
      <vt:lpstr>Bachelor's Summary</vt:lpstr>
      <vt:lpstr>Master's Summary</vt:lpstr>
      <vt:lpstr>Ph.D. Summary</vt:lpstr>
      <vt:lpstr>Program Data Associate's</vt:lpstr>
      <vt:lpstr>Program Data - Bachelor's</vt:lpstr>
      <vt:lpstr>Program Data - Master's</vt:lpstr>
      <vt:lpstr>Program Data - Doctoral</vt:lpstr>
      <vt:lpstr>Definitions</vt:lpstr>
      <vt:lpstr>CIP Codes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 Contomanolis</dc:creator>
  <cp:lastModifiedBy>mcollins</cp:lastModifiedBy>
  <dcterms:created xsi:type="dcterms:W3CDTF">2013-09-30T16:27:09Z</dcterms:created>
  <dcterms:modified xsi:type="dcterms:W3CDTF">2019-10-30T18:28:57Z</dcterms:modified>
</cp:coreProperties>
</file>