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7694AF02-F1AE-4E83-BD0C-D123252C0515}" xr6:coauthVersionLast="47" xr6:coauthVersionMax="47" xr10:uidLastSave="{00000000-0000-0000-0000-000000000000}"/>
  <bookViews>
    <workbookView xWindow="1095" yWindow="390" windowWidth="27600" windowHeight="13800" tabRatio="785" firstSheet="1" activeTab="13" xr2:uid="{C181CC4F-00C9-45AF-B1CA-76A1125A7FCB}"/>
  </bookViews>
  <sheets>
    <sheet name="2023-07-07 (2)" sheetId="17" r:id="rId1"/>
    <sheet name="VER0" sheetId="1" r:id="rId2"/>
    <sheet name="VER1 (2)" sheetId="3" r:id="rId3"/>
    <sheet name="ADDED" sheetId="4" r:id="rId4"/>
    <sheet name="VER2" sheetId="2" r:id="rId5"/>
    <sheet name="2023-07-06" sheetId="7" r:id="rId6"/>
    <sheet name="หารือคุณลักษณ์" sheetId="10" r:id="rId7"/>
    <sheet name="2023-07-07" sheetId="9" r:id="rId8"/>
    <sheet name="2023-07-07a" sheetId="12" r:id="rId9"/>
    <sheet name="2023-07-07b" sheetId="13" r:id="rId10"/>
    <sheet name="2023-07-07c" sheetId="14" r:id="rId11"/>
    <sheet name="2023-07-07d" sheetId="16" r:id="rId12"/>
    <sheet name="2023-07-07e" sheetId="15" r:id="rId13"/>
    <sheet name="2023-10-28" sheetId="18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8" l="1"/>
  <c r="P3" i="18"/>
  <c r="O3" i="18"/>
  <c r="N3" i="18"/>
  <c r="M3" i="18"/>
  <c r="L3" i="18"/>
  <c r="K3" i="18"/>
  <c r="S9" i="18"/>
  <c r="S8" i="18"/>
  <c r="S7" i="18"/>
  <c r="S6" i="18"/>
  <c r="S5" i="18"/>
  <c r="S4" i="18"/>
  <c r="R2" i="18"/>
  <c r="Q2" i="18"/>
  <c r="P2" i="18"/>
  <c r="O2" i="18"/>
  <c r="N2" i="18"/>
  <c r="M2" i="18"/>
  <c r="L2" i="18"/>
  <c r="K2" i="18"/>
  <c r="E22" i="18"/>
  <c r="E21" i="18"/>
  <c r="E20" i="18"/>
  <c r="E19" i="18"/>
  <c r="E18" i="18"/>
  <c r="E17" i="18"/>
  <c r="E16" i="18"/>
  <c r="E15" i="18"/>
  <c r="D23" i="18"/>
  <c r="E9" i="18"/>
  <c r="E7" i="18"/>
  <c r="E6" i="18"/>
  <c r="E5" i="18"/>
  <c r="E4" i="18"/>
  <c r="E8" i="18"/>
  <c r="I8" i="18" s="1"/>
  <c r="I10" i="18" s="1"/>
  <c r="I12" i="18" s="1"/>
  <c r="C10" i="18"/>
  <c r="D8" i="18" s="1"/>
  <c r="K8" i="14"/>
  <c r="K5" i="14"/>
  <c r="K11" i="14" s="1"/>
  <c r="K6" i="14"/>
  <c r="K7" i="14"/>
  <c r="K9" i="14"/>
  <c r="K10" i="14"/>
  <c r="J14" i="12"/>
  <c r="D13" i="17"/>
  <c r="C41" i="17"/>
  <c r="C42" i="17" s="1"/>
  <c r="C18" i="17"/>
  <c r="C17" i="17"/>
  <c r="C16" i="17"/>
  <c r="F12" i="17"/>
  <c r="E12" i="17"/>
  <c r="C12" i="17"/>
  <c r="I11" i="17"/>
  <c r="H11" i="17"/>
  <c r="G11" i="17"/>
  <c r="K11" i="17" s="1"/>
  <c r="I10" i="17"/>
  <c r="H10" i="17"/>
  <c r="G10" i="17"/>
  <c r="K10" i="17" s="1"/>
  <c r="D10" i="17"/>
  <c r="D12" i="17" s="1"/>
  <c r="I9" i="17"/>
  <c r="K9" i="17" s="1"/>
  <c r="H9" i="17"/>
  <c r="G9" i="17"/>
  <c r="J9" i="17" s="1"/>
  <c r="I8" i="17"/>
  <c r="H8" i="17"/>
  <c r="K8" i="17" s="1"/>
  <c r="G8" i="17"/>
  <c r="J8" i="17" s="1"/>
  <c r="K7" i="17"/>
  <c r="I7" i="17"/>
  <c r="H7" i="17"/>
  <c r="G7" i="17"/>
  <c r="J7" i="17" s="1"/>
  <c r="I6" i="17"/>
  <c r="H6" i="17"/>
  <c r="G6" i="17"/>
  <c r="K6" i="17" s="1"/>
  <c r="K5" i="17"/>
  <c r="J5" i="17"/>
  <c r="I5" i="17"/>
  <c r="I12" i="17" s="1"/>
  <c r="H5" i="17"/>
  <c r="G5" i="17"/>
  <c r="F8" i="12"/>
  <c r="K5" i="12"/>
  <c r="K6" i="12"/>
  <c r="K7" i="12"/>
  <c r="K9" i="12"/>
  <c r="K10" i="12"/>
  <c r="C15" i="15"/>
  <c r="C40" i="16"/>
  <c r="C41" i="16" s="1"/>
  <c r="C15" i="16"/>
  <c r="F10" i="16"/>
  <c r="E10" i="16"/>
  <c r="D10" i="16"/>
  <c r="C10" i="16"/>
  <c r="I10" i="16" s="1"/>
  <c r="J10" i="16" s="1"/>
  <c r="F9" i="16"/>
  <c r="E9" i="16"/>
  <c r="D9" i="16"/>
  <c r="F8" i="16"/>
  <c r="E8" i="16"/>
  <c r="D8" i="16"/>
  <c r="C8" i="16"/>
  <c r="H8" i="16" s="1"/>
  <c r="F7" i="16"/>
  <c r="E7" i="16"/>
  <c r="D7" i="16"/>
  <c r="C7" i="16"/>
  <c r="I7" i="16" s="1"/>
  <c r="J7" i="16" s="1"/>
  <c r="F6" i="16"/>
  <c r="H6" i="16" s="1"/>
  <c r="E6" i="16"/>
  <c r="D6" i="16"/>
  <c r="C6" i="16"/>
  <c r="F5" i="16"/>
  <c r="F11" i="16" s="1"/>
  <c r="E5" i="16"/>
  <c r="E11" i="16" s="1"/>
  <c r="D5" i="16"/>
  <c r="D11" i="16" s="1"/>
  <c r="C5" i="16"/>
  <c r="G5" i="16" s="1"/>
  <c r="C41" i="15"/>
  <c r="C40" i="15"/>
  <c r="D11" i="15"/>
  <c r="F10" i="15"/>
  <c r="E10" i="15"/>
  <c r="I10" i="15" s="1"/>
  <c r="J10" i="15" s="1"/>
  <c r="D10" i="15"/>
  <c r="G10" i="15" s="1"/>
  <c r="C10" i="15"/>
  <c r="H10" i="15" s="1"/>
  <c r="F9" i="15"/>
  <c r="E9" i="15"/>
  <c r="D9" i="15"/>
  <c r="C9" i="15"/>
  <c r="I9" i="15" s="1"/>
  <c r="J9" i="15" s="1"/>
  <c r="F8" i="15"/>
  <c r="E8" i="15"/>
  <c r="D8" i="15"/>
  <c r="C8" i="15"/>
  <c r="I8" i="15" s="1"/>
  <c r="J8" i="15" s="1"/>
  <c r="I7" i="15"/>
  <c r="J7" i="15" s="1"/>
  <c r="G7" i="15"/>
  <c r="F7" i="15"/>
  <c r="E7" i="15"/>
  <c r="D7" i="15"/>
  <c r="C7" i="15"/>
  <c r="H7" i="15" s="1"/>
  <c r="F6" i="15"/>
  <c r="E6" i="15"/>
  <c r="D6" i="15"/>
  <c r="C6" i="15"/>
  <c r="H6" i="15" s="1"/>
  <c r="F5" i="15"/>
  <c r="F11" i="15" s="1"/>
  <c r="E5" i="15"/>
  <c r="D5" i="15"/>
  <c r="I5" i="15"/>
  <c r="J5" i="14"/>
  <c r="C5" i="14"/>
  <c r="C9" i="14" s="1"/>
  <c r="I9" i="14" s="1"/>
  <c r="J9" i="14" s="1"/>
  <c r="J6" i="14"/>
  <c r="C15" i="14"/>
  <c r="C40" i="14"/>
  <c r="C41" i="14" s="1"/>
  <c r="F10" i="14"/>
  <c r="E10" i="14"/>
  <c r="D10" i="14"/>
  <c r="C10" i="14"/>
  <c r="H10" i="14" s="1"/>
  <c r="F9" i="14"/>
  <c r="E9" i="14"/>
  <c r="D9" i="14"/>
  <c r="F8" i="14"/>
  <c r="E8" i="14"/>
  <c r="D8" i="14"/>
  <c r="C8" i="14"/>
  <c r="I8" i="14" s="1"/>
  <c r="J8" i="14" s="1"/>
  <c r="F7" i="14"/>
  <c r="E7" i="14"/>
  <c r="D7" i="14"/>
  <c r="C7" i="14"/>
  <c r="G7" i="14" s="1"/>
  <c r="I6" i="14"/>
  <c r="H6" i="14"/>
  <c r="G6" i="14"/>
  <c r="F6" i="14"/>
  <c r="E6" i="14"/>
  <c r="D6" i="14"/>
  <c r="C6" i="14"/>
  <c r="F5" i="14"/>
  <c r="F11" i="14" s="1"/>
  <c r="E5" i="14"/>
  <c r="E11" i="14" s="1"/>
  <c r="D5" i="14"/>
  <c r="D11" i="14" s="1"/>
  <c r="J6" i="12"/>
  <c r="J10" i="12"/>
  <c r="J5" i="12"/>
  <c r="F10" i="12"/>
  <c r="F9" i="12"/>
  <c r="F7" i="12"/>
  <c r="F6" i="12"/>
  <c r="F5" i="12"/>
  <c r="E10" i="12"/>
  <c r="E9" i="12"/>
  <c r="E8" i="12"/>
  <c r="E7" i="12"/>
  <c r="E6" i="12"/>
  <c r="E5" i="12"/>
  <c r="D5" i="12"/>
  <c r="D10" i="12"/>
  <c r="H10" i="12" s="1"/>
  <c r="D9" i="12"/>
  <c r="D8" i="12"/>
  <c r="D7" i="12"/>
  <c r="D6" i="12"/>
  <c r="C10" i="12"/>
  <c r="G10" i="12" s="1"/>
  <c r="C8" i="12"/>
  <c r="H8" i="12" s="1"/>
  <c r="C7" i="12"/>
  <c r="H7" i="12" s="1"/>
  <c r="C6" i="12"/>
  <c r="I6" i="12" s="1"/>
  <c r="C5" i="12"/>
  <c r="H5" i="12" s="1"/>
  <c r="C40" i="12"/>
  <c r="C41" i="12" s="1"/>
  <c r="E11" i="12"/>
  <c r="J8" i="9"/>
  <c r="J8" i="7"/>
  <c r="D10" i="9"/>
  <c r="I10" i="9" s="1"/>
  <c r="D12" i="10"/>
  <c r="C12" i="10"/>
  <c r="I9" i="9"/>
  <c r="K9" i="9" s="1"/>
  <c r="C17" i="9"/>
  <c r="C16" i="9"/>
  <c r="C41" i="9"/>
  <c r="C42" i="9" s="1"/>
  <c r="F12" i="9"/>
  <c r="E12" i="9"/>
  <c r="I11" i="9"/>
  <c r="H11" i="9"/>
  <c r="G11" i="9"/>
  <c r="J11" i="9" s="1"/>
  <c r="I8" i="9"/>
  <c r="H8" i="9"/>
  <c r="K8" i="9" s="1"/>
  <c r="G8" i="9"/>
  <c r="I7" i="9"/>
  <c r="K7" i="9" s="1"/>
  <c r="H7" i="9"/>
  <c r="G7" i="9"/>
  <c r="J7" i="9" s="1"/>
  <c r="I6" i="9"/>
  <c r="H6" i="9"/>
  <c r="G6" i="9"/>
  <c r="K6" i="9" s="1"/>
  <c r="I5" i="9"/>
  <c r="H5" i="9"/>
  <c r="G5" i="9"/>
  <c r="C16" i="7"/>
  <c r="C15" i="7"/>
  <c r="K9" i="7"/>
  <c r="K8" i="7"/>
  <c r="K11" i="7"/>
  <c r="K7" i="7"/>
  <c r="K6" i="7"/>
  <c r="K5" i="7"/>
  <c r="K8" i="3"/>
  <c r="C41" i="7"/>
  <c r="C42" i="7" s="1"/>
  <c r="F13" i="7"/>
  <c r="E13" i="7"/>
  <c r="D13" i="7"/>
  <c r="C13" i="7"/>
  <c r="F12" i="7"/>
  <c r="E12" i="7"/>
  <c r="C12" i="7"/>
  <c r="J11" i="7"/>
  <c r="I11" i="7"/>
  <c r="H11" i="7"/>
  <c r="G11" i="7"/>
  <c r="I10" i="7"/>
  <c r="I9" i="7"/>
  <c r="H9" i="7"/>
  <c r="G9" i="7"/>
  <c r="J9" i="7" s="1"/>
  <c r="I8" i="7"/>
  <c r="H8" i="7"/>
  <c r="G8" i="7"/>
  <c r="I7" i="7"/>
  <c r="H7" i="7"/>
  <c r="G7" i="7"/>
  <c r="I6" i="7"/>
  <c r="H6" i="7"/>
  <c r="G6" i="7"/>
  <c r="J6" i="7" s="1"/>
  <c r="I5" i="7"/>
  <c r="H5" i="7"/>
  <c r="G5" i="7"/>
  <c r="J5" i="7" s="1"/>
  <c r="C13" i="3"/>
  <c r="D13" i="3"/>
  <c r="E13" i="3"/>
  <c r="F13" i="3"/>
  <c r="C8" i="4"/>
  <c r="C41" i="3"/>
  <c r="C42" i="3" s="1"/>
  <c r="G9" i="3"/>
  <c r="H6" i="3"/>
  <c r="F12" i="3"/>
  <c r="I11" i="3"/>
  <c r="H11" i="3"/>
  <c r="G11" i="3"/>
  <c r="J11" i="3" s="1"/>
  <c r="K11" i="3" s="1"/>
  <c r="D10" i="3"/>
  <c r="D12" i="3" s="1"/>
  <c r="J24" i="2"/>
  <c r="J23" i="2"/>
  <c r="J22" i="2"/>
  <c r="J21" i="2"/>
  <c r="J20" i="2"/>
  <c r="J18" i="2"/>
  <c r="J11" i="2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E11" i="18" l="1"/>
  <c r="E12" i="18" s="1"/>
  <c r="C12" i="18"/>
  <c r="D5" i="18"/>
  <c r="D6" i="18"/>
  <c r="D9" i="18"/>
  <c r="E10" i="18"/>
  <c r="E13" i="18" s="1"/>
  <c r="D7" i="18"/>
  <c r="E23" i="18"/>
  <c r="F8" i="18"/>
  <c r="F10" i="18" s="1"/>
  <c r="F12" i="18" s="1"/>
  <c r="F13" i="18" s="1"/>
  <c r="G8" i="18"/>
  <c r="G10" i="18" s="1"/>
  <c r="G12" i="18" s="1"/>
  <c r="H8" i="18"/>
  <c r="H10" i="18" s="1"/>
  <c r="H12" i="18" s="1"/>
  <c r="D4" i="18"/>
  <c r="J12" i="17"/>
  <c r="K12" i="17"/>
  <c r="G12" i="17"/>
  <c r="J10" i="17"/>
  <c r="H12" i="17"/>
  <c r="J6" i="17"/>
  <c r="J11" i="17"/>
  <c r="C11" i="15"/>
  <c r="G6" i="16"/>
  <c r="I6" i="16"/>
  <c r="J6" i="16" s="1"/>
  <c r="G8" i="16"/>
  <c r="I5" i="16"/>
  <c r="I8" i="16"/>
  <c r="J8" i="16" s="1"/>
  <c r="G7" i="16"/>
  <c r="C9" i="16"/>
  <c r="G10" i="16"/>
  <c r="H5" i="16"/>
  <c r="H7" i="16"/>
  <c r="H10" i="16"/>
  <c r="J5" i="15"/>
  <c r="E11" i="15"/>
  <c r="G6" i="15"/>
  <c r="G9" i="15"/>
  <c r="H9" i="15"/>
  <c r="I6" i="15"/>
  <c r="J6" i="15" s="1"/>
  <c r="G5" i="15"/>
  <c r="G8" i="15"/>
  <c r="H5" i="15"/>
  <c r="H8" i="15"/>
  <c r="C11" i="14"/>
  <c r="G9" i="14"/>
  <c r="H9" i="14"/>
  <c r="H8" i="14"/>
  <c r="I5" i="14"/>
  <c r="H7" i="14"/>
  <c r="I7" i="14"/>
  <c r="J7" i="14" s="1"/>
  <c r="I10" i="14"/>
  <c r="J10" i="14" s="1"/>
  <c r="G5" i="14"/>
  <c r="G8" i="14"/>
  <c r="H5" i="14"/>
  <c r="G10" i="14"/>
  <c r="C9" i="12"/>
  <c r="G9" i="12" s="1"/>
  <c r="G5" i="12"/>
  <c r="G6" i="12"/>
  <c r="G7" i="12"/>
  <c r="G8" i="12"/>
  <c r="H6" i="12"/>
  <c r="F11" i="12"/>
  <c r="I10" i="12"/>
  <c r="I7" i="12"/>
  <c r="J7" i="12" s="1"/>
  <c r="D11" i="12"/>
  <c r="I5" i="12"/>
  <c r="G10" i="9"/>
  <c r="K10" i="9" s="1"/>
  <c r="D12" i="9"/>
  <c r="H10" i="9"/>
  <c r="C12" i="9"/>
  <c r="C18" i="9" s="1"/>
  <c r="H9" i="9"/>
  <c r="G9" i="9"/>
  <c r="J9" i="9" s="1"/>
  <c r="I12" i="9"/>
  <c r="H12" i="9"/>
  <c r="J5" i="9"/>
  <c r="K5" i="9"/>
  <c r="J10" i="9"/>
  <c r="J6" i="9"/>
  <c r="K11" i="9"/>
  <c r="J7" i="7"/>
  <c r="I12" i="7"/>
  <c r="D12" i="7"/>
  <c r="G10" i="7"/>
  <c r="K10" i="7" s="1"/>
  <c r="H10" i="7"/>
  <c r="H12" i="7" s="1"/>
  <c r="C12" i="3"/>
  <c r="H5" i="3"/>
  <c r="G5" i="3"/>
  <c r="J5" i="3" s="1"/>
  <c r="K5" i="3" s="1"/>
  <c r="I5" i="3"/>
  <c r="I8" i="3"/>
  <c r="G8" i="3"/>
  <c r="H8" i="3"/>
  <c r="J8" i="3" s="1"/>
  <c r="I7" i="3"/>
  <c r="H7" i="3"/>
  <c r="G7" i="3"/>
  <c r="J7" i="3"/>
  <c r="K7" i="3" s="1"/>
  <c r="E12" i="3"/>
  <c r="I9" i="3"/>
  <c r="J9" i="3" s="1"/>
  <c r="H9" i="3"/>
  <c r="G10" i="3"/>
  <c r="J10" i="3" s="1"/>
  <c r="K10" i="3" s="1"/>
  <c r="G6" i="3"/>
  <c r="I6" i="3"/>
  <c r="J6" i="3" s="1"/>
  <c r="K6" i="3" s="1"/>
  <c r="H10" i="3"/>
  <c r="I10" i="3"/>
  <c r="G10" i="2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D10" i="18" l="1"/>
  <c r="J5" i="16"/>
  <c r="I9" i="16"/>
  <c r="J9" i="16" s="1"/>
  <c r="H9" i="16"/>
  <c r="H11" i="16" s="1"/>
  <c r="G9" i="16"/>
  <c r="G11" i="16" s="1"/>
  <c r="C11" i="16"/>
  <c r="H11" i="15"/>
  <c r="G11" i="15"/>
  <c r="I11" i="15"/>
  <c r="J11" i="15"/>
  <c r="G11" i="14"/>
  <c r="H11" i="14"/>
  <c r="J11" i="14"/>
  <c r="I11" i="14"/>
  <c r="H9" i="12"/>
  <c r="G12" i="9"/>
  <c r="K12" i="9"/>
  <c r="J12" i="9"/>
  <c r="J10" i="7"/>
  <c r="J12" i="7" s="1"/>
  <c r="G12" i="7"/>
  <c r="J12" i="3"/>
  <c r="K9" i="3"/>
  <c r="K12" i="3" s="1"/>
  <c r="H12" i="3"/>
  <c r="I12" i="3"/>
  <c r="G12" i="3"/>
  <c r="I12" i="1"/>
  <c r="J12" i="1"/>
  <c r="I11" i="16" l="1"/>
  <c r="J11" i="16"/>
  <c r="K12" i="7"/>
  <c r="I8" i="12" l="1"/>
  <c r="J8" i="12" s="1"/>
  <c r="K8" i="12" s="1"/>
  <c r="K11" i="12" s="1"/>
  <c r="H11" i="12" l="1"/>
  <c r="C11" i="12"/>
  <c r="G11" i="12"/>
  <c r="I9" i="12"/>
  <c r="J9" i="12" s="1"/>
  <c r="J11" i="12" l="1"/>
  <c r="I11" i="12"/>
</calcChain>
</file>

<file path=xl/sharedStrings.xml><?xml version="1.0" encoding="utf-8"?>
<sst xmlns="http://schemas.openxmlformats.org/spreadsheetml/2006/main" count="309" uniqueCount="81">
  <si>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</si>
  <si>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</si>
  <si>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</si>
  <si>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</si>
  <si>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</si>
  <si>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</si>
  <si>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</si>
  <si>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</si>
  <si>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</si>
  <si>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</si>
  <si>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</si>
  <si>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</si>
  <si>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</si>
  <si>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</si>
  <si>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</si>
  <si>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</si>
  <si>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</si>
  <si>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</si>
  <si>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</si>
  <si>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</si>
  <si>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</si>
  <si>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</si>
  <si>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</si>
  <si>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</si>
  <si>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</si>
  <si>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</si>
  <si>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</si>
  <si>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</si>
  <si>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</si>
  <si>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</si>
  <si>
    <t>3 ปี</t>
  </si>
  <si>
    <t>2 ปี</t>
  </si>
  <si>
    <t>งบ I</t>
  </si>
  <si>
    <t>C &amp; I</t>
  </si>
  <si>
    <t>ค่าสนับสนุนการใช้งานและบำรุงรักษา 5 ปี</t>
  </si>
  <si>
    <t>MWM</t>
  </si>
  <si>
    <t>GIS</t>
  </si>
  <si>
    <t>ประมวลผล</t>
  </si>
  <si>
    <t>Trimble</t>
  </si>
  <si>
    <t>Schneider</t>
  </si>
  <si>
    <t>GE</t>
  </si>
  <si>
    <t>Oracle</t>
  </si>
  <si>
    <t>ที่ปรึกษา(MIX)</t>
  </si>
  <si>
    <t>ที่ปรึกษา(MIN)</t>
  </si>
  <si>
    <t>Oracle?</t>
  </si>
  <si>
    <t>ค่าตลาด</t>
  </si>
  <si>
    <t>เพื่อพิจารณา</t>
  </si>
  <si>
    <t>คำถาม 2</t>
  </si>
  <si>
    <t>คำถามที่ 1</t>
  </si>
  <si>
    <t>ปรับสัดส่วนตามหมวดหมูประมาณนี้ได้หรือไม่</t>
  </si>
  <si>
    <t>48 ล้าน รวมบำรุงรักษาด้วยแล้วหรือไม่</t>
  </si>
  <si>
    <t>Training+Helpdesk added</t>
  </si>
  <si>
    <t>กรอบงบประมาณ</t>
  </si>
  <si>
    <t>รายการ</t>
  </si>
  <si>
    <t>ลำดับ</t>
  </si>
  <si>
    <t>จำนวนเงินรวม</t>
  </si>
  <si>
    <t>ค่าสนับสนุนการใช้งานและบำรุงรักษา 1+4 ปี</t>
  </si>
  <si>
    <t>2nd</t>
  </si>
  <si>
    <t>3rd</t>
  </si>
  <si>
    <t>4th</t>
  </si>
  <si>
    <t>5th</t>
  </si>
  <si>
    <t>ประกันผลงาน</t>
  </si>
  <si>
    <t>ค่าจ้าง + 1st</t>
  </si>
  <si>
    <t xml:space="preserve">Design completion/acceptance </t>
  </si>
  <si>
    <t>Development completion/acceptance</t>
  </si>
  <si>
    <t xml:space="preserve">FAT completion/acceptance </t>
  </si>
  <si>
    <t>TOAC</t>
  </si>
  <si>
    <t>warranty and maintenance</t>
  </si>
  <si>
    <t>บำรุงรักษา</t>
  </si>
  <si>
    <t>สมมุติยื่นข้อเสนอ</t>
  </si>
  <si>
    <t>แผนงาน</t>
  </si>
  <si>
    <t>ออกแบบ</t>
  </si>
  <si>
    <t>FAT</t>
  </si>
  <si>
    <t>SAT</t>
  </si>
  <si>
    <t>GO</t>
  </si>
  <si>
    <t>พัฒนา</t>
  </si>
  <si>
    <t>HW</t>
  </si>
  <si>
    <t>Making plan</t>
  </si>
  <si>
    <t>HW+SAT #1</t>
  </si>
  <si>
    <t>HW+SAT #2</t>
  </si>
  <si>
    <t>8,9,10,11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</si>
</sst>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_(* #,##0.0_);_(* \(#,##0.0\);_(* &quot;-&quot;??_);_(@_)"/>
    <numFmt numFmtId="167" formatCode="_(* #,##0.0000_);_(* \(#,##0.0000\);_(* &quot;-&quot;??_);_(@_)"/>
    <numFmt numFmtId="168" formatCode="_(* #,##0.00000_);_(* \(#,##0.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8" fillId="0" borderId="0" xfId="0" applyFont="1" applyAlignment="1">
      <alignment horizontal="center"/>
    </xf>
    <xf numFmtId="164" fontId="9" fillId="0" borderId="1" xfId="1" applyNumberFormat="1" applyFont="1" applyBorder="1"/>
    <xf numFmtId="164" fontId="10" fillId="0" borderId="1" xfId="1" applyNumberFormat="1" applyFont="1" applyBorder="1"/>
    <xf numFmtId="4" fontId="0" fillId="0" borderId="1" xfId="1" applyNumberFormat="1" applyFont="1" applyBorder="1"/>
    <xf numFmtId="4" fontId="7" fillId="0" borderId="1" xfId="1" applyNumberFormat="1" applyFont="1" applyBorder="1"/>
    <xf numFmtId="0" fontId="10" fillId="0" borderId="1" xfId="0" applyFont="1" applyBorder="1"/>
    <xf numFmtId="0" fontId="11" fillId="0" borderId="1" xfId="0" applyFont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12" fillId="0" borderId="1" xfId="1" applyNumberFormat="1" applyFont="1" applyBorder="1"/>
    <xf numFmtId="0" fontId="0" fillId="2" borderId="0" xfId="0" applyFill="1"/>
    <xf numFmtId="0" fontId="0" fillId="3" borderId="0" xfId="0" applyFill="1"/>
    <xf numFmtId="164" fontId="11" fillId="0" borderId="1" xfId="1" applyNumberFormat="1" applyFont="1" applyBorder="1"/>
    <xf numFmtId="0" fontId="0" fillId="0" borderId="0" xfId="0" applyAlignment="1">
      <alignment horizontal="center"/>
    </xf>
    <xf numFmtId="164" fontId="13" fillId="0" borderId="0" xfId="1" applyNumberFormat="1" applyFont="1"/>
    <xf numFmtId="43" fontId="0" fillId="0" borderId="0" xfId="1" applyFont="1"/>
    <xf numFmtId="9" fontId="2" fillId="0" borderId="0" xfId="2" applyFont="1"/>
    <xf numFmtId="164" fontId="14" fillId="0" borderId="1" xfId="1" applyNumberFormat="1" applyFont="1" applyBorder="1"/>
    <xf numFmtId="9" fontId="0" fillId="0" borderId="0" xfId="2" applyFont="1"/>
    <xf numFmtId="164" fontId="14" fillId="2" borderId="1" xfId="1" applyNumberFormat="1" applyFont="1" applyFill="1" applyBorder="1"/>
    <xf numFmtId="0" fontId="14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11" fillId="0" borderId="1" xfId="1" applyNumberFormat="1" applyFont="1" applyBorder="1"/>
    <xf numFmtId="166" fontId="0" fillId="0" borderId="1" xfId="1" applyNumberFormat="1" applyFont="1" applyBorder="1"/>
    <xf numFmtId="167" fontId="2" fillId="0" borderId="1" xfId="1" applyNumberFormat="1" applyFont="1" applyBorder="1"/>
    <xf numFmtId="167" fontId="10" fillId="0" borderId="1" xfId="1" applyNumberFormat="1" applyFont="1" applyBorder="1"/>
    <xf numFmtId="167" fontId="0" fillId="0" borderId="1" xfId="1" applyNumberFormat="1" applyFont="1" applyBorder="1"/>
    <xf numFmtId="167" fontId="0" fillId="0" borderId="0" xfId="1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right"/>
    </xf>
    <xf numFmtId="9" fontId="0" fillId="0" borderId="0" xfId="0" applyNumberFormat="1"/>
    <xf numFmtId="43" fontId="0" fillId="0" borderId="1" xfId="1" applyFont="1" applyBorder="1"/>
    <xf numFmtId="9" fontId="0" fillId="0" borderId="1" xfId="2" applyFont="1" applyBorder="1"/>
    <xf numFmtId="164" fontId="0" fillId="0" borderId="1" xfId="0" applyNumberFormat="1" applyBorder="1"/>
    <xf numFmtId="10" fontId="0" fillId="0" borderId="1" xfId="2" applyNumberFormat="1" applyFont="1" applyBorder="1"/>
    <xf numFmtId="0" fontId="0" fillId="4" borderId="1" xfId="0" applyFill="1" applyBorder="1"/>
    <xf numFmtId="43" fontId="0" fillId="4" borderId="1" xfId="1" applyFont="1" applyFill="1" applyBorder="1"/>
    <xf numFmtId="9" fontId="0" fillId="4" borderId="1" xfId="2" applyFont="1" applyFill="1" applyBorder="1"/>
    <xf numFmtId="0" fontId="11" fillId="4" borderId="1" xfId="0" applyFont="1" applyFill="1" applyBorder="1"/>
    <xf numFmtId="0" fontId="0" fillId="5" borderId="1" xfId="0" applyFill="1" applyBorder="1"/>
    <xf numFmtId="9" fontId="0" fillId="5" borderId="1" xfId="2" applyFont="1" applyFill="1" applyBorder="1"/>
    <xf numFmtId="164" fontId="0" fillId="5" borderId="1" xfId="0" applyNumberFormat="1" applyFill="1" applyBorder="1"/>
    <xf numFmtId="43" fontId="0" fillId="5" borderId="1" xfId="1" applyFont="1" applyFill="1" applyBorder="1"/>
    <xf numFmtId="0" fontId="0" fillId="6" borderId="1" xfId="0" applyFill="1" applyBorder="1"/>
    <xf numFmtId="9" fontId="0" fillId="6" borderId="1" xfId="2" applyFont="1" applyFill="1" applyBorder="1"/>
    <xf numFmtId="164" fontId="0" fillId="7" borderId="1" xfId="0" applyNumberFormat="1" applyFill="1" applyBorder="1"/>
    <xf numFmtId="0" fontId="0" fillId="7" borderId="1" xfId="0" applyFill="1" applyBorder="1"/>
    <xf numFmtId="10" fontId="0" fillId="7" borderId="1" xfId="2" applyNumberFormat="1" applyFont="1" applyFill="1" applyBorder="1"/>
    <xf numFmtId="10" fontId="0" fillId="0" borderId="0" xfId="2" applyNumberFormat="1" applyFont="1"/>
    <xf numFmtId="0" fontId="0" fillId="5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om\Documents\wk31\oms\dev\shp2\eq-sum.xlsx" TargetMode="External"/><Relationship Id="rId1" Type="http://schemas.openxmlformats.org/officeDocument/2006/relationships/externalLinkPath" Target="/Users/choom/Documents/wk31/oms/dev/shp2/eq-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D58B-046C-4B56-B3FA-9F7F018B3142}">
  <dimension ref="A3:L42"/>
  <sheetViews>
    <sheetView topLeftCell="C1" zoomScale="130" zoomScaleNormal="130" workbookViewId="0">
      <selection activeCell="J6" sqref="J6"/>
    </sheetView>
  </sheetViews>
  <sheetFormatPr defaultRowHeight="15" x14ac:dyDescent="0.25"/>
  <cols>
    <col min="1" max="1" width="5.28515625" customWidth="1"/>
    <col min="2" max="2" width="43.85546875" customWidth="1"/>
    <col min="3" max="6" width="25.5703125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44">
        <v>188766330</v>
      </c>
      <c r="D8" s="44">
        <v>205250000</v>
      </c>
      <c r="E8" s="45">
        <v>167480000</v>
      </c>
      <c r="F8" s="45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46">
        <v>108308550</v>
      </c>
      <c r="D9" s="46">
        <v>134750000</v>
      </c>
      <c r="E9" s="46">
        <v>200000000</v>
      </c>
      <c r="F9" s="44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47">
        <f>SUM(C8:F8)</f>
        <v>805496330</v>
      </c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F030-B049-4C1E-9445-4169389FDD2D}">
  <dimension ref="A4:D29"/>
  <sheetViews>
    <sheetView topLeftCell="A2" zoomScale="159" zoomScaleNormal="130" workbookViewId="0">
      <selection activeCell="D5" sqref="D5"/>
    </sheetView>
  </sheetViews>
  <sheetFormatPr defaultRowHeight="15" x14ac:dyDescent="0.25"/>
  <cols>
    <col min="1" max="1" width="6" bestFit="1" customWidth="1"/>
    <col min="2" max="2" width="46.85546875" bestFit="1" customWidth="1"/>
    <col min="3" max="3" width="16.5703125" bestFit="1" customWidth="1"/>
    <col min="4" max="4" width="6.140625" style="32" customWidth="1"/>
  </cols>
  <sheetData>
    <row r="4" spans="1:3" x14ac:dyDescent="0.25">
      <c r="A4" s="9" t="s">
        <v>54</v>
      </c>
      <c r="B4" s="9" t="s">
        <v>53</v>
      </c>
      <c r="C4" s="13" t="s">
        <v>52</v>
      </c>
    </row>
    <row r="5" spans="1:3" x14ac:dyDescent="0.25">
      <c r="A5" s="10">
        <v>1</v>
      </c>
      <c r="B5" s="9" t="s">
        <v>8</v>
      </c>
      <c r="C5" s="22">
        <v>554067200</v>
      </c>
    </row>
    <row r="6" spans="1:3" x14ac:dyDescent="0.25">
      <c r="A6" s="10">
        <v>2</v>
      </c>
      <c r="B6" s="9" t="s">
        <v>9</v>
      </c>
      <c r="C6" s="22">
        <v>134560610</v>
      </c>
    </row>
    <row r="7" spans="1:3" x14ac:dyDescent="0.25">
      <c r="A7" s="10">
        <v>3</v>
      </c>
      <c r="B7" s="9" t="s">
        <v>2</v>
      </c>
      <c r="C7" s="22">
        <v>120330000</v>
      </c>
    </row>
    <row r="8" spans="1:3" x14ac:dyDescent="0.25">
      <c r="A8" s="10">
        <v>4</v>
      </c>
      <c r="B8" s="25" t="s">
        <v>22</v>
      </c>
      <c r="C8" s="22">
        <v>226024082.5</v>
      </c>
    </row>
    <row r="9" spans="1:3" x14ac:dyDescent="0.25">
      <c r="A9" s="10">
        <v>5</v>
      </c>
      <c r="B9" s="25" t="s">
        <v>34</v>
      </c>
      <c r="C9" s="22">
        <v>185286656.5</v>
      </c>
    </row>
    <row r="10" spans="1:3" x14ac:dyDescent="0.25">
      <c r="A10" s="10">
        <v>6</v>
      </c>
      <c r="B10" s="9" t="s">
        <v>4</v>
      </c>
      <c r="C10" s="22">
        <v>29350000</v>
      </c>
    </row>
    <row r="11" spans="1:3" x14ac:dyDescent="0.25">
      <c r="A11" s="71" t="s">
        <v>55</v>
      </c>
      <c r="B11" s="72"/>
      <c r="C11" s="23">
        <v>1249618549</v>
      </c>
    </row>
    <row r="12" spans="1:3" x14ac:dyDescent="0.25">
      <c r="C12" s="1">
        <v>1249618549</v>
      </c>
    </row>
    <row r="13" spans="1:3" x14ac:dyDescent="0.25">
      <c r="C13" s="1"/>
    </row>
    <row r="15" spans="1:3" x14ac:dyDescent="0.25">
      <c r="C15" s="4"/>
    </row>
    <row r="16" spans="1:3" x14ac:dyDescent="0.25">
      <c r="B16" s="2"/>
      <c r="C16" s="4"/>
    </row>
    <row r="17" spans="2:3" x14ac:dyDescent="0.25">
      <c r="C17" s="4"/>
    </row>
    <row r="18" spans="2:3" x14ac:dyDescent="0.25">
      <c r="C18" s="4"/>
    </row>
    <row r="19" spans="2:3" x14ac:dyDescent="0.25">
      <c r="B19" s="6"/>
      <c r="C19" s="4"/>
    </row>
    <row r="20" spans="2:3" x14ac:dyDescent="0.25">
      <c r="B20" s="6"/>
    </row>
    <row r="23" spans="2:3" x14ac:dyDescent="0.25">
      <c r="B23" s="2"/>
    </row>
    <row r="29" spans="2:3" x14ac:dyDescent="0.25">
      <c r="B29" s="2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308-2A18-4F5D-B8C0-27FC72DA37CC}">
  <dimension ref="A3:K41"/>
  <sheetViews>
    <sheetView topLeftCell="B1" zoomScale="130" zoomScaleNormal="130" workbookViewId="0">
      <selection activeCell="B5" sqref="B5:B10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13.7109375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36">
        <f>C13*C16</f>
        <v>663525000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498773450</v>
      </c>
      <c r="J5" s="22">
        <f>I5</f>
        <v>498773450</v>
      </c>
      <c r="K5" s="49">
        <f>ROUND(J5,-3)+1000</f>
        <v>498774000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  <c r="K6" s="49">
        <f t="shared" ref="K6:K10" si="3">ROUND(J6,-3)</f>
        <v>134561000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  <c r="K7" s="49">
        <f t="shared" si="3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  <c r="K8" s="49">
        <f>ROUND(J8,-3)+1000</f>
        <v>226025000</v>
      </c>
    </row>
    <row r="9" spans="1:11" x14ac:dyDescent="0.25">
      <c r="A9" s="10">
        <v>5</v>
      </c>
      <c r="B9" s="25" t="s">
        <v>34</v>
      </c>
      <c r="C9" s="36">
        <f>C15-C5</f>
        <v>329483550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0"/>
        <v>134750000</v>
      </c>
      <c r="H9" s="11">
        <f t="shared" si="1"/>
        <v>329483550</v>
      </c>
      <c r="I9" s="11">
        <f t="shared" si="2"/>
        <v>240580406.5</v>
      </c>
      <c r="J9" s="22">
        <f>I9</f>
        <v>240580406.5</v>
      </c>
      <c r="K9" s="49">
        <f t="shared" si="3"/>
        <v>240580000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  <c r="K10" s="49">
        <f t="shared" si="3"/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876000000</v>
      </c>
      <c r="H11" s="15">
        <f t="shared" si="4"/>
        <v>1609953550</v>
      </c>
      <c r="I11" s="15">
        <f t="shared" si="4"/>
        <v>1229868549</v>
      </c>
      <c r="J11" s="23">
        <f t="shared" si="4"/>
        <v>1249618549</v>
      </c>
      <c r="K11" s="50">
        <f>SUM(K5:K10)</f>
        <v>1249620000</v>
      </c>
    </row>
    <row r="12" spans="1:11" x14ac:dyDescent="0.25">
      <c r="C12" s="34"/>
      <c r="D12" s="1"/>
      <c r="E12" s="1"/>
      <c r="F12" s="1"/>
      <c r="G12" s="1"/>
      <c r="H12" s="1"/>
      <c r="I12" s="1"/>
      <c r="J12" s="1"/>
    </row>
    <row r="13" spans="1:11" x14ac:dyDescent="0.25">
      <c r="C13" s="11">
        <v>884700000</v>
      </c>
      <c r="D13" s="1"/>
      <c r="E13" s="1"/>
      <c r="F13" s="1"/>
      <c r="G13" s="1"/>
      <c r="H13" s="1"/>
      <c r="I13" s="1"/>
      <c r="J13" s="1"/>
    </row>
    <row r="14" spans="1:11" x14ac:dyDescent="0.25">
      <c r="C14" s="11">
        <v>108308550</v>
      </c>
      <c r="E14" s="1"/>
    </row>
    <row r="15" spans="1:11" x14ac:dyDescent="0.25">
      <c r="C15" s="33">
        <f>C13+C14</f>
        <v>993008550</v>
      </c>
      <c r="E15" s="1"/>
      <c r="J15" s="4"/>
    </row>
    <row r="16" spans="1:11" x14ac:dyDescent="0.25">
      <c r="B16" s="2"/>
      <c r="C16" s="35">
        <v>0.75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24B-B213-4AF6-AACC-1987C1A0A42A}">
  <dimension ref="A3:K41"/>
  <sheetViews>
    <sheetView zoomScale="130" zoomScaleNormal="130" workbookViewId="0">
      <selection activeCell="C11" sqref="C11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f>C13*C16</f>
        <v>433503000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441267950</v>
      </c>
      <c r="J5" s="22">
        <f>I5</f>
        <v>441267950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38">
        <f>C15-C5</f>
        <v>559505550</v>
      </c>
      <c r="D9" s="27">
        <f>'2023-07-07'!D9</f>
        <v>134750000</v>
      </c>
      <c r="E9" s="27">
        <f>'2023-07-07'!E9</f>
        <v>200000000</v>
      </c>
      <c r="F9" s="27">
        <f>'2023-07-07'!F9</f>
        <v>298088076</v>
      </c>
      <c r="G9" s="11">
        <f t="shared" si="0"/>
        <v>134750000</v>
      </c>
      <c r="H9" s="11">
        <f t="shared" si="1"/>
        <v>559505550</v>
      </c>
      <c r="I9" s="11">
        <f t="shared" si="2"/>
        <v>298085906.5</v>
      </c>
      <c r="J9" s="22">
        <f>I9</f>
        <v>298085906.5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1839975550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>
        <v>0.49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082C-947D-411E-9FE7-C6AD311F2FAE}">
  <dimension ref="A3:K41"/>
  <sheetViews>
    <sheetView zoomScale="130" zoomScaleNormal="130" workbookViewId="0">
      <selection activeCell="E13" sqref="E13:F2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39" t="s">
        <v>10</v>
      </c>
      <c r="D4" s="39" t="s">
        <v>0</v>
      </c>
      <c r="E4" s="39" t="s">
        <v>1</v>
      </c>
      <c r="F4" s="39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v>428200000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439942200</v>
      </c>
      <c r="J5" s="22">
        <f>I5</f>
        <v>439942200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21">
        <f>C15-C5</f>
        <v>564808550</v>
      </c>
      <c r="D9" s="17">
        <f>'2023-07-07'!D9</f>
        <v>134750000</v>
      </c>
      <c r="E9" s="17">
        <f>'2023-07-07'!E9</f>
        <v>200000000</v>
      </c>
      <c r="F9" s="17">
        <f>'2023-07-07'!F9</f>
        <v>298088076</v>
      </c>
      <c r="G9" s="11">
        <f t="shared" si="0"/>
        <v>134750000</v>
      </c>
      <c r="H9" s="11">
        <f t="shared" si="1"/>
        <v>564808550</v>
      </c>
      <c r="I9" s="11">
        <f t="shared" si="2"/>
        <v>299411656.5</v>
      </c>
      <c r="J9" s="22">
        <f>I9</f>
        <v>299411656.5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1845278550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/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9726-81BA-46B0-BEB2-CC62B43D9108}">
  <dimension ref="A2:S24"/>
  <sheetViews>
    <sheetView tabSelected="1" zoomScale="116" workbookViewId="0">
      <selection activeCell="I12" sqref="I12"/>
    </sheetView>
  </sheetViews>
  <sheetFormatPr defaultRowHeight="15" x14ac:dyDescent="0.25"/>
  <cols>
    <col min="1" max="1" width="3.7109375" customWidth="1"/>
    <col min="2" max="2" width="37" customWidth="1"/>
    <col min="3" max="3" width="17.7109375" style="34" bestFit="1" customWidth="1"/>
    <col min="4" max="4" width="6.5703125" style="37" customWidth="1"/>
    <col min="5" max="5" width="15" bestFit="1" customWidth="1"/>
    <col min="6" max="9" width="12.140625" bestFit="1" customWidth="1"/>
    <col min="10" max="10" width="4.42578125" customWidth="1"/>
    <col min="11" max="11" width="11" bestFit="1" customWidth="1"/>
    <col min="12" max="12" width="11.7109375" customWidth="1"/>
    <col min="13" max="13" width="11.140625" bestFit="1" customWidth="1"/>
    <col min="14" max="14" width="10.5703125" customWidth="1"/>
    <col min="15" max="15" width="10.85546875" customWidth="1"/>
    <col min="16" max="16" width="13.42578125" customWidth="1"/>
    <col min="17" max="17" width="12.7109375" bestFit="1" customWidth="1"/>
    <col min="18" max="18" width="12.42578125" customWidth="1"/>
    <col min="19" max="19" width="6.85546875" customWidth="1"/>
  </cols>
  <sheetData>
    <row r="2" spans="1:19" x14ac:dyDescent="0.25">
      <c r="K2" s="53">
        <f>D15</f>
        <v>0.05</v>
      </c>
      <c r="L2" s="53">
        <f>D16</f>
        <v>0.05</v>
      </c>
      <c r="M2" s="53">
        <f>D17</f>
        <v>0.1</v>
      </c>
      <c r="N2" s="53">
        <f>D18</f>
        <v>0.15</v>
      </c>
      <c r="O2" s="53">
        <f>D19</f>
        <v>0.15</v>
      </c>
      <c r="P2" s="53">
        <f>D20</f>
        <v>0.15</v>
      </c>
      <c r="Q2" s="53">
        <f>D21</f>
        <v>0.15</v>
      </c>
      <c r="R2" s="53">
        <f>D22</f>
        <v>0.2</v>
      </c>
    </row>
    <row r="3" spans="1:19" x14ac:dyDescent="0.25">
      <c r="E3" s="10" t="s">
        <v>62</v>
      </c>
      <c r="F3" s="10" t="s">
        <v>57</v>
      </c>
      <c r="G3" s="10" t="s">
        <v>58</v>
      </c>
      <c r="H3" s="10" t="s">
        <v>59</v>
      </c>
      <c r="I3" s="10" t="s">
        <v>60</v>
      </c>
      <c r="K3" s="64" t="str">
        <f>F15</f>
        <v>แผนงาน</v>
      </c>
      <c r="L3" s="64" t="str">
        <f>F16</f>
        <v>ออกแบบ</v>
      </c>
      <c r="M3" s="64" t="str">
        <f>F17</f>
        <v>พัฒนา</v>
      </c>
      <c r="N3" s="64" t="str">
        <f>F18</f>
        <v>FAT</v>
      </c>
      <c r="O3" s="64" t="str">
        <f>F19</f>
        <v>HW</v>
      </c>
      <c r="P3" s="64" t="str">
        <f>F20</f>
        <v>SAT</v>
      </c>
      <c r="Q3" s="64" t="str">
        <f>F21</f>
        <v>GO</v>
      </c>
      <c r="R3" s="64" t="s">
        <v>68</v>
      </c>
    </row>
    <row r="4" spans="1:19" x14ac:dyDescent="0.25">
      <c r="B4" s="56" t="s">
        <v>8</v>
      </c>
      <c r="C4" s="57">
        <v>325250000</v>
      </c>
      <c r="D4" s="58">
        <f>ROUND(C4/$C$10,2)</f>
        <v>0.34</v>
      </c>
      <c r="E4" s="66">
        <f>C4</f>
        <v>325250000</v>
      </c>
      <c r="F4" s="67"/>
      <c r="G4" s="67"/>
      <c r="H4" s="67"/>
      <c r="I4" s="67"/>
      <c r="K4" s="65">
        <v>0.05</v>
      </c>
      <c r="L4" s="65">
        <v>0.2</v>
      </c>
      <c r="M4" s="65">
        <v>0.2</v>
      </c>
      <c r="N4" s="65">
        <v>0.3</v>
      </c>
      <c r="O4" s="65">
        <v>0.25</v>
      </c>
      <c r="P4" s="64"/>
      <c r="Q4" s="64"/>
      <c r="R4" s="64"/>
      <c r="S4" s="51">
        <f>SUM(K4:R4)</f>
        <v>1</v>
      </c>
    </row>
    <row r="5" spans="1:19" x14ac:dyDescent="0.25">
      <c r="B5" s="56" t="s">
        <v>9</v>
      </c>
      <c r="C5" s="57">
        <v>115500000</v>
      </c>
      <c r="D5" s="58">
        <f>ROUND(C5/$C$10,2)</f>
        <v>0.12</v>
      </c>
      <c r="E5" s="66">
        <f t="shared" ref="E5:E7" si="0">C5</f>
        <v>115500000</v>
      </c>
      <c r="F5" s="67"/>
      <c r="G5" s="67"/>
      <c r="H5" s="67"/>
      <c r="I5" s="67"/>
      <c r="K5" s="65"/>
      <c r="L5" s="65"/>
      <c r="M5" s="65"/>
      <c r="N5" s="65">
        <v>0.3</v>
      </c>
      <c r="O5" s="65">
        <v>0.7</v>
      </c>
      <c r="P5" s="65"/>
      <c r="Q5" s="65"/>
      <c r="R5" s="65"/>
      <c r="S5" s="51">
        <f t="shared" ref="S5:S9" si="1">SUM(K5:R5)</f>
        <v>1</v>
      </c>
    </row>
    <row r="6" spans="1:19" x14ac:dyDescent="0.25">
      <c r="B6" s="56" t="s">
        <v>2</v>
      </c>
      <c r="C6" s="57">
        <v>110320000</v>
      </c>
      <c r="D6" s="58">
        <f>ROUND(C6/$C$10,2)</f>
        <v>0.12</v>
      </c>
      <c r="E6" s="66">
        <f t="shared" si="0"/>
        <v>110320000</v>
      </c>
      <c r="F6" s="67"/>
      <c r="G6" s="67"/>
      <c r="H6" s="67"/>
      <c r="I6" s="67"/>
      <c r="K6" s="65">
        <v>0.1</v>
      </c>
      <c r="L6" s="65">
        <v>0.3</v>
      </c>
      <c r="M6" s="65">
        <v>0.3</v>
      </c>
      <c r="N6" s="65">
        <v>0.3</v>
      </c>
      <c r="O6" s="65"/>
      <c r="P6" s="65"/>
      <c r="Q6" s="65"/>
      <c r="R6" s="65"/>
      <c r="S6" s="51">
        <f t="shared" si="1"/>
        <v>1</v>
      </c>
    </row>
    <row r="7" spans="1:19" x14ac:dyDescent="0.25">
      <c r="B7" s="59" t="s">
        <v>22</v>
      </c>
      <c r="C7" s="57">
        <v>167480000</v>
      </c>
      <c r="D7" s="58">
        <f t="shared" ref="D7:D9" si="2">ROUND(C7/$C$10,2)</f>
        <v>0.18</v>
      </c>
      <c r="E7" s="66">
        <f t="shared" si="0"/>
        <v>167480000</v>
      </c>
      <c r="F7" s="67"/>
      <c r="G7" s="67"/>
      <c r="H7" s="67"/>
      <c r="I7" s="67"/>
      <c r="K7" s="65"/>
      <c r="L7" s="65"/>
      <c r="M7" s="65"/>
      <c r="N7" s="65"/>
      <c r="O7" s="65">
        <v>0.2</v>
      </c>
      <c r="P7" s="65">
        <v>0.4</v>
      </c>
      <c r="Q7" s="65">
        <v>0.4</v>
      </c>
      <c r="R7" s="65"/>
      <c r="S7" s="51">
        <f t="shared" si="1"/>
        <v>1</v>
      </c>
    </row>
    <row r="8" spans="1:19" x14ac:dyDescent="0.25">
      <c r="B8" s="59" t="s">
        <v>56</v>
      </c>
      <c r="C8" s="57">
        <v>210946000</v>
      </c>
      <c r="D8" s="58">
        <f t="shared" si="2"/>
        <v>0.22</v>
      </c>
      <c r="E8" s="66">
        <f>C8/5</f>
        <v>42189200</v>
      </c>
      <c r="F8" s="66">
        <f>$E8</f>
        <v>42189200</v>
      </c>
      <c r="G8" s="66">
        <f>$E8</f>
        <v>42189200</v>
      </c>
      <c r="H8" s="66">
        <f>$E8</f>
        <v>42189200</v>
      </c>
      <c r="I8" s="66">
        <f>$E8</f>
        <v>42189200</v>
      </c>
      <c r="K8" s="65"/>
      <c r="L8" s="65"/>
      <c r="M8" s="65"/>
      <c r="N8" s="65"/>
      <c r="O8" s="65"/>
      <c r="P8" s="65"/>
      <c r="Q8" s="65"/>
      <c r="R8" s="65">
        <v>1</v>
      </c>
      <c r="S8" s="51">
        <f t="shared" si="1"/>
        <v>1</v>
      </c>
    </row>
    <row r="9" spans="1:19" x14ac:dyDescent="0.25">
      <c r="B9" s="56" t="s">
        <v>4</v>
      </c>
      <c r="C9" s="57">
        <v>22700000</v>
      </c>
      <c r="D9" s="58">
        <f t="shared" si="2"/>
        <v>0.02</v>
      </c>
      <c r="E9" s="66">
        <f>C9</f>
        <v>22700000</v>
      </c>
      <c r="F9" s="67"/>
      <c r="G9" s="67"/>
      <c r="H9" s="67"/>
      <c r="I9" s="67"/>
      <c r="K9" s="65"/>
      <c r="L9" s="65"/>
      <c r="M9" s="65"/>
      <c r="N9" s="65"/>
      <c r="O9" s="65">
        <v>1</v>
      </c>
      <c r="P9" s="65"/>
      <c r="Q9" s="65"/>
      <c r="R9" s="65"/>
      <c r="S9" s="51">
        <f t="shared" si="1"/>
        <v>1</v>
      </c>
    </row>
    <row r="10" spans="1:19" x14ac:dyDescent="0.25">
      <c r="B10" s="56"/>
      <c r="C10" s="57">
        <f>SUM(C4:C9)</f>
        <v>952196000</v>
      </c>
      <c r="D10" s="58">
        <f>SUM(D4:D9)</f>
        <v>1</v>
      </c>
      <c r="E10" s="66">
        <f>SUM(E4:E9)</f>
        <v>783439200</v>
      </c>
      <c r="F10" s="66">
        <f t="shared" ref="F10:I10" si="3">SUM(F4:F9)</f>
        <v>42189200</v>
      </c>
      <c r="G10" s="66">
        <f t="shared" si="3"/>
        <v>42189200</v>
      </c>
      <c r="H10" s="66">
        <f t="shared" si="3"/>
        <v>42189200</v>
      </c>
      <c r="I10" s="66">
        <f t="shared" si="3"/>
        <v>42189200</v>
      </c>
      <c r="J10" s="8"/>
      <c r="K10" s="37"/>
      <c r="L10" s="37"/>
      <c r="M10" s="37"/>
      <c r="N10" s="37"/>
      <c r="O10" s="37"/>
      <c r="P10" s="37"/>
      <c r="Q10" s="37"/>
      <c r="R10" s="37"/>
    </row>
    <row r="11" spans="1:19" x14ac:dyDescent="0.25">
      <c r="B11" s="9" t="s">
        <v>61</v>
      </c>
      <c r="C11" s="52"/>
      <c r="D11" s="53"/>
      <c r="E11" s="54">
        <f>C10*0.05</f>
        <v>47609800</v>
      </c>
      <c r="F11" s="9"/>
      <c r="G11" s="9"/>
      <c r="H11" s="9"/>
      <c r="I11" s="9"/>
    </row>
    <row r="12" spans="1:19" x14ac:dyDescent="0.25">
      <c r="B12" s="9"/>
      <c r="C12" s="52">
        <f>C10*1.07</f>
        <v>1018849720</v>
      </c>
      <c r="D12" s="53"/>
      <c r="E12" s="68">
        <f>E11/$C10</f>
        <v>0.05</v>
      </c>
      <c r="F12" s="68">
        <f>F10/$C10</f>
        <v>4.4307264470760221E-2</v>
      </c>
      <c r="G12" s="68">
        <f t="shared" ref="G12:I12" si="4">G10/$C10</f>
        <v>4.4307264470760221E-2</v>
      </c>
      <c r="H12" s="68">
        <f t="shared" si="4"/>
        <v>4.4307264470760221E-2</v>
      </c>
      <c r="I12" s="68">
        <f t="shared" si="4"/>
        <v>4.4307264470760221E-2</v>
      </c>
      <c r="J12" s="37"/>
    </row>
    <row r="13" spans="1:19" x14ac:dyDescent="0.25">
      <c r="E13" s="55">
        <f>E10/C10</f>
        <v>0.82277094211695911</v>
      </c>
      <c r="F13" s="73">
        <f>SUM(F12:I12)</f>
        <v>0.17722905788304089</v>
      </c>
      <c r="G13" s="73"/>
      <c r="H13" s="73"/>
      <c r="I13" s="73"/>
    </row>
    <row r="14" spans="1:19" x14ac:dyDescent="0.25">
      <c r="B14" t="s">
        <v>69</v>
      </c>
      <c r="C14" s="34">
        <v>1000000000</v>
      </c>
    </row>
    <row r="15" spans="1:19" x14ac:dyDescent="0.25">
      <c r="A15">
        <v>1</v>
      </c>
      <c r="B15" s="60" t="s">
        <v>77</v>
      </c>
      <c r="C15" s="61"/>
      <c r="D15" s="61">
        <v>0.05</v>
      </c>
      <c r="E15" s="62">
        <f>$C$14*D15</f>
        <v>50000000</v>
      </c>
      <c r="F15" s="9" t="s">
        <v>70</v>
      </c>
      <c r="H15" s="61">
        <v>0.08</v>
      </c>
      <c r="I15" s="61">
        <v>0</v>
      </c>
    </row>
    <row r="16" spans="1:19" x14ac:dyDescent="0.25">
      <c r="A16">
        <v>2</v>
      </c>
      <c r="B16" s="60" t="s">
        <v>63</v>
      </c>
      <c r="C16" s="63"/>
      <c r="D16" s="61">
        <v>0.05</v>
      </c>
      <c r="E16" s="62">
        <f t="shared" ref="E16:E22" si="5">$C$14*D16</f>
        <v>50000000</v>
      </c>
      <c r="F16" s="9" t="s">
        <v>71</v>
      </c>
      <c r="H16" s="61">
        <v>0.08</v>
      </c>
      <c r="I16" s="61">
        <v>0.05</v>
      </c>
    </row>
    <row r="17" spans="1:9" x14ac:dyDescent="0.25">
      <c r="A17">
        <v>3</v>
      </c>
      <c r="B17" s="60" t="s">
        <v>64</v>
      </c>
      <c r="C17" s="63"/>
      <c r="D17" s="61">
        <v>0.1</v>
      </c>
      <c r="E17" s="62">
        <f t="shared" si="5"/>
        <v>100000000</v>
      </c>
      <c r="F17" s="9" t="s">
        <v>75</v>
      </c>
      <c r="H17" s="61">
        <v>0.12</v>
      </c>
      <c r="I17" s="61">
        <v>0.1</v>
      </c>
    </row>
    <row r="18" spans="1:9" x14ac:dyDescent="0.25">
      <c r="A18">
        <v>4</v>
      </c>
      <c r="B18" s="60" t="s">
        <v>65</v>
      </c>
      <c r="C18" s="63"/>
      <c r="D18" s="61">
        <v>0.15</v>
      </c>
      <c r="E18" s="62">
        <f t="shared" si="5"/>
        <v>150000000</v>
      </c>
      <c r="F18" s="9" t="s">
        <v>72</v>
      </c>
      <c r="H18" s="61">
        <v>0.12</v>
      </c>
      <c r="I18" s="61">
        <v>0.15</v>
      </c>
    </row>
    <row r="19" spans="1:9" x14ac:dyDescent="0.25">
      <c r="A19">
        <v>5</v>
      </c>
      <c r="B19" s="60" t="s">
        <v>78</v>
      </c>
      <c r="C19" s="63"/>
      <c r="D19" s="61">
        <v>0.15</v>
      </c>
      <c r="E19" s="62">
        <f t="shared" si="5"/>
        <v>150000000</v>
      </c>
      <c r="F19" s="9" t="s">
        <v>76</v>
      </c>
      <c r="H19" s="61">
        <v>0.12</v>
      </c>
      <c r="I19" s="61">
        <v>0.15</v>
      </c>
    </row>
    <row r="20" spans="1:9" x14ac:dyDescent="0.25">
      <c r="A20">
        <v>6</v>
      </c>
      <c r="B20" s="60" t="s">
        <v>79</v>
      </c>
      <c r="C20" s="63"/>
      <c r="D20" s="61">
        <v>0.15</v>
      </c>
      <c r="E20" s="62">
        <f t="shared" si="5"/>
        <v>150000000</v>
      </c>
      <c r="F20" s="9" t="s">
        <v>73</v>
      </c>
      <c r="H20" s="61">
        <v>0.18</v>
      </c>
      <c r="I20" s="61">
        <v>0.2</v>
      </c>
    </row>
    <row r="21" spans="1:9" x14ac:dyDescent="0.25">
      <c r="A21">
        <v>7</v>
      </c>
      <c r="B21" s="60" t="s">
        <v>66</v>
      </c>
      <c r="C21" s="63"/>
      <c r="D21" s="61">
        <v>0.15</v>
      </c>
      <c r="E21" s="62">
        <f t="shared" si="5"/>
        <v>150000000</v>
      </c>
      <c r="F21" s="9" t="s">
        <v>74</v>
      </c>
      <c r="H21" s="61">
        <v>0.12</v>
      </c>
      <c r="I21" s="61">
        <v>0.15</v>
      </c>
    </row>
    <row r="22" spans="1:9" x14ac:dyDescent="0.25">
      <c r="B22" s="60" t="s">
        <v>67</v>
      </c>
      <c r="C22" s="63"/>
      <c r="D22" s="61">
        <v>0.2</v>
      </c>
      <c r="E22" s="62">
        <f t="shared" si="5"/>
        <v>200000000</v>
      </c>
      <c r="F22" s="9" t="s">
        <v>68</v>
      </c>
      <c r="H22" s="61">
        <v>0.18</v>
      </c>
      <c r="I22" s="61">
        <v>0.2</v>
      </c>
    </row>
    <row r="23" spans="1:9" x14ac:dyDescent="0.25">
      <c r="B23" s="70" t="s">
        <v>80</v>
      </c>
      <c r="D23" s="37">
        <f>SUM(D15:D22)</f>
        <v>1</v>
      </c>
      <c r="E23" s="4">
        <f>SUM(E15:E22)</f>
        <v>1000000000</v>
      </c>
    </row>
    <row r="24" spans="1:9" x14ac:dyDescent="0.25">
      <c r="D24" s="69"/>
    </row>
  </sheetData>
  <mergeCells count="1"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topLeftCell="C1" zoomScale="170" zoomScaleNormal="170" workbookViewId="0">
      <selection activeCell="H5" sqref="H5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3.28515625" bestFit="1" customWidth="1"/>
    <col min="5" max="5" width="15" bestFit="1" customWidth="1"/>
    <col min="6" max="7" width="13.28515625" bestFit="1" customWidth="1"/>
    <col min="8" max="9" width="14.28515625" bestFit="1" customWidth="1"/>
    <col min="10" max="10" width="13.1406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34A8-68EE-4374-85DE-3B0749B96868}">
  <dimension ref="A3:K42"/>
  <sheetViews>
    <sheetView topLeftCell="C1" zoomScale="130" zoomScaleNormal="130" workbookViewId="0">
      <selection activeCell="K8" sqref="K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11" width="15.140625" bestFit="1" customWidth="1"/>
    <col min="12" max="12" width="6.140625" customWidth="1"/>
  </cols>
  <sheetData>
    <row r="3" spans="1:11" x14ac:dyDescent="0.25">
      <c r="C3" t="s">
        <v>38</v>
      </c>
      <c r="D3" t="s">
        <v>39</v>
      </c>
      <c r="E3" t="s">
        <v>40</v>
      </c>
      <c r="F3" t="s">
        <v>41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>
        <v>1</v>
      </c>
      <c r="B5" s="9" t="s">
        <v>8</v>
      </c>
      <c r="C5" s="11"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s="11">
        <f>J6</f>
        <v>119310610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s="11">
        <f>J7</f>
        <v>117910000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82740000</v>
      </c>
      <c r="F8" s="17">
        <v>240000000</v>
      </c>
      <c r="G8" s="17">
        <f t="shared" si="0"/>
        <v>82740000</v>
      </c>
      <c r="H8" s="17">
        <f t="shared" si="1"/>
        <v>240000000</v>
      </c>
      <c r="I8" s="17">
        <f t="shared" si="2"/>
        <v>176094552.5</v>
      </c>
      <c r="J8" s="17">
        <f>H8</f>
        <v>240000000</v>
      </c>
      <c r="K8" s="11">
        <f>J8+'VER1 (2)'!A1</f>
        <v>240000000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s="11">
        <f t="shared" ref="K9:K11" si="3">J9</f>
        <v>243019519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s="11">
        <f t="shared" si="3"/>
        <v>22700000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3"/>
        <v>9600000</v>
      </c>
    </row>
    <row r="12" spans="1:11" x14ac:dyDescent="0.25">
      <c r="A12" s="9"/>
      <c r="B12" s="9"/>
      <c r="C12" s="15">
        <f t="shared" ref="C12:K12" si="4">SUM(C5:C11)</f>
        <v>1393814710</v>
      </c>
      <c r="D12" s="15">
        <f t="shared" si="4"/>
        <v>928450000</v>
      </c>
      <c r="E12" s="15">
        <f t="shared" si="4"/>
        <v>1353370000</v>
      </c>
      <c r="F12" s="15">
        <f t="shared" si="4"/>
        <v>1153879316</v>
      </c>
      <c r="G12" s="15">
        <f t="shared" si="4"/>
        <v>748850000</v>
      </c>
      <c r="H12" s="15">
        <f t="shared" si="4"/>
        <v>1974098940</v>
      </c>
      <c r="I12" s="15">
        <f t="shared" si="4"/>
        <v>1212278506.5</v>
      </c>
      <c r="J12" s="15">
        <f t="shared" si="4"/>
        <v>1077790129</v>
      </c>
      <c r="K12" s="15">
        <f t="shared" si="4"/>
        <v>1077790129</v>
      </c>
    </row>
    <row r="13" spans="1:11" x14ac:dyDescent="0.25">
      <c r="C13" s="1">
        <f>SUM(C8:C9)</f>
        <v>632888210</v>
      </c>
      <c r="D13" s="1">
        <f>SUM(D8:D9)</f>
        <v>340000000</v>
      </c>
      <c r="E13" s="1">
        <f>SUM(E8:E9)</f>
        <v>165480000</v>
      </c>
      <c r="F13" s="1">
        <f>SUM(F8:F9)</f>
        <v>538088076</v>
      </c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D22A-C942-4650-93DD-49A7BCC8BA62}">
  <dimension ref="B4:C8"/>
  <sheetViews>
    <sheetView zoomScale="178" workbookViewId="0">
      <selection activeCell="B4" sqref="B4:C7"/>
    </sheetView>
  </sheetViews>
  <sheetFormatPr defaultRowHeight="15" x14ac:dyDescent="0.25"/>
  <cols>
    <col min="2" max="2" width="24" customWidth="1"/>
    <col min="3" max="3" width="11.85546875" bestFit="1" customWidth="1"/>
  </cols>
  <sheetData>
    <row r="4" spans="2:3" x14ac:dyDescent="0.25">
      <c r="B4" s="9" t="s">
        <v>35</v>
      </c>
      <c r="C4" s="16">
        <v>4000000</v>
      </c>
    </row>
    <row r="5" spans="2:3" x14ac:dyDescent="0.25">
      <c r="B5" s="9" t="s">
        <v>36</v>
      </c>
      <c r="C5" s="16">
        <v>4750000</v>
      </c>
    </row>
    <row r="6" spans="2:3" x14ac:dyDescent="0.25">
      <c r="B6" s="9" t="s">
        <v>28</v>
      </c>
      <c r="C6" s="16">
        <v>1000000</v>
      </c>
    </row>
    <row r="7" spans="2:3" x14ac:dyDescent="0.25">
      <c r="B7" s="9" t="s">
        <v>51</v>
      </c>
      <c r="C7" s="16">
        <v>10000000</v>
      </c>
    </row>
    <row r="8" spans="2:3" x14ac:dyDescent="0.25">
      <c r="C8" s="4">
        <f>SUM(C4:C7)</f>
        <v>19750000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topLeftCell="A3" zoomScale="140" zoomScaleNormal="140" workbookViewId="0">
      <selection activeCell="C4" sqref="C4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customWidth="1"/>
    <col min="4" max="4" width="13.5703125" customWidth="1"/>
    <col min="5" max="5" width="15.28515625" customWidth="1"/>
    <col min="6" max="6" width="13.5703125" customWidth="1"/>
    <col min="7" max="7" width="13.5703125" bestFit="1" customWidth="1"/>
    <col min="8" max="9" width="15.28515625" bestFit="1" customWidth="1"/>
    <col min="10" max="10" width="15.140625" bestFit="1" customWidth="1"/>
    <col min="11" max="11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18" t="s">
        <v>22</v>
      </c>
      <c r="C8" s="17">
        <f>C30</f>
        <v>176388210</v>
      </c>
      <c r="D8" s="17">
        <v>205250000</v>
      </c>
      <c r="E8" s="17">
        <f>E25</f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t="s">
        <v>25</v>
      </c>
    </row>
    <row r="9" spans="1:11" x14ac:dyDescent="0.25">
      <c r="A9" s="10">
        <v>5</v>
      </c>
      <c r="B9" s="9" t="s">
        <v>34</v>
      </c>
      <c r="C9" s="11">
        <f>C34</f>
        <v>456500000</v>
      </c>
      <c r="D9" s="11">
        <v>134750000</v>
      </c>
      <c r="E9" s="11">
        <f>E26</f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 t="shared" ref="C16:J16" si="3">SUM(C5:C15)</f>
        <v>1393814710</v>
      </c>
      <c r="D16" s="15">
        <f t="shared" si="3"/>
        <v>928450000</v>
      </c>
      <c r="E16" s="15">
        <f t="shared" si="3"/>
        <v>1353370000</v>
      </c>
      <c r="F16" s="15">
        <f t="shared" si="3"/>
        <v>953350796</v>
      </c>
      <c r="G16" s="15">
        <f t="shared" si="3"/>
        <v>705581480</v>
      </c>
      <c r="H16" s="15">
        <f t="shared" si="3"/>
        <v>1939348940</v>
      </c>
      <c r="I16" s="15">
        <f t="shared" si="3"/>
        <v>1162146376.5</v>
      </c>
      <c r="J16" s="15">
        <f t="shared" si="3"/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>
        <f>J16*1.07</f>
        <v>1136917938.03</v>
      </c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  <c r="J20" s="4">
        <f>J8+J12+J13+J14+J15</f>
        <v>224750000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  <c r="J21" s="4">
        <f>J20/5</f>
        <v>44950000</v>
      </c>
    </row>
    <row r="22" spans="2:10" x14ac:dyDescent="0.25">
      <c r="I22" t="s">
        <v>30</v>
      </c>
      <c r="J22" s="4">
        <f>J21*3</f>
        <v>134850000</v>
      </c>
    </row>
    <row r="23" spans="2:10" x14ac:dyDescent="0.25">
      <c r="B23" t="s">
        <v>11</v>
      </c>
      <c r="C23" s="1">
        <v>309453000</v>
      </c>
      <c r="E23" s="1">
        <v>275800000</v>
      </c>
      <c r="I23" t="s">
        <v>31</v>
      </c>
      <c r="J23" s="4">
        <f>J20-J22</f>
        <v>89900000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  <c r="J24" s="4">
        <f>J22+J23</f>
        <v>224750000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  <c r="G25" t="s">
        <v>32</v>
      </c>
    </row>
    <row r="26" spans="2:10" x14ac:dyDescent="0.25">
      <c r="C26" s="1"/>
      <c r="E26" s="7">
        <f>E23*0.3</f>
        <v>82740000</v>
      </c>
      <c r="G26" t="s">
        <v>33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9F51-BD24-4282-9539-DBC370D84064}">
  <dimension ref="A3:L42"/>
  <sheetViews>
    <sheetView topLeftCell="E1" zoomScale="175" zoomScaleNormal="130" workbookViewId="0">
      <selection activeCell="J8" sqref="J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428200000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676000000</v>
      </c>
      <c r="I5" s="11">
        <f>AVERAGE(C5:F5)</f>
        <v>439942200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22">
        <f t="shared" si="3"/>
        <v>110320000</v>
      </c>
      <c r="K7" s="22">
        <f>I7</f>
        <v>129011625</v>
      </c>
      <c r="L7" t="s">
        <v>23</v>
      </c>
    </row>
    <row r="8" spans="1:12" x14ac:dyDescent="0.25">
      <c r="A8" s="10">
        <v>4</v>
      </c>
      <c r="B8" s="18" t="s">
        <v>22</v>
      </c>
      <c r="C8" s="17">
        <v>176388210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198279552.5</v>
      </c>
      <c r="J8" s="22">
        <f>G8+ADDED!C8</f>
        <v>187230000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456500000</v>
      </c>
      <c r="D9" s="11">
        <v>134750000</v>
      </c>
      <c r="E9" s="11">
        <v>200000000</v>
      </c>
      <c r="F9" s="17">
        <v>298088076</v>
      </c>
      <c r="G9" s="11">
        <f t="shared" si="0"/>
        <v>134750000</v>
      </c>
      <c r="H9" s="11">
        <f t="shared" si="1"/>
        <v>456500000</v>
      </c>
      <c r="I9" s="11">
        <f t="shared" si="2"/>
        <v>272334519</v>
      </c>
      <c r="J9" s="22">
        <f t="shared" si="3"/>
        <v>134750000</v>
      </c>
      <c r="K9" s="22">
        <f>I9</f>
        <v>272334519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/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31566666.666666668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1393814710</v>
      </c>
      <c r="D12" s="15">
        <f t="shared" si="4"/>
        <v>905750000</v>
      </c>
      <c r="E12" s="15">
        <f t="shared" si="4"/>
        <v>1353370000</v>
      </c>
      <c r="F12" s="15">
        <f t="shared" si="4"/>
        <v>1157879316</v>
      </c>
      <c r="G12" s="15">
        <f t="shared" si="4"/>
        <v>885600000</v>
      </c>
      <c r="H12" s="15">
        <f t="shared" si="4"/>
        <v>1766096500</v>
      </c>
      <c r="I12" s="15">
        <f t="shared" si="4"/>
        <v>1215495173.1666667</v>
      </c>
      <c r="J12" s="23">
        <f t="shared" si="4"/>
        <v>905350000</v>
      </c>
      <c r="K12" s="23">
        <f t="shared" si="4"/>
        <v>1118396144</v>
      </c>
    </row>
    <row r="13" spans="1:12" x14ac:dyDescent="0.25">
      <c r="C13" s="1">
        <f>SUM(C8:C9)</f>
        <v>632888210</v>
      </c>
      <c r="D13" s="1">
        <f>SUM(D8:D9)</f>
        <v>340000000</v>
      </c>
      <c r="E13" s="1">
        <f>SUM(E8:E9)</f>
        <v>367480000</v>
      </c>
      <c r="F13" s="1">
        <f>SUM(F8:F9)</f>
        <v>542088076</v>
      </c>
      <c r="G13" s="1"/>
      <c r="H13" s="1"/>
      <c r="I13" s="1"/>
      <c r="J13" s="4"/>
      <c r="K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f>C9/5</f>
        <v>91300000</v>
      </c>
      <c r="E15" s="1"/>
      <c r="J15" s="4"/>
    </row>
    <row r="16" spans="1:12" x14ac:dyDescent="0.25">
      <c r="B16" t="s">
        <v>45</v>
      </c>
      <c r="C16" s="1">
        <f>C5*0.2</f>
        <v>85640000</v>
      </c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ED01-C739-46D4-9928-4ACF3F2EBAE9}">
  <dimension ref="A4:E12"/>
  <sheetViews>
    <sheetView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4.28515625" bestFit="1" customWidth="1"/>
    <col min="4" max="4" width="15.28515625" style="1" bestFit="1" customWidth="1"/>
    <col min="5" max="5" width="39.28515625" customWidth="1"/>
  </cols>
  <sheetData>
    <row r="4" spans="1:5" x14ac:dyDescent="0.25">
      <c r="A4" s="9"/>
      <c r="B4" s="9"/>
      <c r="C4" s="12" t="s">
        <v>10</v>
      </c>
      <c r="D4" s="26" t="s">
        <v>46</v>
      </c>
      <c r="E4" s="29" t="s">
        <v>48</v>
      </c>
    </row>
    <row r="5" spans="1:5" x14ac:dyDescent="0.25">
      <c r="A5" s="10">
        <v>1</v>
      </c>
      <c r="B5" s="9" t="s">
        <v>8</v>
      </c>
      <c r="C5" s="11">
        <v>428200000</v>
      </c>
      <c r="D5" s="11">
        <v>428200000</v>
      </c>
      <c r="E5" s="29" t="s">
        <v>49</v>
      </c>
    </row>
    <row r="6" spans="1:5" x14ac:dyDescent="0.25">
      <c r="A6" s="10">
        <v>2</v>
      </c>
      <c r="B6" s="9" t="s">
        <v>9</v>
      </c>
      <c r="C6" s="11">
        <v>120000000</v>
      </c>
      <c r="D6" s="11">
        <v>120000000</v>
      </c>
    </row>
    <row r="7" spans="1:5" x14ac:dyDescent="0.25">
      <c r="A7" s="10">
        <v>3</v>
      </c>
      <c r="B7" s="9" t="s">
        <v>2</v>
      </c>
      <c r="C7" s="11">
        <v>154726500</v>
      </c>
      <c r="D7" s="27">
        <v>200000000</v>
      </c>
    </row>
    <row r="8" spans="1:5" x14ac:dyDescent="0.25">
      <c r="A8" s="10">
        <v>4</v>
      </c>
      <c r="B8" s="25" t="s">
        <v>22</v>
      </c>
      <c r="C8" s="17">
        <v>176388210</v>
      </c>
      <c r="D8" s="27">
        <v>270000000</v>
      </c>
    </row>
    <row r="9" spans="1:5" x14ac:dyDescent="0.25">
      <c r="A9" s="10">
        <v>5</v>
      </c>
      <c r="B9" s="25" t="s">
        <v>34</v>
      </c>
      <c r="C9" s="11">
        <v>456500000</v>
      </c>
      <c r="D9" s="27">
        <v>317614710</v>
      </c>
    </row>
    <row r="10" spans="1:5" x14ac:dyDescent="0.25">
      <c r="A10" s="10">
        <v>6</v>
      </c>
      <c r="B10" s="9" t="s">
        <v>4</v>
      </c>
      <c r="C10" s="11">
        <v>48000000</v>
      </c>
      <c r="D10" s="28">
        <v>48000000</v>
      </c>
      <c r="E10" s="30" t="s">
        <v>47</v>
      </c>
    </row>
    <row r="11" spans="1:5" x14ac:dyDescent="0.25">
      <c r="A11" s="10">
        <v>7</v>
      </c>
      <c r="B11" s="9" t="s">
        <v>5</v>
      </c>
      <c r="C11" s="11">
        <v>10000000</v>
      </c>
      <c r="D11" s="11">
        <v>10000000</v>
      </c>
      <c r="E11" s="30" t="s">
        <v>50</v>
      </c>
    </row>
    <row r="12" spans="1:5" x14ac:dyDescent="0.25">
      <c r="A12" s="9"/>
      <c r="B12" s="9"/>
      <c r="C12" s="15">
        <f t="shared" ref="C12:D12" si="0">SUM(C5:C11)</f>
        <v>1393814710</v>
      </c>
      <c r="D12" s="15">
        <f t="shared" si="0"/>
        <v>1393814710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B000-722F-4F9C-A989-A45937F3B2D0}">
  <dimension ref="A3:L42"/>
  <sheetViews>
    <sheetView zoomScale="130" zoomScaleNormal="130" workbookViewId="0">
      <selection activeCell="C8" sqref="C8"/>
    </sheetView>
  </sheetViews>
  <sheetFormatPr defaultRowHeight="15" x14ac:dyDescent="0.25"/>
  <cols>
    <col min="1" max="1" width="5.28515625" customWidth="1"/>
    <col min="2" max="2" width="43.85546875" customWidth="1"/>
    <col min="3" max="3" width="17.85546875" bestFit="1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17">
        <v>188766330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108308550</v>
      </c>
      <c r="D9" s="11">
        <v>134750000</v>
      </c>
      <c r="E9" s="11">
        <v>200000000</v>
      </c>
      <c r="F9" s="17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1"/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9CAE-D79E-4806-B08A-26D703CDE36D}">
  <dimension ref="A3:K41"/>
  <sheetViews>
    <sheetView topLeftCell="B1" zoomScale="130" zoomScaleNormal="130" workbookViewId="0">
      <selection activeCell="J14" sqref="J1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8" width="15.140625" bestFit="1" customWidth="1"/>
    <col min="9" max="9" width="22.140625" customWidth="1"/>
    <col min="10" max="10" width="16.5703125" bestFit="1" customWidth="1"/>
    <col min="11" max="11" width="17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'2023-07-07'!C5</f>
        <v>884700000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884700000</v>
      </c>
      <c r="I5" s="11">
        <f>AVERAGE(C5:F5)</f>
        <v>554067200</v>
      </c>
      <c r="J5" s="22">
        <f t="shared" ref="J5:K7" si="0">I5</f>
        <v>554067200</v>
      </c>
      <c r="K5" s="41">
        <f t="shared" si="0"/>
        <v>554067200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1">MIN(C6:F6)</f>
        <v>115500000</v>
      </c>
      <c r="H6" s="11">
        <f t="shared" ref="H6:H10" si="2">MAX(C6:F6)</f>
        <v>176870000</v>
      </c>
      <c r="I6" s="11">
        <f t="shared" ref="I6:I10" si="3">AVERAGE(C6:F6)</f>
        <v>134560610</v>
      </c>
      <c r="J6" s="22">
        <f t="shared" si="0"/>
        <v>134560610</v>
      </c>
      <c r="K6" s="41">
        <f t="shared" si="0"/>
        <v>134560610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1"/>
        <v>110320000</v>
      </c>
      <c r="H7" s="11">
        <f t="shared" si="2"/>
        <v>126000000</v>
      </c>
      <c r="I7" s="11">
        <f t="shared" si="3"/>
        <v>120330000</v>
      </c>
      <c r="J7" s="22">
        <f t="shared" si="0"/>
        <v>120330000</v>
      </c>
      <c r="K7" s="41">
        <f t="shared" si="0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1"/>
        <v>167480000</v>
      </c>
      <c r="H8" s="11">
        <f t="shared" si="2"/>
        <v>253600000</v>
      </c>
      <c r="I8" s="42">
        <f t="shared" si="3"/>
        <v>206274082.5</v>
      </c>
      <c r="J8" s="22">
        <f>ADDED!C8+I8</f>
        <v>226024082.5</v>
      </c>
      <c r="K8" s="41">
        <f>J8</f>
        <v>226024082.5</v>
      </c>
    </row>
    <row r="9" spans="1:11" x14ac:dyDescent="0.25">
      <c r="A9" s="10">
        <v>5</v>
      </c>
      <c r="B9" s="25" t="s">
        <v>34</v>
      </c>
      <c r="C9" s="11">
        <f>'2023-07-07'!C9</f>
        <v>108308550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1"/>
        <v>108308550</v>
      </c>
      <c r="H9" s="11">
        <f t="shared" si="2"/>
        <v>298088076</v>
      </c>
      <c r="I9" s="43">
        <f t="shared" si="3"/>
        <v>185286656.5</v>
      </c>
      <c r="J9" s="22">
        <f>I9</f>
        <v>185286656.5</v>
      </c>
      <c r="K9" s="41">
        <f>J9</f>
        <v>185286656.5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1"/>
        <v>22700000</v>
      </c>
      <c r="H10" s="11">
        <f t="shared" si="2"/>
        <v>48000000</v>
      </c>
      <c r="I10" s="11">
        <f t="shared" si="3"/>
        <v>29350000</v>
      </c>
      <c r="J10" s="22">
        <f>I10</f>
        <v>29350000</v>
      </c>
      <c r="K10" s="41">
        <f>J10</f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849558550</v>
      </c>
      <c r="H11" s="15">
        <f t="shared" si="4"/>
        <v>1787258076</v>
      </c>
      <c r="I11" s="15">
        <f t="shared" si="4"/>
        <v>1229868549</v>
      </c>
      <c r="J11" s="23">
        <f t="shared" si="4"/>
        <v>1249618549</v>
      </c>
      <c r="K11" s="40">
        <f>SUM(K5:K10)</f>
        <v>1249618549</v>
      </c>
    </row>
    <row r="12" spans="1:11" x14ac:dyDescent="0.25">
      <c r="C12" s="1"/>
      <c r="D12" s="1"/>
      <c r="E12" s="1"/>
      <c r="F12" s="1"/>
      <c r="G12" s="1"/>
      <c r="H12" s="1"/>
      <c r="I12" s="1"/>
      <c r="J12" s="1"/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E14" s="1"/>
      <c r="J14" s="48">
        <f>ROUND(J5,-3)</f>
        <v>554067000</v>
      </c>
    </row>
    <row r="15" spans="1:11" x14ac:dyDescent="0.25">
      <c r="C15" s="3"/>
      <c r="E15" s="1"/>
      <c r="J15" s="4"/>
    </row>
    <row r="16" spans="1:11" x14ac:dyDescent="0.25">
      <c r="B16" s="2"/>
      <c r="C16" s="5"/>
      <c r="E16" s="1"/>
      <c r="J16" s="4"/>
    </row>
    <row r="17" spans="2:10" x14ac:dyDescent="0.25">
      <c r="C17" s="4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2023-07-07 (2)</vt:lpstr>
      <vt:lpstr>VER0</vt:lpstr>
      <vt:lpstr>VER1 (2)</vt:lpstr>
      <vt:lpstr>ADDED</vt:lpstr>
      <vt:lpstr>VER2</vt:lpstr>
      <vt:lpstr>2023-07-06</vt:lpstr>
      <vt:lpstr>หารือคุณลักษณ์</vt:lpstr>
      <vt:lpstr>2023-07-07</vt:lpstr>
      <vt:lpstr>2023-07-07a</vt:lpstr>
      <vt:lpstr>2023-07-07b</vt:lpstr>
      <vt:lpstr>2023-07-07c</vt:lpstr>
      <vt:lpstr>2023-07-07d</vt:lpstr>
      <vt:lpstr>2023-07-07e</vt:lpstr>
      <vt:lpstr>2023-10-28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choompol@staff.tu.ac.th 3100601641284</cp:lastModifiedBy>
  <dcterms:created xsi:type="dcterms:W3CDTF">2023-06-23T01:46:54Z</dcterms:created>
  <dcterms:modified xsi:type="dcterms:W3CDTF">2023-11-02T10:27:57Z</dcterms:modified>
</cp:coreProperties>
</file>