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2\sg-pea\week\pea-sg4-2024-01-08\"/>
    </mc:Choice>
  </mc:AlternateContent>
  <xr:revisionPtr revIDLastSave="0" documentId="8_{90E8A9CC-0D27-4E1A-BE11-1DA513CC223D}" xr6:coauthVersionLast="47" xr6:coauthVersionMax="47" xr10:uidLastSave="{00000000-0000-0000-0000-000000000000}"/>
  <bookViews>
    <workbookView xWindow="1785" yWindow="720" windowWidth="26730" windowHeight="13950" xr2:uid="{56EA7436-477B-486E-95FC-2C94D92ADFB2}"/>
  </bookViews>
  <sheets>
    <sheet name="ปลวกแดง" sheetId="3" r:id="rId1"/>
    <sheet name="เชียงใหม่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3" l="1"/>
  <c r="H14" i="3"/>
  <c r="H13" i="3"/>
  <c r="H12" i="3"/>
  <c r="H11" i="3"/>
  <c r="H10" i="3"/>
  <c r="H9" i="3"/>
  <c r="H8" i="3"/>
  <c r="H7" i="3"/>
  <c r="Y14" i="4"/>
  <c r="X14" i="4"/>
  <c r="Y13" i="4"/>
  <c r="X13" i="4"/>
  <c r="Y12" i="4"/>
  <c r="X12" i="4"/>
  <c r="Y11" i="4"/>
  <c r="X11" i="4"/>
  <c r="Y10" i="4"/>
  <c r="X10" i="4"/>
  <c r="Y9" i="4"/>
  <c r="X9" i="4"/>
  <c r="Y8" i="4"/>
  <c r="X8" i="4"/>
  <c r="Y7" i="4"/>
  <c r="X7" i="4"/>
  <c r="Y6" i="4"/>
  <c r="X6" i="4"/>
  <c r="X14" i="3"/>
  <c r="W14" i="3"/>
  <c r="X13" i="3"/>
  <c r="W13" i="3"/>
  <c r="X12" i="3"/>
  <c r="W12" i="3"/>
  <c r="X11" i="3"/>
  <c r="W11" i="3"/>
  <c r="X10" i="3"/>
  <c r="W10" i="3"/>
  <c r="X9" i="3"/>
  <c r="W9" i="3"/>
  <c r="X8" i="3"/>
  <c r="W8" i="3"/>
  <c r="X7" i="3"/>
  <c r="W7" i="3"/>
  <c r="X6" i="3"/>
  <c r="W6" i="3"/>
  <c r="T6" i="3"/>
  <c r="C7" i="3"/>
  <c r="C18" i="3" s="1"/>
  <c r="K7" i="3"/>
  <c r="K8" i="3" s="1"/>
  <c r="U8" i="3" s="1"/>
  <c r="C23" i="4"/>
  <c r="C22" i="4"/>
  <c r="C21" i="4"/>
  <c r="C20" i="4"/>
  <c r="C17" i="4"/>
  <c r="C16" i="4"/>
  <c r="U14" i="4"/>
  <c r="U13" i="4"/>
  <c r="U12" i="4"/>
  <c r="U11" i="4"/>
  <c r="U10" i="4"/>
  <c r="U9" i="4"/>
  <c r="C9" i="4"/>
  <c r="P6" i="4" s="1"/>
  <c r="U8" i="4"/>
  <c r="C8" i="4"/>
  <c r="C19" i="4" s="1"/>
  <c r="U7" i="4"/>
  <c r="L7" i="4"/>
  <c r="L8" i="4" s="1"/>
  <c r="C7" i="4"/>
  <c r="C18" i="4" s="1"/>
  <c r="W6" i="4"/>
  <c r="V6" i="4"/>
  <c r="U6" i="4"/>
  <c r="O6" i="4"/>
  <c r="N6" i="4"/>
  <c r="H6" i="4"/>
  <c r="H7" i="4" s="1"/>
  <c r="H8" i="4" s="1"/>
  <c r="C23" i="3"/>
  <c r="C22" i="3"/>
  <c r="C21" i="3"/>
  <c r="C20" i="3"/>
  <c r="C17" i="3"/>
  <c r="C16" i="3"/>
  <c r="T14" i="3"/>
  <c r="T13" i="3"/>
  <c r="T12" i="3"/>
  <c r="T11" i="3"/>
  <c r="T10" i="3"/>
  <c r="T9" i="3"/>
  <c r="C9" i="3"/>
  <c r="O6" i="3" s="1"/>
  <c r="T8" i="3"/>
  <c r="C8" i="3"/>
  <c r="C19" i="3" s="1"/>
  <c r="T7" i="3"/>
  <c r="V6" i="3"/>
  <c r="U6" i="3"/>
  <c r="P6" i="3"/>
  <c r="N6" i="3"/>
  <c r="M6" i="3"/>
  <c r="B6" i="1"/>
  <c r="V7" i="4" l="1"/>
  <c r="AA7" i="4" s="1"/>
  <c r="W7" i="4"/>
  <c r="U7" i="3"/>
  <c r="Q6" i="4"/>
  <c r="R6" i="4"/>
  <c r="S6" i="4"/>
  <c r="AA6" i="4"/>
  <c r="Q6" i="3"/>
  <c r="R6" i="3"/>
  <c r="C25" i="4"/>
  <c r="G5" i="4" s="1"/>
  <c r="I6" i="4" s="1"/>
  <c r="V7" i="3"/>
  <c r="Z6" i="3"/>
  <c r="Q8" i="3"/>
  <c r="P8" i="3"/>
  <c r="C25" i="3"/>
  <c r="G5" i="3" s="1"/>
  <c r="P8" i="4"/>
  <c r="O8" i="4"/>
  <c r="N8" i="4"/>
  <c r="L9" i="4"/>
  <c r="W8" i="4"/>
  <c r="V8" i="4"/>
  <c r="AA8" i="4" s="1"/>
  <c r="R8" i="4"/>
  <c r="Q8" i="4"/>
  <c r="H9" i="4"/>
  <c r="O7" i="4"/>
  <c r="Q7" i="4"/>
  <c r="N7" i="4"/>
  <c r="P7" i="4"/>
  <c r="R7" i="4"/>
  <c r="N8" i="3"/>
  <c r="M8" i="3"/>
  <c r="V8" i="3"/>
  <c r="Z8" i="3"/>
  <c r="K9" i="3"/>
  <c r="U9" i="3" s="1"/>
  <c r="O8" i="3"/>
  <c r="M7" i="3"/>
  <c r="N7" i="3"/>
  <c r="O7" i="3"/>
  <c r="P7" i="3"/>
  <c r="Q7" i="3"/>
  <c r="I8" i="3" l="1"/>
  <c r="J8" i="3" s="1"/>
  <c r="I11" i="3"/>
  <c r="I10" i="3"/>
  <c r="I9" i="3"/>
  <c r="I7" i="3"/>
  <c r="J7" i="3" s="1"/>
  <c r="I6" i="3"/>
  <c r="J6" i="3" s="1"/>
  <c r="I14" i="3"/>
  <c r="I13" i="3"/>
  <c r="I12" i="3"/>
  <c r="J5" i="4"/>
  <c r="Z7" i="3"/>
  <c r="J5" i="3"/>
  <c r="R8" i="3"/>
  <c r="J6" i="4"/>
  <c r="I7" i="4"/>
  <c r="W9" i="4"/>
  <c r="P9" i="4"/>
  <c r="V9" i="4"/>
  <c r="AA9" i="4" s="1"/>
  <c r="R9" i="4"/>
  <c r="L10" i="4"/>
  <c r="Q9" i="4"/>
  <c r="O9" i="4"/>
  <c r="N9" i="4"/>
  <c r="S7" i="4"/>
  <c r="S8" i="4"/>
  <c r="H10" i="4"/>
  <c r="R7" i="3"/>
  <c r="J9" i="3"/>
  <c r="V9" i="3"/>
  <c r="Z9" i="3"/>
  <c r="Q9" i="3"/>
  <c r="K10" i="3"/>
  <c r="U10" i="3" s="1"/>
  <c r="P9" i="3"/>
  <c r="O9" i="3"/>
  <c r="N9" i="3"/>
  <c r="M9" i="3"/>
  <c r="S9" i="4" l="1"/>
  <c r="R9" i="3"/>
  <c r="R10" i="4"/>
  <c r="Q10" i="4"/>
  <c r="L11" i="4"/>
  <c r="P10" i="4"/>
  <c r="V10" i="4"/>
  <c r="O10" i="4"/>
  <c r="N10" i="4"/>
  <c r="W10" i="4"/>
  <c r="H11" i="4"/>
  <c r="I8" i="4"/>
  <c r="J7" i="4"/>
  <c r="Q10" i="3"/>
  <c r="K11" i="3"/>
  <c r="U11" i="3" s="1"/>
  <c r="P10" i="3"/>
  <c r="O10" i="3"/>
  <c r="N10" i="3"/>
  <c r="M10" i="3"/>
  <c r="V10" i="3"/>
  <c r="Z10" i="3" s="1"/>
  <c r="J10" i="3"/>
  <c r="S10" i="4" l="1"/>
  <c r="H12" i="4"/>
  <c r="AA10" i="4"/>
  <c r="O11" i="4"/>
  <c r="N11" i="4"/>
  <c r="L12" i="4"/>
  <c r="Q11" i="4"/>
  <c r="W11" i="4"/>
  <c r="V11" i="4"/>
  <c r="AA11" i="4" s="1"/>
  <c r="R11" i="4"/>
  <c r="P11" i="4"/>
  <c r="I9" i="4"/>
  <c r="J8" i="4"/>
  <c r="J11" i="3"/>
  <c r="R10" i="3"/>
  <c r="M11" i="3"/>
  <c r="V11" i="3"/>
  <c r="Q11" i="3"/>
  <c r="P11" i="3"/>
  <c r="O11" i="3"/>
  <c r="N11" i="3"/>
  <c r="K12" i="3"/>
  <c r="U12" i="3" s="1"/>
  <c r="W12" i="4" l="1"/>
  <c r="V12" i="4"/>
  <c r="AA12" i="4" s="1"/>
  <c r="N12" i="4"/>
  <c r="L13" i="4"/>
  <c r="R12" i="4"/>
  <c r="Q12" i="4"/>
  <c r="P12" i="4"/>
  <c r="O12" i="4"/>
  <c r="S11" i="4"/>
  <c r="H13" i="4"/>
  <c r="I10" i="4"/>
  <c r="J9" i="4"/>
  <c r="V12" i="3"/>
  <c r="Q12" i="3"/>
  <c r="K13" i="3"/>
  <c r="U13" i="3" s="1"/>
  <c r="P12" i="3"/>
  <c r="O12" i="3"/>
  <c r="N12" i="3"/>
  <c r="M12" i="3"/>
  <c r="Z11" i="3"/>
  <c r="R11" i="3"/>
  <c r="J12" i="3"/>
  <c r="S12" i="4" l="1"/>
  <c r="R13" i="4"/>
  <c r="L14" i="4"/>
  <c r="W13" i="4"/>
  <c r="Q13" i="4"/>
  <c r="V13" i="4"/>
  <c r="P13" i="4"/>
  <c r="N13" i="4"/>
  <c r="O13" i="4"/>
  <c r="I11" i="4"/>
  <c r="J10" i="4"/>
  <c r="H14" i="4"/>
  <c r="J14" i="3"/>
  <c r="J13" i="3"/>
  <c r="R12" i="3"/>
  <c r="Q13" i="3"/>
  <c r="K14" i="3"/>
  <c r="U14" i="3" s="1"/>
  <c r="P13" i="3"/>
  <c r="O13" i="3"/>
  <c r="N13" i="3"/>
  <c r="M13" i="3"/>
  <c r="R13" i="3" s="1"/>
  <c r="V13" i="3"/>
  <c r="Z13" i="3"/>
  <c r="Z12" i="3"/>
  <c r="I12" i="4" l="1"/>
  <c r="J11" i="4"/>
  <c r="O14" i="4"/>
  <c r="N14" i="4"/>
  <c r="Q14" i="4"/>
  <c r="P14" i="4"/>
  <c r="V14" i="4"/>
  <c r="R14" i="4"/>
  <c r="W14" i="4"/>
  <c r="S13" i="4"/>
  <c r="AA13" i="4"/>
  <c r="M14" i="3"/>
  <c r="V14" i="3"/>
  <c r="Z14" i="3"/>
  <c r="Z16" i="3" s="1"/>
  <c r="Q14" i="3"/>
  <c r="P14" i="3"/>
  <c r="O14" i="3"/>
  <c r="N14" i="3"/>
  <c r="J16" i="3"/>
  <c r="I13" i="4" l="1"/>
  <c r="J12" i="4"/>
  <c r="AA14" i="4"/>
  <c r="AA16" i="4" s="1"/>
  <c r="S14" i="4"/>
  <c r="S16" i="4" s="1"/>
  <c r="Z17" i="3"/>
  <c r="R14" i="3"/>
  <c r="R16" i="3" s="1"/>
  <c r="R17" i="3" s="1"/>
  <c r="I14" i="4" l="1"/>
  <c r="J14" i="4" s="1"/>
  <c r="J13" i="4"/>
  <c r="J16" i="4" l="1"/>
  <c r="AA17" i="4" s="1"/>
  <c r="S17" i="4" l="1"/>
</calcChain>
</file>

<file path=xl/sharedStrings.xml><?xml version="1.0" encoding="utf-8"?>
<sst xmlns="http://schemas.openxmlformats.org/spreadsheetml/2006/main" count="184" uniqueCount="61">
  <si>
    <t>A</t>
  </si>
  <si>
    <t>B</t>
  </si>
  <si>
    <t>C</t>
  </si>
  <si>
    <t>ต้นทุน
คงที่</t>
  </si>
  <si>
    <t>ต้นทุน
ปฏิบัติการ
และบำรุง
รักษา</t>
  </si>
  <si>
    <t>ปีที่</t>
  </si>
  <si>
    <t>ลดจ่าย 
จดหน่วย
ออกบิล</t>
  </si>
  <si>
    <t>ลดจ่าย
สูญเสีย
ในระบบ</t>
  </si>
  <si>
    <t>ประเมิน
ผิดพลาด
-&gt;ข้อมูล
ไม่ถูก</t>
  </si>
  <si>
    <t>คุณภาพ</t>
  </si>
  <si>
    <t>ต้นทุน</t>
  </si>
  <si>
    <t>trans</t>
  </si>
  <si>
    <t>meter</t>
  </si>
  <si>
    <t>0101101</t>
  </si>
  <si>
    <t>Smart DT</t>
  </si>
  <si>
    <t>Smart CEMS</t>
  </si>
  <si>
    <t>trans exp</t>
  </si>
  <si>
    <t>CEMS exp</t>
  </si>
  <si>
    <t>batt</t>
  </si>
  <si>
    <t>Smart ESS</t>
  </si>
  <si>
    <t>BESS exp</t>
  </si>
  <si>
    <t>V2G impl</t>
  </si>
  <si>
    <t>V2G exp</t>
  </si>
  <si>
    <t>รายได้
ประมาณ
การ (before)</t>
  </si>
  <si>
    <t>ลดจ่าย
จาก
สมดุลย์
เฟส</t>
  </si>
  <si>
    <t>รายได้
จากลด
เวลา
ไฟดับ</t>
  </si>
  <si>
    <t>ลดจ่าย
แก้ไฟ</t>
  </si>
  <si>
    <t>DR parti</t>
  </si>
  <si>
    <t>V2G parti</t>
  </si>
  <si>
    <t>ตอบ
สนอง
ผู้ใช้ไฟ
ดีขึ้น</t>
  </si>
  <si>
    <t>GMM exp</t>
  </si>
  <si>
    <t>Comm exp</t>
  </si>
  <si>
    <t>Integr. exp</t>
  </si>
  <si>
    <t>ต้นทุน
สื่อสาร
ข้อมูล</t>
  </si>
  <si>
    <t>ลดจ่าย
ประเมิน
ผิดพลาด</t>
  </si>
  <si>
    <t>% of rev</t>
  </si>
  <si>
    <t>FIRR</t>
  </si>
  <si>
    <t>EIRR</t>
  </si>
  <si>
    <t>รายได้
จาก 
ไม่ตก ไม่ดับ
โหลดเกิน</t>
  </si>
  <si>
    <t>รายได้
เก็บค่าไฟ
ได้มากขึ้น</t>
  </si>
  <si>
    <t>ลดรายได้
จาก DR</t>
  </si>
  <si>
    <t>เพิ่มรายได้
จาก EV
Time
Shift</t>
  </si>
  <si>
    <t>DERMS exp</t>
  </si>
  <si>
    <t>ต้นทุนรวม</t>
  </si>
  <si>
    <t>NPV expense</t>
  </si>
  <si>
    <t>ลด/เลื่อน
การลงทุน
INFRA</t>
  </si>
  <si>
    <t>NPV economic internal return</t>
  </si>
  <si>
    <t>NPV financial interna return</t>
  </si>
  <si>
    <t>ผลตอบแทน
ทางการเงิน</t>
  </si>
  <si>
    <t>ผลตอบแทน
ทางเศรษฐกิจ</t>
  </si>
  <si>
    <t>0816101</t>
  </si>
  <si>
    <t>กฟอ.ปลวกแดง</t>
  </si>
  <si>
    <t>กฟจ.เชียงใหม่</t>
  </si>
  <si>
    <t>Financial Return</t>
  </si>
  <si>
    <t>Economic Return</t>
  </si>
  <si>
    <t>ยืนหยุ่น
ต่อการ
เปลี่ยน
แปลง</t>
  </si>
  <si>
    <t>Total invest</t>
  </si>
  <si>
    <t>H</t>
  </si>
  <si>
    <t>THB</t>
  </si>
  <si>
    <t>เสถียร
ภาพ
ระบบไฟฟ้า</t>
  </si>
  <si>
    <t>Non-Monetary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</si>
</sst>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 wrapText="1"/>
    </xf>
    <xf numFmtId="0" fontId="0" fillId="5" borderId="1" xfId="0" applyFill="1" applyBorder="1" applyAlignment="1">
      <alignment horizontal="center"/>
    </xf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164" fontId="0" fillId="3" borderId="1" xfId="0" applyNumberFormat="1" applyFill="1" applyBorder="1"/>
    <xf numFmtId="164" fontId="0" fillId="4" borderId="1" xfId="0" applyNumberFormat="1" applyFill="1" applyBorder="1"/>
    <xf numFmtId="164" fontId="0" fillId="6" borderId="1" xfId="1" applyNumberFormat="1" applyFont="1" applyFill="1" applyBorder="1"/>
    <xf numFmtId="10" fontId="0" fillId="3" borderId="1" xfId="2" applyNumberFormat="1" applyFont="1" applyFill="1" applyBorder="1"/>
    <xf numFmtId="0" fontId="0" fillId="3" borderId="1" xfId="0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0" fontId="2" fillId="3" borderId="2" xfId="2" applyNumberFormat="1" applyFont="1" applyFill="1" applyBorder="1" applyAlignment="1">
      <alignment horizontal="center"/>
    </xf>
    <xf numFmtId="10" fontId="2" fillId="3" borderId="3" xfId="2" applyNumberFormat="1" applyFont="1" applyFill="1" applyBorder="1" applyAlignment="1">
      <alignment horizontal="center"/>
    </xf>
    <xf numFmtId="10" fontId="2" fillId="3" borderId="4" xfId="2" applyNumberFormat="1" applyFont="1" applyFill="1" applyBorder="1" applyAlignment="1">
      <alignment horizontal="center"/>
    </xf>
    <xf numFmtId="10" fontId="2" fillId="3" borderId="1" xfId="2" applyNumberFormat="1" applyFont="1" applyFill="1" applyBorder="1"/>
    <xf numFmtId="164" fontId="2" fillId="4" borderId="1" xfId="0" applyNumberFormat="1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0" fontId="2" fillId="4" borderId="1" xfId="2" applyNumberFormat="1" applyFont="1" applyFill="1" applyBorder="1" applyAlignment="1">
      <alignment horizontal="center"/>
    </xf>
    <xf numFmtId="10" fontId="0" fillId="4" borderId="1" xfId="2" applyNumberFormat="1" applyFont="1" applyFill="1" applyBorder="1"/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64" fontId="0" fillId="2" borderId="1" xfId="0" applyNumberForma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64" fontId="0" fillId="6" borderId="1" xfId="0" applyNumberFormat="1" applyFill="1" applyBorder="1"/>
    <xf numFmtId="10" fontId="0" fillId="6" borderId="1" xfId="2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49" fontId="0" fillId="2" borderId="1" xfId="0" applyNumberFormat="1" applyFill="1" applyBorder="1"/>
    <xf numFmtId="10" fontId="0" fillId="6" borderId="1" xfId="2" applyNumberFormat="1" applyFon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164" fontId="0" fillId="7" borderId="1" xfId="0" applyNumberFormat="1" applyFill="1" applyBorder="1"/>
    <xf numFmtId="164" fontId="0" fillId="7" borderId="1" xfId="1" applyNumberFormat="1" applyFont="1" applyFill="1" applyBorder="1"/>
    <xf numFmtId="0" fontId="0" fillId="0" borderId="0" xfId="0" applyFill="1"/>
    <xf numFmtId="164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5EE1B-E95F-4353-ACE3-C1E87CA1CB40}">
  <dimension ref="B1:AD25"/>
  <sheetViews>
    <sheetView tabSelected="1" topLeftCell="N1" zoomScale="115" zoomScaleNormal="115" workbookViewId="0">
      <selection activeCell="AD4" sqref="AD4"/>
    </sheetView>
  </sheetViews>
  <sheetFormatPr defaultRowHeight="15" x14ac:dyDescent="0.25"/>
  <cols>
    <col min="1" max="1" width="3" customWidth="1"/>
    <col min="2" max="2" width="12.42578125" customWidth="1"/>
    <col min="3" max="3" width="17" customWidth="1"/>
    <col min="4" max="4" width="7.28515625" customWidth="1"/>
    <col min="5" max="5" width="3.42578125" customWidth="1"/>
    <col min="6" max="6" width="3.85546875" bestFit="1" customWidth="1"/>
    <col min="7" max="7" width="15.140625" bestFit="1" customWidth="1"/>
    <col min="8" max="8" width="12.28515625" bestFit="1" customWidth="1"/>
    <col min="9" max="9" width="13.28515625" customWidth="1"/>
    <col min="10" max="11" width="15.140625" bestFit="1" customWidth="1"/>
    <col min="12" max="12" width="2.28515625" customWidth="1"/>
    <col min="13" max="13" width="12.28515625" bestFit="1" customWidth="1"/>
    <col min="14" max="14" width="13.42578125" bestFit="1" customWidth="1"/>
    <col min="15" max="15" width="11.5703125" customWidth="1"/>
    <col min="16" max="16" width="12.28515625" bestFit="1" customWidth="1"/>
    <col min="17" max="17" width="11.5703125" bestFit="1" customWidth="1"/>
    <col min="18" max="18" width="15.140625" bestFit="1" customWidth="1"/>
    <col min="19" max="19" width="2" customWidth="1"/>
    <col min="20" max="20" width="11.5703125" bestFit="1" customWidth="1"/>
    <col min="21" max="21" width="12.5703125" bestFit="1" customWidth="1"/>
    <col min="22" max="22" width="12.28515625" bestFit="1" customWidth="1"/>
    <col min="23" max="23" width="11.140625" bestFit="1" customWidth="1"/>
    <col min="24" max="24" width="10.5703125" bestFit="1" customWidth="1"/>
    <col min="25" max="25" width="13.42578125" bestFit="1" customWidth="1"/>
    <col min="26" max="26" width="15.140625" bestFit="1" customWidth="1"/>
  </cols>
  <sheetData>
    <row r="1" spans="2:30" x14ac:dyDescent="0.25">
      <c r="M1" t="s">
        <v>35</v>
      </c>
    </row>
    <row r="2" spans="2:30" x14ac:dyDescent="0.25">
      <c r="H2" s="52">
        <v>6000</v>
      </c>
      <c r="I2" s="37">
        <v>2.1999999999999999E-2</v>
      </c>
      <c r="J2" s="37">
        <v>0.05</v>
      </c>
      <c r="K2" s="50">
        <v>0.04</v>
      </c>
      <c r="M2" s="50">
        <v>0.01</v>
      </c>
      <c r="N2" s="50">
        <v>0.03</v>
      </c>
      <c r="O2" s="50">
        <v>0.02</v>
      </c>
      <c r="P2" s="50">
        <v>0.15</v>
      </c>
      <c r="Q2" s="50">
        <v>0.02</v>
      </c>
      <c r="T2" s="51">
        <v>5</v>
      </c>
      <c r="U2" s="50">
        <v>0.01</v>
      </c>
      <c r="V2" s="50">
        <v>0.01</v>
      </c>
      <c r="W2" s="51">
        <v>2</v>
      </c>
      <c r="X2" s="51">
        <v>1</v>
      </c>
    </row>
    <row r="3" spans="2:30" x14ac:dyDescent="0.25">
      <c r="B3" s="49" t="s">
        <v>50</v>
      </c>
      <c r="C3" s="33" t="s">
        <v>51</v>
      </c>
      <c r="F3" s="4"/>
      <c r="G3" s="29" t="s">
        <v>10</v>
      </c>
      <c r="H3" s="29"/>
      <c r="I3" s="30"/>
      <c r="J3" s="34"/>
      <c r="K3" s="5"/>
      <c r="M3" s="43" t="s">
        <v>53</v>
      </c>
      <c r="N3" s="44"/>
      <c r="O3" s="44"/>
      <c r="P3" s="44"/>
      <c r="Q3" s="44"/>
      <c r="R3" s="45"/>
      <c r="T3" s="40" t="s">
        <v>54</v>
      </c>
      <c r="U3" s="41"/>
      <c r="V3" s="41"/>
      <c r="W3" s="41"/>
      <c r="X3" s="41"/>
      <c r="Y3" s="41"/>
      <c r="Z3" s="42"/>
      <c r="AA3" s="6" t="s">
        <v>9</v>
      </c>
      <c r="AB3" s="6"/>
      <c r="AC3" s="6"/>
      <c r="AD3" s="6"/>
    </row>
    <row r="4" spans="2:30" ht="60" x14ac:dyDescent="0.25">
      <c r="F4" s="7" t="s">
        <v>5</v>
      </c>
      <c r="G4" s="31" t="s">
        <v>3</v>
      </c>
      <c r="H4" s="31" t="s">
        <v>33</v>
      </c>
      <c r="I4" s="31" t="s">
        <v>4</v>
      </c>
      <c r="J4" s="35" t="s">
        <v>43</v>
      </c>
      <c r="K4" s="8" t="s">
        <v>23</v>
      </c>
      <c r="M4" s="17" t="s">
        <v>25</v>
      </c>
      <c r="N4" s="17" t="s">
        <v>39</v>
      </c>
      <c r="O4" s="17" t="s">
        <v>40</v>
      </c>
      <c r="P4" s="17" t="s">
        <v>41</v>
      </c>
      <c r="Q4" s="17" t="s">
        <v>38</v>
      </c>
      <c r="R4" s="17" t="s">
        <v>48</v>
      </c>
      <c r="T4" s="28" t="s">
        <v>6</v>
      </c>
      <c r="U4" s="28" t="s">
        <v>7</v>
      </c>
      <c r="V4" s="28" t="s">
        <v>24</v>
      </c>
      <c r="W4" s="28" t="s">
        <v>26</v>
      </c>
      <c r="X4" s="28" t="s">
        <v>34</v>
      </c>
      <c r="Y4" s="28" t="s">
        <v>45</v>
      </c>
      <c r="Z4" s="28" t="s">
        <v>49</v>
      </c>
      <c r="AA4" s="8" t="s">
        <v>29</v>
      </c>
      <c r="AB4" s="8" t="s">
        <v>8</v>
      </c>
      <c r="AC4" s="8" t="s">
        <v>55</v>
      </c>
      <c r="AD4" s="8" t="s">
        <v>59</v>
      </c>
    </row>
    <row r="5" spans="2:30" x14ac:dyDescent="0.25">
      <c r="B5" s="4" t="s">
        <v>11</v>
      </c>
      <c r="C5" s="15">
        <v>2068</v>
      </c>
      <c r="F5" s="9">
        <v>1</v>
      </c>
      <c r="G5" s="32">
        <f>C25</f>
        <v>1261509400</v>
      </c>
      <c r="H5" s="32"/>
      <c r="I5" s="32"/>
      <c r="J5" s="32">
        <f>G5+H5+I5</f>
        <v>1261509400</v>
      </c>
      <c r="K5" s="10"/>
      <c r="M5" s="11"/>
      <c r="N5" s="11"/>
      <c r="O5" s="11"/>
      <c r="P5" s="11"/>
      <c r="Q5" s="11"/>
      <c r="R5" s="11"/>
      <c r="T5" s="12"/>
      <c r="U5" s="12"/>
      <c r="V5" s="12"/>
      <c r="W5" s="12"/>
      <c r="X5" s="12"/>
      <c r="Y5" s="12"/>
      <c r="Z5" s="12"/>
      <c r="AA5" s="4"/>
      <c r="AB5" s="4"/>
      <c r="AC5" s="4"/>
      <c r="AD5" s="4"/>
    </row>
    <row r="6" spans="2:30" x14ac:dyDescent="0.25">
      <c r="B6" s="4" t="s">
        <v>12</v>
      </c>
      <c r="C6" s="15">
        <v>74892</v>
      </c>
      <c r="F6" s="9">
        <v>2</v>
      </c>
      <c r="G6" s="33"/>
      <c r="H6" s="32">
        <f>$C$5*$H$2</f>
        <v>12408000</v>
      </c>
      <c r="I6" s="32">
        <f>$G$5*$I$2</f>
        <v>27753206.799999997</v>
      </c>
      <c r="J6" s="32">
        <f t="shared" ref="J6:J14" si="0">G6+H6+I6</f>
        <v>40161206.799999997</v>
      </c>
      <c r="K6" s="36">
        <v>4200000000</v>
      </c>
      <c r="M6" s="13">
        <f>$K6*$M$2</f>
        <v>42000000</v>
      </c>
      <c r="N6" s="13">
        <f>$K6*$N$2</f>
        <v>126000000</v>
      </c>
      <c r="O6" s="13">
        <f>-$K6*$C$9/$C$6*$O$2</f>
        <v>-840000</v>
      </c>
      <c r="P6" s="13">
        <f>$K6*$C$8/$C$6*$P$2</f>
        <v>18899999.999999996</v>
      </c>
      <c r="Q6" s="13">
        <f>$K6*$C$8/$C$6*$Q$2</f>
        <v>2519999.9999999995</v>
      </c>
      <c r="R6" s="13">
        <f>SUM(M6:Q6)</f>
        <v>188580000</v>
      </c>
      <c r="T6" s="14">
        <f>$C$6*$T$2*12</f>
        <v>4493520</v>
      </c>
      <c r="U6" s="14">
        <f>$K6*$U$2</f>
        <v>42000000</v>
      </c>
      <c r="V6" s="14">
        <f>$K6*$V$2</f>
        <v>42000000</v>
      </c>
      <c r="W6" s="14">
        <f>$C$6*W$2*12</f>
        <v>1797408</v>
      </c>
      <c r="X6" s="14">
        <f>$C$6*X$2*12</f>
        <v>898704</v>
      </c>
      <c r="Y6" s="14">
        <v>200000000</v>
      </c>
      <c r="Z6" s="14">
        <f>SUM(T6:Y6)</f>
        <v>291189632</v>
      </c>
      <c r="AA6" s="5" t="s">
        <v>57</v>
      </c>
      <c r="AB6" s="5" t="s">
        <v>57</v>
      </c>
      <c r="AC6" s="5" t="s">
        <v>57</v>
      </c>
      <c r="AD6" s="4"/>
    </row>
    <row r="7" spans="2:30" x14ac:dyDescent="0.25">
      <c r="B7" s="4" t="s">
        <v>18</v>
      </c>
      <c r="C7" s="36">
        <f>C5/2</f>
        <v>1034</v>
      </c>
      <c r="F7" s="9">
        <v>3</v>
      </c>
      <c r="G7" s="33"/>
      <c r="H7" s="32">
        <f t="shared" ref="H7:H14" si="1">$C$5*$H$2</f>
        <v>12408000</v>
      </c>
      <c r="I7" s="32">
        <f t="shared" ref="I7:I14" si="2">$G$5*$I$2</f>
        <v>27753206.799999997</v>
      </c>
      <c r="J7" s="32">
        <f t="shared" si="0"/>
        <v>40161206.799999997</v>
      </c>
      <c r="K7" s="10">
        <f>K6*(1+K$2)</f>
        <v>4368000000</v>
      </c>
      <c r="M7" s="13">
        <f t="shared" ref="M7:M14" si="3">$K7*$M$2</f>
        <v>43680000</v>
      </c>
      <c r="N7" s="13">
        <f t="shared" ref="N7:N14" si="4">$K7*$N$2</f>
        <v>131040000</v>
      </c>
      <c r="O7" s="13">
        <f t="shared" ref="O7:O14" si="5">-$K7*$C$9/$C$6*$O$2</f>
        <v>-873600</v>
      </c>
      <c r="P7" s="13">
        <f t="shared" ref="P7:P14" si="6">$K7*$C$8/$C$6*$P$2</f>
        <v>19655999.999999996</v>
      </c>
      <c r="Q7" s="13">
        <f t="shared" ref="Q7:Q14" si="7">$K7*$C$8/$C$6*$Q$2</f>
        <v>2620799.9999999995</v>
      </c>
      <c r="R7" s="13">
        <f t="shared" ref="R7:R14" si="8">SUM(M7:Q7)</f>
        <v>196123200</v>
      </c>
      <c r="T7" s="14">
        <f t="shared" ref="T7:T14" si="9">$C$6*5*12</f>
        <v>4493520</v>
      </c>
      <c r="U7" s="14">
        <f t="shared" ref="U7:U14" si="10">$K7*$U$2</f>
        <v>43680000</v>
      </c>
      <c r="V7" s="14">
        <f t="shared" ref="V7:V14" si="11">$K7*$V$2</f>
        <v>43680000</v>
      </c>
      <c r="W7" s="14">
        <f t="shared" ref="W7:X14" si="12">$C$6*W$2*12</f>
        <v>1797408</v>
      </c>
      <c r="X7" s="14">
        <f t="shared" si="12"/>
        <v>898704</v>
      </c>
      <c r="Y7" s="14">
        <v>200000000</v>
      </c>
      <c r="Z7" s="14">
        <f t="shared" ref="Z7:Z14" si="13">SUM(T7:Y7)</f>
        <v>294549632</v>
      </c>
      <c r="AA7" s="5" t="s">
        <v>57</v>
      </c>
      <c r="AB7" s="5" t="s">
        <v>57</v>
      </c>
      <c r="AC7" s="5" t="s">
        <v>57</v>
      </c>
      <c r="AD7" s="4"/>
    </row>
    <row r="8" spans="2:30" x14ac:dyDescent="0.25">
      <c r="B8" s="4" t="s">
        <v>28</v>
      </c>
      <c r="C8" s="53">
        <f>C6*D8</f>
        <v>2246.7599999999998</v>
      </c>
      <c r="D8" s="16">
        <v>0.03</v>
      </c>
      <c r="F8" s="9">
        <v>4</v>
      </c>
      <c r="G8" s="33"/>
      <c r="H8" s="32">
        <f t="shared" si="1"/>
        <v>12408000</v>
      </c>
      <c r="I8" s="32">
        <f>$G$5*$I$2</f>
        <v>27753206.799999997</v>
      </c>
      <c r="J8" s="32">
        <f t="shared" si="0"/>
        <v>40161206.799999997</v>
      </c>
      <c r="K8" s="10">
        <f t="shared" ref="K8:K14" si="14">K7*(1+K$2)</f>
        <v>4542720000</v>
      </c>
      <c r="M8" s="13">
        <f t="shared" si="3"/>
        <v>45427200</v>
      </c>
      <c r="N8" s="13">
        <f t="shared" si="4"/>
        <v>136281600</v>
      </c>
      <c r="O8" s="13">
        <f t="shared" si="5"/>
        <v>-908544</v>
      </c>
      <c r="P8" s="13">
        <f t="shared" si="6"/>
        <v>20442239.999999996</v>
      </c>
      <c r="Q8" s="13">
        <f t="shared" si="7"/>
        <v>2725631.9999999995</v>
      </c>
      <c r="R8" s="13">
        <f t="shared" si="8"/>
        <v>203968128</v>
      </c>
      <c r="T8" s="14">
        <f t="shared" si="9"/>
        <v>4493520</v>
      </c>
      <c r="U8" s="14">
        <f t="shared" si="10"/>
        <v>45427200</v>
      </c>
      <c r="V8" s="14">
        <f t="shared" si="11"/>
        <v>45427200</v>
      </c>
      <c r="W8" s="14">
        <f t="shared" si="12"/>
        <v>1797408</v>
      </c>
      <c r="X8" s="14">
        <f t="shared" si="12"/>
        <v>898704</v>
      </c>
      <c r="Y8" s="14">
        <v>200000000</v>
      </c>
      <c r="Z8" s="14">
        <f t="shared" si="13"/>
        <v>298044032</v>
      </c>
      <c r="AA8" s="5" t="s">
        <v>57</v>
      </c>
      <c r="AB8" s="5" t="s">
        <v>57</v>
      </c>
      <c r="AC8" s="5" t="s">
        <v>57</v>
      </c>
      <c r="AD8" s="4"/>
    </row>
    <row r="9" spans="2:30" x14ac:dyDescent="0.25">
      <c r="B9" s="4" t="s">
        <v>27</v>
      </c>
      <c r="C9" s="53">
        <f>C6*D9</f>
        <v>748.92</v>
      </c>
      <c r="D9" s="16">
        <v>0.01</v>
      </c>
      <c r="F9" s="9">
        <v>5</v>
      </c>
      <c r="G9" s="33"/>
      <c r="H9" s="32">
        <f t="shared" si="1"/>
        <v>12408000</v>
      </c>
      <c r="I9" s="32">
        <f t="shared" si="2"/>
        <v>27753206.799999997</v>
      </c>
      <c r="J9" s="32">
        <f t="shared" si="0"/>
        <v>40161206.799999997</v>
      </c>
      <c r="K9" s="10">
        <f t="shared" si="14"/>
        <v>4724428800</v>
      </c>
      <c r="M9" s="13">
        <f t="shared" si="3"/>
        <v>47244288</v>
      </c>
      <c r="N9" s="13">
        <f t="shared" si="4"/>
        <v>141732864</v>
      </c>
      <c r="O9" s="13">
        <f t="shared" si="5"/>
        <v>-944885.76000000001</v>
      </c>
      <c r="P9" s="13">
        <f t="shared" si="6"/>
        <v>21259929.599999994</v>
      </c>
      <c r="Q9" s="13">
        <f t="shared" si="7"/>
        <v>2834657.2799999993</v>
      </c>
      <c r="R9" s="13">
        <f t="shared" si="8"/>
        <v>212126853.12</v>
      </c>
      <c r="T9" s="14">
        <f t="shared" si="9"/>
        <v>4493520</v>
      </c>
      <c r="U9" s="14">
        <f t="shared" si="10"/>
        <v>47244288</v>
      </c>
      <c r="V9" s="14">
        <f t="shared" si="11"/>
        <v>47244288</v>
      </c>
      <c r="W9" s="14">
        <f t="shared" si="12"/>
        <v>1797408</v>
      </c>
      <c r="X9" s="14">
        <f t="shared" si="12"/>
        <v>898704</v>
      </c>
      <c r="Y9" s="14">
        <v>200000000</v>
      </c>
      <c r="Z9" s="14">
        <f t="shared" si="13"/>
        <v>301678208</v>
      </c>
      <c r="AA9" s="5" t="s">
        <v>57</v>
      </c>
      <c r="AB9" s="5" t="s">
        <v>57</v>
      </c>
      <c r="AC9" s="5" t="s">
        <v>57</v>
      </c>
      <c r="AD9" s="4"/>
    </row>
    <row r="10" spans="2:30" x14ac:dyDescent="0.25">
      <c r="B10" s="4"/>
      <c r="C10" s="4"/>
      <c r="F10" s="9">
        <v>6</v>
      </c>
      <c r="G10" s="33"/>
      <c r="H10" s="32">
        <f t="shared" si="1"/>
        <v>12408000</v>
      </c>
      <c r="I10" s="32">
        <f t="shared" si="2"/>
        <v>27753206.799999997</v>
      </c>
      <c r="J10" s="32">
        <f t="shared" si="0"/>
        <v>40161206.799999997</v>
      </c>
      <c r="K10" s="10">
        <f t="shared" si="14"/>
        <v>4913405952</v>
      </c>
      <c r="M10" s="13">
        <f t="shared" si="3"/>
        <v>49134059.520000003</v>
      </c>
      <c r="N10" s="13">
        <f t="shared" si="4"/>
        <v>147402178.56</v>
      </c>
      <c r="O10" s="13">
        <f t="shared" si="5"/>
        <v>-982681.19039999996</v>
      </c>
      <c r="P10" s="13">
        <f t="shared" si="6"/>
        <v>22110326.783999998</v>
      </c>
      <c r="Q10" s="13">
        <f t="shared" si="7"/>
        <v>2948043.5712000001</v>
      </c>
      <c r="R10" s="13">
        <f t="shared" si="8"/>
        <v>220611927.24480003</v>
      </c>
      <c r="T10" s="14">
        <f t="shared" si="9"/>
        <v>4493520</v>
      </c>
      <c r="U10" s="14">
        <f t="shared" si="10"/>
        <v>49134059.520000003</v>
      </c>
      <c r="V10" s="14">
        <f t="shared" si="11"/>
        <v>49134059.520000003</v>
      </c>
      <c r="W10" s="14">
        <f t="shared" si="12"/>
        <v>1797408</v>
      </c>
      <c r="X10" s="14">
        <f t="shared" si="12"/>
        <v>898704</v>
      </c>
      <c r="Y10" s="14">
        <v>200000000</v>
      </c>
      <c r="Z10" s="14">
        <f t="shared" si="13"/>
        <v>305457751.04000002</v>
      </c>
      <c r="AA10" s="5" t="s">
        <v>57</v>
      </c>
      <c r="AB10" s="5" t="s">
        <v>57</v>
      </c>
      <c r="AC10" s="5" t="s">
        <v>57</v>
      </c>
      <c r="AD10" s="4"/>
    </row>
    <row r="11" spans="2:30" x14ac:dyDescent="0.25">
      <c r="B11" s="4" t="s">
        <v>14</v>
      </c>
      <c r="C11" s="15">
        <v>100000</v>
      </c>
      <c r="F11" s="9">
        <v>7</v>
      </c>
      <c r="G11" s="33"/>
      <c r="H11" s="32">
        <f t="shared" si="1"/>
        <v>12408000</v>
      </c>
      <c r="I11" s="32">
        <f t="shared" si="2"/>
        <v>27753206.799999997</v>
      </c>
      <c r="J11" s="32">
        <f t="shared" si="0"/>
        <v>40161206.799999997</v>
      </c>
      <c r="K11" s="10">
        <f t="shared" si="14"/>
        <v>5109942190.0799999</v>
      </c>
      <c r="M11" s="13">
        <f t="shared" si="3"/>
        <v>51099421.900799997</v>
      </c>
      <c r="N11" s="13">
        <f t="shared" si="4"/>
        <v>153298265.7024</v>
      </c>
      <c r="O11" s="13">
        <f t="shared" si="5"/>
        <v>-1021988.438016</v>
      </c>
      <c r="P11" s="13">
        <f t="shared" si="6"/>
        <v>22994739.855359994</v>
      </c>
      <c r="Q11" s="13">
        <f t="shared" si="7"/>
        <v>3065965.3140479992</v>
      </c>
      <c r="R11" s="13">
        <f t="shared" si="8"/>
        <v>229436404.33459198</v>
      </c>
      <c r="T11" s="14">
        <f t="shared" si="9"/>
        <v>4493520</v>
      </c>
      <c r="U11" s="14">
        <f t="shared" si="10"/>
        <v>51099421.900799997</v>
      </c>
      <c r="V11" s="14">
        <f t="shared" si="11"/>
        <v>51099421.900799997</v>
      </c>
      <c r="W11" s="14">
        <f t="shared" si="12"/>
        <v>1797408</v>
      </c>
      <c r="X11" s="14">
        <f t="shared" si="12"/>
        <v>898704</v>
      </c>
      <c r="Y11" s="14">
        <v>200000000</v>
      </c>
      <c r="Z11" s="14">
        <f t="shared" si="13"/>
        <v>309388475.80159998</v>
      </c>
      <c r="AA11" s="5" t="s">
        <v>57</v>
      </c>
      <c r="AB11" s="5" t="s">
        <v>57</v>
      </c>
      <c r="AC11" s="5" t="s">
        <v>57</v>
      </c>
      <c r="AD11" s="4"/>
    </row>
    <row r="12" spans="2:30" x14ac:dyDescent="0.25">
      <c r="B12" s="4" t="s">
        <v>15</v>
      </c>
      <c r="C12" s="15">
        <v>8000</v>
      </c>
      <c r="F12" s="9">
        <v>8</v>
      </c>
      <c r="G12" s="33"/>
      <c r="H12" s="32">
        <f t="shared" si="1"/>
        <v>12408000</v>
      </c>
      <c r="I12" s="32">
        <f t="shared" si="2"/>
        <v>27753206.799999997</v>
      </c>
      <c r="J12" s="32">
        <f t="shared" si="0"/>
        <v>40161206.799999997</v>
      </c>
      <c r="K12" s="10">
        <f t="shared" si="14"/>
        <v>5314339877.6831999</v>
      </c>
      <c r="M12" s="13">
        <f t="shared" si="3"/>
        <v>53143398.776831999</v>
      </c>
      <c r="N12" s="13">
        <f t="shared" si="4"/>
        <v>159430196.33049598</v>
      </c>
      <c r="O12" s="13">
        <f t="shared" si="5"/>
        <v>-1062867.97553664</v>
      </c>
      <c r="P12" s="13">
        <f t="shared" si="6"/>
        <v>23914529.449574396</v>
      </c>
      <c r="Q12" s="13">
        <f t="shared" si="7"/>
        <v>3188603.9266099199</v>
      </c>
      <c r="R12" s="13">
        <f t="shared" si="8"/>
        <v>238613860.5079757</v>
      </c>
      <c r="T12" s="14">
        <f t="shared" si="9"/>
        <v>4493520</v>
      </c>
      <c r="U12" s="14">
        <f t="shared" si="10"/>
        <v>53143398.776831999</v>
      </c>
      <c r="V12" s="14">
        <f t="shared" si="11"/>
        <v>53143398.776831999</v>
      </c>
      <c r="W12" s="14">
        <f t="shared" si="12"/>
        <v>1797408</v>
      </c>
      <c r="X12" s="14">
        <f t="shared" si="12"/>
        <v>898704</v>
      </c>
      <c r="Y12" s="14">
        <v>200000000</v>
      </c>
      <c r="Z12" s="14">
        <f t="shared" si="13"/>
        <v>313476429.55366397</v>
      </c>
      <c r="AA12" s="5" t="s">
        <v>57</v>
      </c>
      <c r="AB12" s="5" t="s">
        <v>57</v>
      </c>
      <c r="AC12" s="5" t="s">
        <v>57</v>
      </c>
      <c r="AD12" s="4"/>
    </row>
    <row r="13" spans="2:30" x14ac:dyDescent="0.25">
      <c r="B13" s="4" t="s">
        <v>19</v>
      </c>
      <c r="C13" s="15">
        <v>400000</v>
      </c>
      <c r="F13" s="9">
        <v>9</v>
      </c>
      <c r="G13" s="33"/>
      <c r="H13" s="32">
        <f t="shared" si="1"/>
        <v>12408000</v>
      </c>
      <c r="I13" s="32">
        <f t="shared" si="2"/>
        <v>27753206.799999997</v>
      </c>
      <c r="J13" s="32">
        <f t="shared" si="0"/>
        <v>40161206.799999997</v>
      </c>
      <c r="K13" s="10">
        <f t="shared" si="14"/>
        <v>5526913472.7905283</v>
      </c>
      <c r="M13" s="13">
        <f t="shared" si="3"/>
        <v>55269134.727905281</v>
      </c>
      <c r="N13" s="13">
        <f t="shared" si="4"/>
        <v>165807404.18371585</v>
      </c>
      <c r="O13" s="13">
        <f t="shared" si="5"/>
        <v>-1105382.6945581057</v>
      </c>
      <c r="P13" s="13">
        <f t="shared" si="6"/>
        <v>24871110.627557371</v>
      </c>
      <c r="Q13" s="13">
        <f t="shared" si="7"/>
        <v>3316148.0836743163</v>
      </c>
      <c r="R13" s="13">
        <f t="shared" si="8"/>
        <v>248158414.92829469</v>
      </c>
      <c r="T13" s="14">
        <f t="shared" si="9"/>
        <v>4493520</v>
      </c>
      <c r="U13" s="14">
        <f t="shared" si="10"/>
        <v>55269134.727905281</v>
      </c>
      <c r="V13" s="14">
        <f t="shared" si="11"/>
        <v>55269134.727905281</v>
      </c>
      <c r="W13" s="14">
        <f t="shared" si="12"/>
        <v>1797408</v>
      </c>
      <c r="X13" s="14">
        <f t="shared" si="12"/>
        <v>898704</v>
      </c>
      <c r="Y13" s="14">
        <v>200000000</v>
      </c>
      <c r="Z13" s="14">
        <f t="shared" si="13"/>
        <v>317727901.45581055</v>
      </c>
      <c r="AA13" s="5" t="s">
        <v>57</v>
      </c>
      <c r="AB13" s="5" t="s">
        <v>57</v>
      </c>
      <c r="AC13" s="5" t="s">
        <v>57</v>
      </c>
      <c r="AD13" s="4"/>
    </row>
    <row r="14" spans="2:30" x14ac:dyDescent="0.25">
      <c r="B14" s="4" t="s">
        <v>21</v>
      </c>
      <c r="C14" s="15">
        <v>10000</v>
      </c>
      <c r="F14" s="9">
        <v>10</v>
      </c>
      <c r="G14" s="33"/>
      <c r="H14" s="32">
        <f t="shared" si="1"/>
        <v>12408000</v>
      </c>
      <c r="I14" s="32">
        <f t="shared" si="2"/>
        <v>27753206.799999997</v>
      </c>
      <c r="J14" s="32">
        <f t="shared" si="0"/>
        <v>40161206.799999997</v>
      </c>
      <c r="K14" s="10">
        <f t="shared" si="14"/>
        <v>5747990011.7021494</v>
      </c>
      <c r="M14" s="13">
        <f t="shared" si="3"/>
        <v>57479900.117021494</v>
      </c>
      <c r="N14" s="13">
        <f t="shared" si="4"/>
        <v>172439700.35106447</v>
      </c>
      <c r="O14" s="13">
        <f t="shared" si="5"/>
        <v>-1149598.0023404299</v>
      </c>
      <c r="P14" s="13">
        <f t="shared" si="6"/>
        <v>25865955.052659672</v>
      </c>
      <c r="Q14" s="13">
        <f t="shared" si="7"/>
        <v>3448794.0070212893</v>
      </c>
      <c r="R14" s="13">
        <f t="shared" si="8"/>
        <v>258084751.52542648</v>
      </c>
      <c r="T14" s="14">
        <f t="shared" si="9"/>
        <v>4493520</v>
      </c>
      <c r="U14" s="14">
        <f t="shared" si="10"/>
        <v>57479900.117021494</v>
      </c>
      <c r="V14" s="14">
        <f t="shared" si="11"/>
        <v>57479900.117021494</v>
      </c>
      <c r="W14" s="14">
        <f t="shared" si="12"/>
        <v>1797408</v>
      </c>
      <c r="X14" s="14">
        <f t="shared" si="12"/>
        <v>898704</v>
      </c>
      <c r="Y14" s="14">
        <v>200000000</v>
      </c>
      <c r="Z14" s="14">
        <f t="shared" si="13"/>
        <v>322149432.234043</v>
      </c>
      <c r="AA14" s="5" t="s">
        <v>57</v>
      </c>
      <c r="AB14" s="5" t="s">
        <v>57</v>
      </c>
      <c r="AC14" s="5" t="s">
        <v>57</v>
      </c>
      <c r="AD14" s="4"/>
    </row>
    <row r="15" spans="2:30" x14ac:dyDescent="0.25">
      <c r="B15" s="4"/>
      <c r="C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T15" s="1"/>
      <c r="U15" s="1"/>
      <c r="V15" s="1"/>
      <c r="W15" s="1"/>
      <c r="X15" s="1"/>
      <c r="Y15" s="1"/>
    </row>
    <row r="16" spans="2:30" x14ac:dyDescent="0.25">
      <c r="B16" s="4" t="s">
        <v>16</v>
      </c>
      <c r="C16" s="53">
        <f>C5*C11</f>
        <v>206800000</v>
      </c>
      <c r="G16" s="38" t="s">
        <v>44</v>
      </c>
      <c r="H16" s="38"/>
      <c r="I16" s="38"/>
      <c r="J16" s="39">
        <f>NPV($J$2,J5:J14)</f>
        <v>1473302948.7743459</v>
      </c>
      <c r="K16" s="1"/>
      <c r="L16" s="1"/>
      <c r="M16" s="18" t="s">
        <v>47</v>
      </c>
      <c r="N16" s="18"/>
      <c r="O16" s="18"/>
      <c r="P16" s="18"/>
      <c r="Q16" s="18"/>
      <c r="R16" s="19">
        <f>NPV($J$2,R6:R14)</f>
        <v>1556171874.7929516</v>
      </c>
      <c r="T16" s="24" t="s">
        <v>46</v>
      </c>
      <c r="U16" s="24"/>
      <c r="V16" s="24"/>
      <c r="W16" s="24"/>
      <c r="X16" s="24"/>
      <c r="Y16" s="24"/>
      <c r="Z16" s="25">
        <f>NPV($R$3,Z6:Z14)</f>
        <v>2753661494.0851173</v>
      </c>
    </row>
    <row r="17" spans="2:26" x14ac:dyDescent="0.25">
      <c r="B17" s="4" t="s">
        <v>17</v>
      </c>
      <c r="C17" s="53">
        <f>C6*C12</f>
        <v>599136000</v>
      </c>
      <c r="M17" s="20" t="s">
        <v>36</v>
      </c>
      <c r="N17" s="21"/>
      <c r="O17" s="21"/>
      <c r="P17" s="21"/>
      <c r="Q17" s="22"/>
      <c r="R17" s="23">
        <f>(R16-$J16)/$J16</f>
        <v>5.624703737106148E-2</v>
      </c>
      <c r="T17" s="26" t="s">
        <v>37</v>
      </c>
      <c r="U17" s="26"/>
      <c r="V17" s="26"/>
      <c r="W17" s="26"/>
      <c r="X17" s="26"/>
      <c r="Y17" s="26"/>
      <c r="Z17" s="27">
        <f>(Z16-$J16)/$J16</f>
        <v>0.86903955929492527</v>
      </c>
    </row>
    <row r="18" spans="2:26" x14ac:dyDescent="0.25">
      <c r="B18" s="4" t="s">
        <v>20</v>
      </c>
      <c r="C18" s="54">
        <f>C7*C13</f>
        <v>413600000</v>
      </c>
    </row>
    <row r="19" spans="2:26" x14ac:dyDescent="0.25">
      <c r="B19" s="4" t="s">
        <v>22</v>
      </c>
      <c r="C19" s="54">
        <f>C8*C14</f>
        <v>22467599.999999996</v>
      </c>
      <c r="I19" s="1"/>
      <c r="J19" s="1"/>
    </row>
    <row r="20" spans="2:26" x14ac:dyDescent="0.25">
      <c r="B20" s="4" t="s">
        <v>42</v>
      </c>
      <c r="C20" s="54">
        <f>$C$6*100</f>
        <v>7489200</v>
      </c>
      <c r="I20" s="1"/>
      <c r="J20" s="1"/>
    </row>
    <row r="21" spans="2:26" x14ac:dyDescent="0.25">
      <c r="B21" s="4" t="s">
        <v>30</v>
      </c>
      <c r="C21" s="54">
        <f>$C$6*50</f>
        <v>3744600</v>
      </c>
      <c r="I21" s="1"/>
      <c r="J21" s="1"/>
    </row>
    <row r="22" spans="2:26" x14ac:dyDescent="0.25">
      <c r="B22" s="4" t="s">
        <v>32</v>
      </c>
      <c r="C22" s="54">
        <f>C5*1000</f>
        <v>2068000</v>
      </c>
      <c r="I22" s="1"/>
      <c r="J22" s="1"/>
    </row>
    <row r="23" spans="2:26" x14ac:dyDescent="0.25">
      <c r="B23" s="4" t="s">
        <v>31</v>
      </c>
      <c r="C23" s="54">
        <f>C5*3000</f>
        <v>6204000</v>
      </c>
      <c r="I23" s="1"/>
      <c r="J23" s="1"/>
    </row>
    <row r="24" spans="2:26" x14ac:dyDescent="0.25">
      <c r="C24" s="2"/>
      <c r="I24" s="1"/>
      <c r="J24" s="1"/>
    </row>
    <row r="25" spans="2:26" x14ac:dyDescent="0.25">
      <c r="B25" s="52" t="s">
        <v>56</v>
      </c>
      <c r="C25" s="36">
        <f>SUM(C16:C23)</f>
        <v>1261509400</v>
      </c>
    </row>
  </sheetData>
  <mergeCells count="9">
    <mergeCell ref="M17:Q17"/>
    <mergeCell ref="T17:Y17"/>
    <mergeCell ref="T3:Z3"/>
    <mergeCell ref="M3:R3"/>
    <mergeCell ref="G3:I3"/>
    <mergeCell ref="AA3:AD3"/>
    <mergeCell ref="G16:I16"/>
    <mergeCell ref="M16:Q16"/>
    <mergeCell ref="T16:Y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C1E1-991C-4655-B3F1-501D73AF416A}">
  <dimension ref="B1:AF25"/>
  <sheetViews>
    <sheetView topLeftCell="O1" zoomScale="115" zoomScaleNormal="115" workbookViewId="0">
      <selection activeCell="S12" sqref="S12"/>
    </sheetView>
  </sheetViews>
  <sheetFormatPr defaultRowHeight="15" x14ac:dyDescent="0.25"/>
  <cols>
    <col min="1" max="1" width="3" customWidth="1"/>
    <col min="2" max="2" width="12.42578125" customWidth="1"/>
    <col min="3" max="3" width="17" customWidth="1"/>
    <col min="4" max="4" width="6.5703125" customWidth="1"/>
    <col min="5" max="5" width="3.42578125" customWidth="1"/>
    <col min="6" max="6" width="3.85546875" bestFit="1" customWidth="1"/>
    <col min="7" max="7" width="13.42578125" bestFit="1" customWidth="1"/>
    <col min="8" max="8" width="11.5703125" bestFit="1" customWidth="1"/>
    <col min="9" max="9" width="13.28515625" customWidth="1"/>
    <col min="10" max="10" width="13.42578125" bestFit="1" customWidth="1"/>
    <col min="11" max="11" width="2" customWidth="1"/>
    <col min="12" max="12" width="15.140625" bestFit="1" customWidth="1"/>
    <col min="13" max="13" width="2.28515625" customWidth="1"/>
    <col min="14" max="15" width="12.28515625" bestFit="1" customWidth="1"/>
    <col min="16" max="16" width="11.5703125" customWidth="1"/>
    <col min="17" max="17" width="12.28515625" bestFit="1" customWidth="1"/>
    <col min="18" max="18" width="11.5703125" bestFit="1" customWidth="1"/>
    <col min="19" max="19" width="13.42578125" bestFit="1" customWidth="1"/>
    <col min="20" max="20" width="4.85546875" style="55" customWidth="1"/>
    <col min="21" max="21" width="11.5703125" bestFit="1" customWidth="1"/>
    <col min="22" max="22" width="13.42578125" bestFit="1" customWidth="1"/>
    <col min="23" max="23" width="12.28515625" bestFit="1" customWidth="1"/>
    <col min="24" max="25" width="11.140625" bestFit="1" customWidth="1"/>
    <col min="26" max="26" width="13.42578125" bestFit="1" customWidth="1"/>
    <col min="27" max="27" width="15.140625" bestFit="1" customWidth="1"/>
    <col min="28" max="28" width="3" customWidth="1"/>
  </cols>
  <sheetData>
    <row r="1" spans="2:32" x14ac:dyDescent="0.25">
      <c r="K1" s="1"/>
      <c r="N1" t="s">
        <v>35</v>
      </c>
    </row>
    <row r="2" spans="2:32" x14ac:dyDescent="0.25">
      <c r="H2" s="52">
        <v>4000</v>
      </c>
      <c r="I2" s="37">
        <v>2.1999999999999999E-2</v>
      </c>
      <c r="J2" s="37">
        <v>0.05</v>
      </c>
      <c r="K2" s="1"/>
      <c r="L2" s="50">
        <v>0.04</v>
      </c>
      <c r="N2" s="50">
        <v>0.01</v>
      </c>
      <c r="O2" s="50">
        <v>0.03</v>
      </c>
      <c r="P2" s="50">
        <v>0.02</v>
      </c>
      <c r="Q2" s="50">
        <v>0.25</v>
      </c>
      <c r="R2" s="50">
        <v>0.1</v>
      </c>
      <c r="U2" s="51">
        <v>5</v>
      </c>
      <c r="V2" s="50">
        <v>0.01</v>
      </c>
      <c r="W2" s="50">
        <v>0.01</v>
      </c>
      <c r="X2" s="51">
        <v>2</v>
      </c>
      <c r="Y2" s="51">
        <v>1</v>
      </c>
    </row>
    <row r="3" spans="2:32" x14ac:dyDescent="0.25">
      <c r="B3" s="49" t="s">
        <v>13</v>
      </c>
      <c r="C3" s="33" t="s">
        <v>52</v>
      </c>
      <c r="F3" s="4"/>
      <c r="G3" s="46" t="s">
        <v>10</v>
      </c>
      <c r="H3" s="47"/>
      <c r="I3" s="47"/>
      <c r="J3" s="48"/>
      <c r="K3" s="1"/>
      <c r="L3" s="5"/>
      <c r="N3" s="43" t="s">
        <v>53</v>
      </c>
      <c r="O3" s="44"/>
      <c r="P3" s="44"/>
      <c r="Q3" s="44"/>
      <c r="R3" s="44"/>
      <c r="S3" s="45"/>
      <c r="U3" s="40" t="s">
        <v>54</v>
      </c>
      <c r="V3" s="41"/>
      <c r="W3" s="41"/>
      <c r="X3" s="41"/>
      <c r="Y3" s="41"/>
      <c r="Z3" s="41"/>
      <c r="AA3" s="42"/>
      <c r="AC3" s="6" t="s">
        <v>60</v>
      </c>
      <c r="AD3" s="6"/>
      <c r="AE3" s="6"/>
      <c r="AF3" s="6"/>
    </row>
    <row r="4" spans="2:32" ht="60" x14ac:dyDescent="0.25">
      <c r="F4" s="7" t="s">
        <v>5</v>
      </c>
      <c r="G4" s="31" t="s">
        <v>3</v>
      </c>
      <c r="H4" s="31" t="s">
        <v>33</v>
      </c>
      <c r="I4" s="31" t="s">
        <v>4</v>
      </c>
      <c r="J4" s="35" t="s">
        <v>43</v>
      </c>
      <c r="K4" s="1"/>
      <c r="L4" s="8" t="s">
        <v>23</v>
      </c>
      <c r="N4" s="17" t="s">
        <v>25</v>
      </c>
      <c r="O4" s="17" t="s">
        <v>39</v>
      </c>
      <c r="P4" s="17" t="s">
        <v>40</v>
      </c>
      <c r="Q4" s="17" t="s">
        <v>41</v>
      </c>
      <c r="R4" s="17" t="s">
        <v>38</v>
      </c>
      <c r="S4" s="17" t="s">
        <v>48</v>
      </c>
      <c r="U4" s="28" t="s">
        <v>6</v>
      </c>
      <c r="V4" s="28" t="s">
        <v>7</v>
      </c>
      <c r="W4" s="28" t="s">
        <v>24</v>
      </c>
      <c r="X4" s="28" t="s">
        <v>26</v>
      </c>
      <c r="Y4" s="28" t="s">
        <v>34</v>
      </c>
      <c r="Z4" s="28" t="s">
        <v>45</v>
      </c>
      <c r="AA4" s="28" t="s">
        <v>49</v>
      </c>
      <c r="AC4" s="8" t="s">
        <v>29</v>
      </c>
      <c r="AD4" s="8" t="s">
        <v>8</v>
      </c>
      <c r="AE4" s="8" t="s">
        <v>55</v>
      </c>
      <c r="AF4" s="8" t="s">
        <v>59</v>
      </c>
    </row>
    <row r="5" spans="2:32" x14ac:dyDescent="0.25">
      <c r="B5" s="4" t="s">
        <v>11</v>
      </c>
      <c r="C5" s="15">
        <v>1140</v>
      </c>
      <c r="F5" s="9">
        <v>1</v>
      </c>
      <c r="G5" s="32">
        <f>C25</f>
        <v>746485350</v>
      </c>
      <c r="H5" s="32"/>
      <c r="I5" s="32"/>
      <c r="J5" s="32">
        <f>G5+H5+I5</f>
        <v>746485350</v>
      </c>
      <c r="K5" s="1"/>
      <c r="L5" s="10"/>
      <c r="N5" s="11"/>
      <c r="O5" s="11"/>
      <c r="P5" s="11"/>
      <c r="Q5" s="11"/>
      <c r="R5" s="11"/>
      <c r="S5" s="11"/>
      <c r="U5" s="12"/>
      <c r="V5" s="12"/>
      <c r="W5" s="12"/>
      <c r="X5" s="12"/>
      <c r="Y5" s="12"/>
      <c r="Z5" s="12"/>
      <c r="AA5" s="12"/>
      <c r="AC5" s="4"/>
      <c r="AD5" s="4"/>
      <c r="AE5" s="4"/>
      <c r="AF5" s="4"/>
    </row>
    <row r="6" spans="2:32" x14ac:dyDescent="0.25">
      <c r="B6" s="4" t="s">
        <v>12</v>
      </c>
      <c r="C6" s="15">
        <v>90283</v>
      </c>
      <c r="F6" s="9">
        <v>2</v>
      </c>
      <c r="G6" s="33"/>
      <c r="H6" s="32">
        <f>$C$5*3000</f>
        <v>3420000</v>
      </c>
      <c r="I6" s="32">
        <f>$G$5*0.02</f>
        <v>14929707</v>
      </c>
      <c r="J6" s="32">
        <f t="shared" ref="J6:J14" si="0">G6+H6+I6</f>
        <v>18349707</v>
      </c>
      <c r="K6" s="1"/>
      <c r="L6" s="36">
        <v>2120000000</v>
      </c>
      <c r="N6" s="13">
        <f>$L6*$N$2</f>
        <v>21200000</v>
      </c>
      <c r="O6" s="13">
        <f>$L6*$O$2</f>
        <v>63600000</v>
      </c>
      <c r="P6" s="13">
        <f>-$L6*$C$9/$C$6*$P$2</f>
        <v>-424000</v>
      </c>
      <c r="Q6" s="13">
        <f>$L6*$C$8/$C$6*$Q$2</f>
        <v>15900000</v>
      </c>
      <c r="R6" s="13">
        <f>$L6*$C$8/$C$6*$R$2</f>
        <v>6360000</v>
      </c>
      <c r="S6" s="13">
        <f>SUM(N6:R6)</f>
        <v>106636000</v>
      </c>
      <c r="U6" s="14">
        <f>$C$6*$U$2*12</f>
        <v>5416980</v>
      </c>
      <c r="V6" s="14">
        <f>$L6*$V$2</f>
        <v>21200000</v>
      </c>
      <c r="W6" s="14">
        <f>$L6*$W$2</f>
        <v>21200000</v>
      </c>
      <c r="X6" s="14">
        <f>$C$6*X$2*12</f>
        <v>2166792</v>
      </c>
      <c r="Y6" s="14">
        <f>$C$6*Y$2*12</f>
        <v>1083396</v>
      </c>
      <c r="Z6" s="14">
        <v>100000000</v>
      </c>
      <c r="AA6" s="14">
        <f>SUM(U6:Z6)</f>
        <v>151067168</v>
      </c>
      <c r="AC6" s="5" t="s">
        <v>57</v>
      </c>
      <c r="AD6" s="5" t="s">
        <v>57</v>
      </c>
      <c r="AE6" s="5" t="s">
        <v>57</v>
      </c>
      <c r="AF6" s="5" t="s">
        <v>57</v>
      </c>
    </row>
    <row r="7" spans="2:32" x14ac:dyDescent="0.25">
      <c r="B7" s="4" t="s">
        <v>18</v>
      </c>
      <c r="C7" s="36">
        <f>C5/5</f>
        <v>228</v>
      </c>
      <c r="F7" s="9">
        <v>3</v>
      </c>
      <c r="G7" s="33"/>
      <c r="H7" s="32">
        <f>H6*1.01</f>
        <v>3454200</v>
      </c>
      <c r="I7" s="32">
        <f>I6*1.01</f>
        <v>15079004.07</v>
      </c>
      <c r="J7" s="32">
        <f t="shared" si="0"/>
        <v>18533204.07</v>
      </c>
      <c r="K7" s="1"/>
      <c r="L7" s="10">
        <f>L6*(1+L$2)</f>
        <v>2204800000</v>
      </c>
      <c r="N7" s="13">
        <f t="shared" ref="N7:N14" si="1">$L7*$N$2</f>
        <v>22048000</v>
      </c>
      <c r="O7" s="13">
        <f t="shared" ref="O7:O14" si="2">$L7*$O$2</f>
        <v>66144000</v>
      </c>
      <c r="P7" s="13">
        <f t="shared" ref="P7:P14" si="3">-$L7*$C$9/$C$6*$P$2</f>
        <v>-440960</v>
      </c>
      <c r="Q7" s="13">
        <f t="shared" ref="Q7:Q14" si="4">$L7*$C$8/$C$6*$Q$2</f>
        <v>16536000</v>
      </c>
      <c r="R7" s="13">
        <f t="shared" ref="R7:R14" si="5">$L7*$C$8/$C$6*$R$2</f>
        <v>6614400</v>
      </c>
      <c r="S7" s="13">
        <f t="shared" ref="S7:S14" si="6">SUM(N7:R7)</f>
        <v>110901440</v>
      </c>
      <c r="U7" s="14">
        <f t="shared" ref="U7:U14" si="7">$C$6*5*12</f>
        <v>5416980</v>
      </c>
      <c r="V7" s="14">
        <f>$L7*$D$8*2</f>
        <v>132288000</v>
      </c>
      <c r="W7" s="14">
        <f t="shared" ref="W7:W14" si="8">$L7*$W$2</f>
        <v>22048000</v>
      </c>
      <c r="X7" s="14">
        <f t="shared" ref="X7:Y14" si="9">$C$6*X$2*12</f>
        <v>2166792</v>
      </c>
      <c r="Y7" s="14">
        <f t="shared" si="9"/>
        <v>1083396</v>
      </c>
      <c r="Z7" s="14">
        <v>100000000</v>
      </c>
      <c r="AA7" s="14">
        <f t="shared" ref="AA7:AA14" si="10">SUM(U7:Z7)</f>
        <v>263003168</v>
      </c>
      <c r="AC7" s="5" t="s">
        <v>57</v>
      </c>
      <c r="AD7" s="5" t="s">
        <v>57</v>
      </c>
      <c r="AE7" s="5" t="s">
        <v>57</v>
      </c>
      <c r="AF7" s="5" t="s">
        <v>57</v>
      </c>
    </row>
    <row r="8" spans="2:32" x14ac:dyDescent="0.25">
      <c r="B8" s="4" t="s">
        <v>28</v>
      </c>
      <c r="C8" s="53">
        <f>C6*D8</f>
        <v>2708.49</v>
      </c>
      <c r="D8" s="16">
        <v>0.03</v>
      </c>
      <c r="F8" s="9">
        <v>4</v>
      </c>
      <c r="G8" s="33"/>
      <c r="H8" s="32">
        <f t="shared" ref="H8:I14" si="11">H7*1.01</f>
        <v>3488742</v>
      </c>
      <c r="I8" s="32">
        <f t="shared" si="11"/>
        <v>15229794.1107</v>
      </c>
      <c r="J8" s="32">
        <f t="shared" si="0"/>
        <v>18718536.1107</v>
      </c>
      <c r="K8" s="1"/>
      <c r="L8" s="10">
        <f t="shared" ref="L8:L14" si="12">L7*(1+L$2)</f>
        <v>2292992000</v>
      </c>
      <c r="N8" s="13">
        <f t="shared" si="1"/>
        <v>22929920</v>
      </c>
      <c r="O8" s="13">
        <f t="shared" si="2"/>
        <v>68789760</v>
      </c>
      <c r="P8" s="13">
        <f t="shared" si="3"/>
        <v>-458598.40000000002</v>
      </c>
      <c r="Q8" s="13">
        <f t="shared" si="4"/>
        <v>17197439.999999996</v>
      </c>
      <c r="R8" s="13">
        <f t="shared" si="5"/>
        <v>6878975.9999999991</v>
      </c>
      <c r="S8" s="13">
        <f t="shared" si="6"/>
        <v>115337497.59999999</v>
      </c>
      <c r="U8" s="14">
        <f t="shared" si="7"/>
        <v>5416980</v>
      </c>
      <c r="V8" s="14">
        <f>$L8*$D$8*2</f>
        <v>137579520</v>
      </c>
      <c r="W8" s="14">
        <f t="shared" si="8"/>
        <v>22929920</v>
      </c>
      <c r="X8" s="14">
        <f t="shared" si="9"/>
        <v>2166792</v>
      </c>
      <c r="Y8" s="14">
        <f t="shared" si="9"/>
        <v>1083396</v>
      </c>
      <c r="Z8" s="14">
        <v>100000000</v>
      </c>
      <c r="AA8" s="14">
        <f t="shared" si="10"/>
        <v>269176608</v>
      </c>
      <c r="AC8" s="5" t="s">
        <v>57</v>
      </c>
      <c r="AD8" s="5" t="s">
        <v>57</v>
      </c>
      <c r="AE8" s="5" t="s">
        <v>57</v>
      </c>
      <c r="AF8" s="5" t="s">
        <v>57</v>
      </c>
    </row>
    <row r="9" spans="2:32" x14ac:dyDescent="0.25">
      <c r="B9" s="4" t="s">
        <v>27</v>
      </c>
      <c r="C9" s="53">
        <f>C6*D9</f>
        <v>902.83</v>
      </c>
      <c r="D9" s="16">
        <v>0.01</v>
      </c>
      <c r="F9" s="9">
        <v>5</v>
      </c>
      <c r="G9" s="33"/>
      <c r="H9" s="32">
        <f t="shared" si="11"/>
        <v>3523629.42</v>
      </c>
      <c r="I9" s="32">
        <f t="shared" si="11"/>
        <v>15382092.051806999</v>
      </c>
      <c r="J9" s="32">
        <f t="shared" si="0"/>
        <v>18905721.471806999</v>
      </c>
      <c r="K9" s="1"/>
      <c r="L9" s="10">
        <f t="shared" si="12"/>
        <v>2384711680</v>
      </c>
      <c r="N9" s="13">
        <f t="shared" si="1"/>
        <v>23847116.800000001</v>
      </c>
      <c r="O9" s="13">
        <f t="shared" si="2"/>
        <v>71541350.399999991</v>
      </c>
      <c r="P9" s="13">
        <f t="shared" si="3"/>
        <v>-476942.33600000001</v>
      </c>
      <c r="Q9" s="13">
        <f t="shared" si="4"/>
        <v>17885337.599999998</v>
      </c>
      <c r="R9" s="13">
        <f t="shared" si="5"/>
        <v>7154135.0399999991</v>
      </c>
      <c r="S9" s="13">
        <f t="shared" si="6"/>
        <v>119950997.50399998</v>
      </c>
      <c r="U9" s="14">
        <f t="shared" si="7"/>
        <v>5416980</v>
      </c>
      <c r="V9" s="14">
        <f>$L9*$D$8*2</f>
        <v>143082700.79999998</v>
      </c>
      <c r="W9" s="14">
        <f t="shared" si="8"/>
        <v>23847116.800000001</v>
      </c>
      <c r="X9" s="14">
        <f t="shared" si="9"/>
        <v>2166792</v>
      </c>
      <c r="Y9" s="14">
        <f t="shared" si="9"/>
        <v>1083396</v>
      </c>
      <c r="Z9" s="14">
        <v>100000000</v>
      </c>
      <c r="AA9" s="14">
        <f t="shared" si="10"/>
        <v>275596985.60000002</v>
      </c>
      <c r="AC9" s="5" t="s">
        <v>57</v>
      </c>
      <c r="AD9" s="5" t="s">
        <v>57</v>
      </c>
      <c r="AE9" s="5" t="s">
        <v>57</v>
      </c>
      <c r="AF9" s="5" t="s">
        <v>57</v>
      </c>
    </row>
    <row r="10" spans="2:32" x14ac:dyDescent="0.25">
      <c r="B10" s="4"/>
      <c r="C10" s="4"/>
      <c r="F10" s="9">
        <v>6</v>
      </c>
      <c r="G10" s="33"/>
      <c r="H10" s="32">
        <f t="shared" si="11"/>
        <v>3558865.7141999998</v>
      </c>
      <c r="I10" s="32">
        <f t="shared" si="11"/>
        <v>15535912.97232507</v>
      </c>
      <c r="J10" s="32">
        <f t="shared" si="0"/>
        <v>19094778.686525069</v>
      </c>
      <c r="K10" s="1"/>
      <c r="L10" s="10">
        <f t="shared" si="12"/>
        <v>2480100147.2000003</v>
      </c>
      <c r="N10" s="13">
        <f t="shared" si="1"/>
        <v>24801001.472000003</v>
      </c>
      <c r="O10" s="13">
        <f t="shared" si="2"/>
        <v>74403004.416000009</v>
      </c>
      <c r="P10" s="13">
        <f t="shared" si="3"/>
        <v>-496020.02944000007</v>
      </c>
      <c r="Q10" s="13">
        <f t="shared" si="4"/>
        <v>18600751.104000002</v>
      </c>
      <c r="R10" s="13">
        <f t="shared" si="5"/>
        <v>7440300.4416000014</v>
      </c>
      <c r="S10" s="13">
        <f t="shared" si="6"/>
        <v>124749037.40416001</v>
      </c>
      <c r="U10" s="14">
        <f t="shared" si="7"/>
        <v>5416980</v>
      </c>
      <c r="V10" s="14">
        <f>$L10*$D$8*2</f>
        <v>148806008.83200002</v>
      </c>
      <c r="W10" s="14">
        <f t="shared" si="8"/>
        <v>24801001.472000003</v>
      </c>
      <c r="X10" s="14">
        <f t="shared" si="9"/>
        <v>2166792</v>
      </c>
      <c r="Y10" s="14">
        <f t="shared" si="9"/>
        <v>1083396</v>
      </c>
      <c r="Z10" s="14">
        <v>100000000</v>
      </c>
      <c r="AA10" s="14">
        <f t="shared" si="10"/>
        <v>282274178.30400002</v>
      </c>
      <c r="AC10" s="5" t="s">
        <v>57</v>
      </c>
      <c r="AD10" s="5" t="s">
        <v>57</v>
      </c>
      <c r="AE10" s="5" t="s">
        <v>57</v>
      </c>
      <c r="AF10" s="5" t="s">
        <v>57</v>
      </c>
    </row>
    <row r="11" spans="2:32" x14ac:dyDescent="0.25">
      <c r="B11" s="4" t="s">
        <v>14</v>
      </c>
      <c r="C11" s="15">
        <v>100000</v>
      </c>
      <c r="F11" s="9">
        <v>7</v>
      </c>
      <c r="G11" s="33"/>
      <c r="H11" s="32">
        <f t="shared" si="11"/>
        <v>3594454.3713419996</v>
      </c>
      <c r="I11" s="32">
        <f t="shared" si="11"/>
        <v>15691272.102048321</v>
      </c>
      <c r="J11" s="32">
        <f t="shared" si="0"/>
        <v>19285726.473390318</v>
      </c>
      <c r="K11" s="1"/>
      <c r="L11" s="10">
        <f t="shared" si="12"/>
        <v>2579304153.0880003</v>
      </c>
      <c r="N11" s="13">
        <f t="shared" si="1"/>
        <v>25793041.530880004</v>
      </c>
      <c r="O11" s="13">
        <f t="shared" si="2"/>
        <v>77379124.592640013</v>
      </c>
      <c r="P11" s="13">
        <f t="shared" si="3"/>
        <v>-515860.83061760012</v>
      </c>
      <c r="Q11" s="13">
        <f t="shared" si="4"/>
        <v>19344781.148159999</v>
      </c>
      <c r="R11" s="13">
        <f t="shared" si="5"/>
        <v>7737912.4592639999</v>
      </c>
      <c r="S11" s="13">
        <f t="shared" si="6"/>
        <v>129738998.9003264</v>
      </c>
      <c r="U11" s="14">
        <f t="shared" si="7"/>
        <v>5416980</v>
      </c>
      <c r="V11" s="14">
        <f>$L11*$D$8*2</f>
        <v>154758249.18528003</v>
      </c>
      <c r="W11" s="14">
        <f t="shared" si="8"/>
        <v>25793041.530880004</v>
      </c>
      <c r="X11" s="14">
        <f t="shared" si="9"/>
        <v>2166792</v>
      </c>
      <c r="Y11" s="14">
        <f t="shared" si="9"/>
        <v>1083396</v>
      </c>
      <c r="Z11" s="14">
        <v>100000000</v>
      </c>
      <c r="AA11" s="14">
        <f t="shared" si="10"/>
        <v>289218458.71616006</v>
      </c>
      <c r="AC11" s="5" t="s">
        <v>57</v>
      </c>
      <c r="AD11" s="5" t="s">
        <v>57</v>
      </c>
      <c r="AE11" s="5" t="s">
        <v>57</v>
      </c>
      <c r="AF11" s="5" t="s">
        <v>57</v>
      </c>
    </row>
    <row r="12" spans="2:32" x14ac:dyDescent="0.25">
      <c r="B12" s="4" t="s">
        <v>15</v>
      </c>
      <c r="C12" s="15">
        <v>6000</v>
      </c>
      <c r="F12" s="9">
        <v>8</v>
      </c>
      <c r="G12" s="33"/>
      <c r="H12" s="32">
        <f t="shared" si="11"/>
        <v>3630398.9150554198</v>
      </c>
      <c r="I12" s="32">
        <f t="shared" si="11"/>
        <v>15848184.823068803</v>
      </c>
      <c r="J12" s="32">
        <f t="shared" si="0"/>
        <v>19478583.738124222</v>
      </c>
      <c r="K12" s="1"/>
      <c r="L12" s="10">
        <f t="shared" si="12"/>
        <v>2682476319.2115202</v>
      </c>
      <c r="N12" s="13">
        <f t="shared" si="1"/>
        <v>26824763.192115203</v>
      </c>
      <c r="O12" s="13">
        <f t="shared" si="2"/>
        <v>80474289.576345608</v>
      </c>
      <c r="P12" s="13">
        <f t="shared" si="3"/>
        <v>-536495.263842304</v>
      </c>
      <c r="Q12" s="13">
        <f t="shared" si="4"/>
        <v>20118572.394086402</v>
      </c>
      <c r="R12" s="13">
        <f t="shared" si="5"/>
        <v>8047428.9576345608</v>
      </c>
      <c r="S12" s="13">
        <f t="shared" si="6"/>
        <v>134928558.85633948</v>
      </c>
      <c r="U12" s="14">
        <f t="shared" si="7"/>
        <v>5416980</v>
      </c>
      <c r="V12" s="14">
        <f>$L12*$D$8*2</f>
        <v>160948579.15269122</v>
      </c>
      <c r="W12" s="14">
        <f t="shared" si="8"/>
        <v>26824763.192115203</v>
      </c>
      <c r="X12" s="14">
        <f t="shared" si="9"/>
        <v>2166792</v>
      </c>
      <c r="Y12" s="14">
        <f t="shared" si="9"/>
        <v>1083396</v>
      </c>
      <c r="Z12" s="14">
        <v>100000000</v>
      </c>
      <c r="AA12" s="14">
        <f t="shared" si="10"/>
        <v>296440510.34480643</v>
      </c>
      <c r="AC12" s="5" t="s">
        <v>57</v>
      </c>
      <c r="AD12" s="5" t="s">
        <v>57</v>
      </c>
      <c r="AE12" s="5" t="s">
        <v>57</v>
      </c>
      <c r="AF12" s="5" t="s">
        <v>57</v>
      </c>
    </row>
    <row r="13" spans="2:32" x14ac:dyDescent="0.25">
      <c r="B13" s="4" t="s">
        <v>19</v>
      </c>
      <c r="C13" s="15">
        <v>200000</v>
      </c>
      <c r="F13" s="9">
        <v>9</v>
      </c>
      <c r="G13" s="33"/>
      <c r="H13" s="32">
        <f t="shared" si="11"/>
        <v>3666702.9042059742</v>
      </c>
      <c r="I13" s="32">
        <f t="shared" si="11"/>
        <v>16006666.671299491</v>
      </c>
      <c r="J13" s="32">
        <f t="shared" si="0"/>
        <v>19673369.575505465</v>
      </c>
      <c r="K13" s="1"/>
      <c r="L13" s="10">
        <f t="shared" si="12"/>
        <v>2789775371.9799809</v>
      </c>
      <c r="N13" s="13">
        <f t="shared" si="1"/>
        <v>27897753.719799809</v>
      </c>
      <c r="O13" s="13">
        <f t="shared" si="2"/>
        <v>83693261.15939942</v>
      </c>
      <c r="P13" s="13">
        <f t="shared" si="3"/>
        <v>-557955.07439599629</v>
      </c>
      <c r="Q13" s="13">
        <f t="shared" si="4"/>
        <v>20923315.289849855</v>
      </c>
      <c r="R13" s="13">
        <f t="shared" si="5"/>
        <v>8369326.1159399422</v>
      </c>
      <c r="S13" s="13">
        <f t="shared" si="6"/>
        <v>140325701.21059304</v>
      </c>
      <c r="U13" s="14">
        <f t="shared" si="7"/>
        <v>5416980</v>
      </c>
      <c r="V13" s="14">
        <f>$L13*$D$8*2</f>
        <v>167386522.31879884</v>
      </c>
      <c r="W13" s="14">
        <f t="shared" si="8"/>
        <v>27897753.719799809</v>
      </c>
      <c r="X13" s="14">
        <f t="shared" si="9"/>
        <v>2166792</v>
      </c>
      <c r="Y13" s="14">
        <f t="shared" si="9"/>
        <v>1083396</v>
      </c>
      <c r="Z13" s="14">
        <v>100000000</v>
      </c>
      <c r="AA13" s="14">
        <f t="shared" si="10"/>
        <v>303951444.03859866</v>
      </c>
      <c r="AC13" s="5" t="s">
        <v>57</v>
      </c>
      <c r="AD13" s="5" t="s">
        <v>57</v>
      </c>
      <c r="AE13" s="5" t="s">
        <v>57</v>
      </c>
      <c r="AF13" s="5" t="s">
        <v>57</v>
      </c>
    </row>
    <row r="14" spans="2:32" x14ac:dyDescent="0.25">
      <c r="B14" s="4" t="s">
        <v>21</v>
      </c>
      <c r="C14" s="15">
        <v>10000</v>
      </c>
      <c r="F14" s="9">
        <v>10</v>
      </c>
      <c r="G14" s="33"/>
      <c r="H14" s="32">
        <f t="shared" si="11"/>
        <v>3703369.9332480337</v>
      </c>
      <c r="I14" s="32">
        <f t="shared" si="11"/>
        <v>16166733.338012487</v>
      </c>
      <c r="J14" s="32">
        <f t="shared" si="0"/>
        <v>19870103.271260522</v>
      </c>
      <c r="K14" s="1"/>
      <c r="L14" s="10">
        <f t="shared" si="12"/>
        <v>2901366386.8591805</v>
      </c>
      <c r="N14" s="13">
        <f t="shared" si="1"/>
        <v>29013663.868591804</v>
      </c>
      <c r="O14" s="13">
        <f t="shared" si="2"/>
        <v>87040991.605775416</v>
      </c>
      <c r="P14" s="13">
        <f t="shared" si="3"/>
        <v>-580273.27737183613</v>
      </c>
      <c r="Q14" s="13">
        <f t="shared" si="4"/>
        <v>21760247.90144385</v>
      </c>
      <c r="R14" s="13">
        <f t="shared" si="5"/>
        <v>8704099.1605775412</v>
      </c>
      <c r="S14" s="13">
        <f t="shared" si="6"/>
        <v>145938729.25901675</v>
      </c>
      <c r="U14" s="14">
        <f t="shared" si="7"/>
        <v>5416980</v>
      </c>
      <c r="V14" s="14">
        <f>$L14*$D$8*2</f>
        <v>174081983.21155083</v>
      </c>
      <c r="W14" s="14">
        <f t="shared" si="8"/>
        <v>29013663.868591804</v>
      </c>
      <c r="X14" s="14">
        <f t="shared" si="9"/>
        <v>2166792</v>
      </c>
      <c r="Y14" s="14">
        <f t="shared" si="9"/>
        <v>1083396</v>
      </c>
      <c r="Z14" s="14">
        <v>100000000</v>
      </c>
      <c r="AA14" s="14">
        <f t="shared" si="10"/>
        <v>311762815.08014262</v>
      </c>
      <c r="AC14" s="5" t="s">
        <v>57</v>
      </c>
      <c r="AD14" s="5" t="s">
        <v>57</v>
      </c>
      <c r="AE14" s="5" t="s">
        <v>57</v>
      </c>
      <c r="AF14" s="5" t="s">
        <v>57</v>
      </c>
    </row>
    <row r="15" spans="2:32" x14ac:dyDescent="0.25">
      <c r="B15" s="4"/>
      <c r="C15" s="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U15" s="1"/>
      <c r="V15" s="1"/>
      <c r="W15" s="1"/>
      <c r="X15" s="1"/>
      <c r="Y15" s="1"/>
      <c r="Z15" s="1"/>
    </row>
    <row r="16" spans="2:32" x14ac:dyDescent="0.25">
      <c r="B16" s="4" t="s">
        <v>16</v>
      </c>
      <c r="C16" s="53">
        <f>C5*C11</f>
        <v>114000000</v>
      </c>
      <c r="D16" t="s">
        <v>58</v>
      </c>
      <c r="G16" s="56" t="s">
        <v>44</v>
      </c>
      <c r="H16" s="56"/>
      <c r="I16" s="56"/>
      <c r="J16" s="57">
        <f>NPV($J$2,J5:J14)</f>
        <v>839823590.66259086</v>
      </c>
      <c r="K16" s="1"/>
      <c r="L16" t="s">
        <v>58</v>
      </c>
      <c r="N16" s="18" t="s">
        <v>47</v>
      </c>
      <c r="O16" s="18"/>
      <c r="P16" s="18"/>
      <c r="Q16" s="18"/>
      <c r="R16" s="18"/>
      <c r="S16" s="19">
        <f>NPV($J$2,S6:S14)</f>
        <v>879965765.40683627</v>
      </c>
      <c r="T16" t="s">
        <v>58</v>
      </c>
      <c r="U16" s="24" t="s">
        <v>46</v>
      </c>
      <c r="V16" s="24"/>
      <c r="W16" s="24"/>
      <c r="X16" s="24"/>
      <c r="Y16" s="24"/>
      <c r="Z16" s="24"/>
      <c r="AA16" s="25">
        <f>NPV($S$3,AA6:AA14)</f>
        <v>2442491336.0837078</v>
      </c>
      <c r="AB16" t="s">
        <v>58</v>
      </c>
    </row>
    <row r="17" spans="2:27" x14ac:dyDescent="0.25">
      <c r="B17" s="4" t="s">
        <v>17</v>
      </c>
      <c r="C17" s="53">
        <f>C6*C12</f>
        <v>541698000</v>
      </c>
      <c r="D17" t="s">
        <v>58</v>
      </c>
      <c r="K17" s="1"/>
      <c r="N17" s="20" t="s">
        <v>36</v>
      </c>
      <c r="O17" s="21"/>
      <c r="P17" s="21"/>
      <c r="Q17" s="21"/>
      <c r="R17" s="22"/>
      <c r="S17" s="23">
        <f>(S16-$J16)/$J16</f>
        <v>4.7798341449987923E-2</v>
      </c>
      <c r="U17" s="26" t="s">
        <v>37</v>
      </c>
      <c r="V17" s="26"/>
      <c r="W17" s="26"/>
      <c r="X17" s="26"/>
      <c r="Y17" s="26"/>
      <c r="Z17" s="26"/>
      <c r="AA17" s="27">
        <f>(AA16-$J16)/$J16</f>
        <v>1.9083385644795583</v>
      </c>
    </row>
    <row r="18" spans="2:27" x14ac:dyDescent="0.25">
      <c r="B18" s="4" t="s">
        <v>20</v>
      </c>
      <c r="C18" s="54">
        <f>C7*C13</f>
        <v>45600000</v>
      </c>
      <c r="D18" t="s">
        <v>58</v>
      </c>
    </row>
    <row r="19" spans="2:27" x14ac:dyDescent="0.25">
      <c r="B19" s="4" t="s">
        <v>22</v>
      </c>
      <c r="C19" s="54">
        <f>C8*C14</f>
        <v>27084899.999999996</v>
      </c>
      <c r="D19" t="s">
        <v>58</v>
      </c>
      <c r="I19" s="1"/>
      <c r="J19" s="1"/>
      <c r="K19" s="1"/>
    </row>
    <row r="20" spans="2:27" x14ac:dyDescent="0.25">
      <c r="B20" s="4" t="s">
        <v>42</v>
      </c>
      <c r="C20" s="54">
        <f>$C$6*100</f>
        <v>9028300</v>
      </c>
      <c r="D20" t="s">
        <v>58</v>
      </c>
      <c r="I20" s="1"/>
      <c r="J20" s="1"/>
      <c r="K20" s="1"/>
    </row>
    <row r="21" spans="2:27" x14ac:dyDescent="0.25">
      <c r="B21" s="4" t="s">
        <v>30</v>
      </c>
      <c r="C21" s="54">
        <f>$C$6*50</f>
        <v>4514150</v>
      </c>
      <c r="D21" t="s">
        <v>58</v>
      </c>
      <c r="I21" s="1"/>
      <c r="J21" s="1"/>
      <c r="K21" s="1"/>
    </row>
    <row r="22" spans="2:27" x14ac:dyDescent="0.25">
      <c r="B22" s="4" t="s">
        <v>32</v>
      </c>
      <c r="C22" s="54">
        <f>C5*1000</f>
        <v>1140000</v>
      </c>
      <c r="D22" t="s">
        <v>58</v>
      </c>
      <c r="I22" s="1"/>
      <c r="J22" s="1"/>
      <c r="K22" s="1"/>
    </row>
    <row r="23" spans="2:27" x14ac:dyDescent="0.25">
      <c r="B23" s="4" t="s">
        <v>31</v>
      </c>
      <c r="C23" s="54">
        <f>C5*3000</f>
        <v>3420000</v>
      </c>
      <c r="D23" t="s">
        <v>58</v>
      </c>
      <c r="I23" s="1"/>
      <c r="J23" s="1"/>
      <c r="K23" s="1"/>
    </row>
    <row r="24" spans="2:27" x14ac:dyDescent="0.25">
      <c r="C24" s="2"/>
      <c r="I24" s="1"/>
      <c r="J24" s="1"/>
      <c r="K24" s="1"/>
    </row>
    <row r="25" spans="2:27" x14ac:dyDescent="0.25">
      <c r="B25" s="52" t="s">
        <v>56</v>
      </c>
      <c r="C25" s="36">
        <f>SUM(C16:C23)</f>
        <v>746485350</v>
      </c>
      <c r="D25" t="s">
        <v>58</v>
      </c>
    </row>
  </sheetData>
  <mergeCells count="9">
    <mergeCell ref="N17:R17"/>
    <mergeCell ref="U17:Z17"/>
    <mergeCell ref="G3:J3"/>
    <mergeCell ref="N3:S3"/>
    <mergeCell ref="U3:AA3"/>
    <mergeCell ref="AC3:AF3"/>
    <mergeCell ref="G16:I16"/>
    <mergeCell ref="N16:R16"/>
    <mergeCell ref="U16:Z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D870-7CC7-4565-B48A-E26B86ADE79A}">
  <dimension ref="A2:B6"/>
  <sheetViews>
    <sheetView workbookViewId="0">
      <selection activeCell="B3" sqref="B3"/>
    </sheetView>
  </sheetViews>
  <sheetFormatPr defaultRowHeight="15" x14ac:dyDescent="0.25"/>
  <sheetData>
    <row r="2" spans="1:2" x14ac:dyDescent="0.25">
      <c r="A2" t="s">
        <v>0</v>
      </c>
      <c r="B2">
        <v>10651691</v>
      </c>
    </row>
    <row r="3" spans="1:2" x14ac:dyDescent="0.25">
      <c r="A3" t="s">
        <v>1</v>
      </c>
      <c r="B3">
        <v>5280342</v>
      </c>
    </row>
    <row r="4" spans="1:2" x14ac:dyDescent="0.25">
      <c r="A4" t="s">
        <v>2</v>
      </c>
      <c r="B4">
        <v>3731735</v>
      </c>
    </row>
    <row r="6" spans="1:2" x14ac:dyDescent="0.25">
      <c r="B6" s="3">
        <f>(B2-B4)/B4</f>
        <v>1.8543535379655844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ปลวกแดง</vt:lpstr>
      <vt:lpstr>เชียงใหม่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choompol@staff.tu.ac.th 3100601641284</dc:creator>
  <cp:lastModifiedBy>choompol@staff.tu.ac.th 3100601641284</cp:lastModifiedBy>
  <dcterms:created xsi:type="dcterms:W3CDTF">2024-01-07T03:13:20Z</dcterms:created>
  <dcterms:modified xsi:type="dcterms:W3CDTF">2024-01-07T11:14:09Z</dcterms:modified>
</cp:coreProperties>
</file>