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\"/>
    </mc:Choice>
  </mc:AlternateContent>
  <xr:revisionPtr revIDLastSave="0" documentId="8_{8E6DF061-B7EB-4C20-9457-13A3DEB888C1}" xr6:coauthVersionLast="47" xr6:coauthVersionMax="47" xr10:uidLastSave="{00000000-0000-0000-0000-000000000000}"/>
  <bookViews>
    <workbookView xWindow="28680" yWindow="-120" windowWidth="20730" windowHeight="11310" xr2:uid="{90C357A7-F4EC-40F0-A87A-EEC263DF3AF0}"/>
  </bookViews>
  <sheets>
    <sheet name="(3)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0" i="1" l="1"/>
  <c r="A69" i="1"/>
  <c r="E60" i="1"/>
  <c r="I59" i="1"/>
  <c r="F59" i="1"/>
  <c r="I58" i="1"/>
  <c r="F58" i="1"/>
  <c r="I57" i="1"/>
  <c r="F57" i="1"/>
  <c r="G56" i="1"/>
  <c r="I56" i="1" s="1"/>
  <c r="J56" i="1" s="1"/>
  <c r="F56" i="1"/>
  <c r="H49" i="1"/>
  <c r="F49" i="1"/>
  <c r="J48" i="1"/>
  <c r="J49" i="1" s="1"/>
  <c r="K49" i="1" s="1"/>
  <c r="I48" i="1"/>
  <c r="K48" i="1" s="1"/>
  <c r="H45" i="1"/>
  <c r="H46" i="1" s="1"/>
  <c r="G45" i="1"/>
  <c r="J44" i="1"/>
  <c r="K44" i="1" s="1"/>
  <c r="I44" i="1"/>
  <c r="J43" i="1"/>
  <c r="I43" i="1"/>
  <c r="K43" i="1" s="1"/>
  <c r="J42" i="1"/>
  <c r="I42" i="1"/>
  <c r="K42" i="1" s="1"/>
  <c r="K41" i="1"/>
  <c r="J41" i="1"/>
  <c r="I41" i="1"/>
  <c r="J40" i="1"/>
  <c r="K40" i="1" s="1"/>
  <c r="I40" i="1"/>
  <c r="J39" i="1"/>
  <c r="I39" i="1"/>
  <c r="K39" i="1" s="1"/>
  <c r="J38" i="1"/>
  <c r="I38" i="1"/>
  <c r="K38" i="1" s="1"/>
  <c r="K37" i="1"/>
  <c r="J37" i="1"/>
  <c r="I37" i="1"/>
  <c r="H36" i="1"/>
  <c r="G36" i="1"/>
  <c r="F36" i="1"/>
  <c r="F45" i="1" s="1"/>
  <c r="E36" i="1"/>
  <c r="I36" i="1" s="1"/>
  <c r="J35" i="1"/>
  <c r="K35" i="1" s="1"/>
  <c r="K34" i="1"/>
  <c r="J34" i="1"/>
  <c r="J33" i="1"/>
  <c r="K33" i="1" s="1"/>
  <c r="K31" i="1"/>
  <c r="J31" i="1"/>
  <c r="I31" i="1"/>
  <c r="I30" i="1"/>
  <c r="H30" i="1"/>
  <c r="H32" i="1" s="1"/>
  <c r="G30" i="1"/>
  <c r="F30" i="1"/>
  <c r="J30" i="1" s="1"/>
  <c r="K30" i="1" s="1"/>
  <c r="E30" i="1"/>
  <c r="J29" i="1"/>
  <c r="K29" i="1" s="1"/>
  <c r="K28" i="1"/>
  <c r="J28" i="1"/>
  <c r="J27" i="1"/>
  <c r="K27" i="1" s="1"/>
  <c r="K26" i="1"/>
  <c r="J26" i="1"/>
  <c r="J25" i="1"/>
  <c r="K25" i="1" s="1"/>
  <c r="K24" i="1"/>
  <c r="J24" i="1"/>
  <c r="J23" i="1"/>
  <c r="K23" i="1" s="1"/>
  <c r="H22" i="1"/>
  <c r="F22" i="1"/>
  <c r="J22" i="1" s="1"/>
  <c r="K22" i="1" s="1"/>
  <c r="H20" i="1"/>
  <c r="F20" i="1"/>
  <c r="J20" i="1" s="1"/>
  <c r="K20" i="1" s="1"/>
  <c r="J19" i="1"/>
  <c r="E19" i="1"/>
  <c r="J18" i="1"/>
  <c r="G18" i="1"/>
  <c r="G19" i="1" s="1"/>
  <c r="I19" i="1" s="1"/>
  <c r="K19" i="1" s="1"/>
  <c r="E18" i="1"/>
  <c r="J17" i="1"/>
  <c r="I17" i="1"/>
  <c r="K17" i="1" s="1"/>
  <c r="J16" i="1"/>
  <c r="I16" i="1"/>
  <c r="K16" i="1" s="1"/>
  <c r="J15" i="1"/>
  <c r="G15" i="1"/>
  <c r="E15" i="1"/>
  <c r="I15" i="1" s="1"/>
  <c r="K15" i="1" s="1"/>
  <c r="K14" i="1"/>
  <c r="J14" i="1"/>
  <c r="H13" i="1"/>
  <c r="H50" i="1" s="1"/>
  <c r="F13" i="1"/>
  <c r="J13" i="1" s="1"/>
  <c r="H12" i="1"/>
  <c r="H47" i="1" s="1"/>
  <c r="F12" i="1"/>
  <c r="F47" i="1" s="1"/>
  <c r="J11" i="1"/>
  <c r="K11" i="1" s="1"/>
  <c r="I11" i="1"/>
  <c r="G11" i="1"/>
  <c r="E11" i="1"/>
  <c r="H10" i="1"/>
  <c r="F10" i="1"/>
  <c r="J10" i="1" s="1"/>
  <c r="J9" i="1"/>
  <c r="K9" i="1" s="1"/>
  <c r="I9" i="1"/>
  <c r="K8" i="1"/>
  <c r="A64" i="1" s="1"/>
  <c r="J8" i="1"/>
  <c r="G8" i="1"/>
  <c r="G13" i="1" s="1"/>
  <c r="E8" i="1"/>
  <c r="E13" i="1" s="1"/>
  <c r="C4" i="1"/>
  <c r="C3" i="1" s="1"/>
  <c r="J57" i="1" l="1"/>
  <c r="J59" i="1"/>
  <c r="I13" i="1"/>
  <c r="J47" i="1"/>
  <c r="K47" i="1" s="1"/>
  <c r="J45" i="1"/>
  <c r="F21" i="1"/>
  <c r="F46" i="1"/>
  <c r="J46" i="1" s="1"/>
  <c r="K46" i="1" s="1"/>
  <c r="J58" i="1"/>
  <c r="K13" i="1"/>
  <c r="H56" i="1"/>
  <c r="H57" i="1"/>
  <c r="H58" i="1"/>
  <c r="H59" i="1"/>
  <c r="A63" i="1"/>
  <c r="J36" i="1"/>
  <c r="K36" i="1" s="1"/>
  <c r="G10" i="1"/>
  <c r="J12" i="1"/>
  <c r="K12" i="1" s="1"/>
  <c r="F32" i="1"/>
  <c r="J32" i="1" s="1"/>
  <c r="K32" i="1" s="1"/>
  <c r="F50" i="1"/>
  <c r="J50" i="1" s="1"/>
  <c r="H21" i="1"/>
  <c r="E45" i="1"/>
  <c r="I45" i="1" s="1"/>
  <c r="G50" i="1"/>
  <c r="E50" i="1"/>
  <c r="I50" i="1" s="1"/>
  <c r="K50" i="1" s="1"/>
  <c r="I18" i="1"/>
  <c r="K18" i="1" s="1"/>
  <c r="E10" i="1"/>
  <c r="I10" i="1" s="1"/>
  <c r="K10" i="1" s="1"/>
  <c r="J21" i="1" l="1"/>
  <c r="K21" i="1" s="1"/>
  <c r="K45" i="1"/>
</calcChain>
</file>

<file path=xl/sharedStrings.xml><?xml version="1.0" encoding="utf-8"?>
<sst xmlns="http://schemas.openxmlformats.org/spreadsheetml/2006/main" count="120" uniqueCount="106">
  <si>
    <t>DAILY PRODUCTION REPORT</t>
  </si>
  <si>
    <t>PT. MANDIRI HERINDO ADIPERKASA</t>
  </si>
  <si>
    <t>Hari</t>
  </si>
  <si>
    <t>:</t>
  </si>
  <si>
    <t>Job Site IP Tabang</t>
  </si>
  <si>
    <t>Tanggal</t>
  </si>
  <si>
    <t>INTERNAL</t>
  </si>
  <si>
    <t>DESKRIPSI</t>
  </si>
  <si>
    <t>Shift 1</t>
  </si>
  <si>
    <t>Shift 2</t>
  </si>
  <si>
    <t>Daily</t>
  </si>
  <si>
    <t>Target</t>
  </si>
  <si>
    <t>Actual</t>
  </si>
  <si>
    <t>Deviasi</t>
  </si>
  <si>
    <t>Produksi</t>
  </si>
  <si>
    <t>Ton</t>
  </si>
  <si>
    <t>Trip</t>
  </si>
  <si>
    <t>Average Ton</t>
  </si>
  <si>
    <t>Average Distance</t>
  </si>
  <si>
    <t>Total Distance</t>
  </si>
  <si>
    <t>Total Ton KM</t>
  </si>
  <si>
    <t>Unit</t>
  </si>
  <si>
    <t>Populasi</t>
  </si>
  <si>
    <t>Rata2 Unit Ready</t>
  </si>
  <si>
    <t>Jumlah Unit Service</t>
  </si>
  <si>
    <t>Jumlah Unit Breakdown</t>
  </si>
  <si>
    <t>Hours Metre Unit</t>
  </si>
  <si>
    <t>Jumlah Jam Breakdown</t>
  </si>
  <si>
    <t>PA</t>
  </si>
  <si>
    <t>MA</t>
  </si>
  <si>
    <t>Operator</t>
  </si>
  <si>
    <t xml:space="preserve">Jumlah Operator </t>
  </si>
  <si>
    <t>Jumlah Operator Training</t>
  </si>
  <si>
    <t>Jumlah Operator Sakit &amp; Follow up ( off site &amp; on site )</t>
  </si>
  <si>
    <t>Jumlah Operator Cuti ( off site )</t>
  </si>
  <si>
    <t>Jumlah Operator Mangkir ( off site )</t>
  </si>
  <si>
    <t>Jumlah Operator tidak siap bekerja ( on site )</t>
  </si>
  <si>
    <t>Jumlah Operator Off ( on site )</t>
  </si>
  <si>
    <t>Jumlah Operator Siap Operasi</t>
  </si>
  <si>
    <t>Operasional</t>
  </si>
  <si>
    <t>Jumlah Unit Operasi</t>
  </si>
  <si>
    <t>Jumlah Unit Change Shift di Km 30 / 35</t>
  </si>
  <si>
    <t>Rata2 Produktifitas Unit Operasi</t>
  </si>
  <si>
    <t>Jumlah Unit Yang Mendapat &gt;= 2 Trip</t>
  </si>
  <si>
    <t>Rata2 Produktifitas Operator</t>
  </si>
  <si>
    <t>Jumlah Operator Yang Mendapat &gt;= 2 Trip</t>
  </si>
  <si>
    <t>Standby Time</t>
  </si>
  <si>
    <t>Breakdown</t>
  </si>
  <si>
    <t>Change Shift</t>
  </si>
  <si>
    <t>Refueling</t>
  </si>
  <si>
    <t>Antri Loading</t>
  </si>
  <si>
    <t>Antri Dumping</t>
  </si>
  <si>
    <t>Rest Time</t>
  </si>
  <si>
    <t>Cycle Time</t>
  </si>
  <si>
    <t>Travel Time</t>
  </si>
  <si>
    <t>EWH</t>
  </si>
  <si>
    <t>UA</t>
  </si>
  <si>
    <t>Kecepatan rata-rata Unit (KM/Jam)</t>
  </si>
  <si>
    <t>Fuel Consumption Unit Trailer</t>
  </si>
  <si>
    <t>Fuel Indeks Unit Trailer ( L / Ton )</t>
  </si>
  <si>
    <t>Fuel Indeks Unit Trailer ( L / Ton Km )</t>
  </si>
  <si>
    <t>EKSTERNAL</t>
  </si>
  <si>
    <t>Kondisi Coal Stok</t>
  </si>
  <si>
    <t>Coal Stock Limit</t>
  </si>
  <si>
    <t>Total Hours :</t>
  </si>
  <si>
    <t>Kondisi Jetty</t>
  </si>
  <si>
    <t>PRODUCTION SHARING</t>
  </si>
  <si>
    <t>KONTRAKTOR</t>
  </si>
  <si>
    <t>TARGET BULANAN</t>
  </si>
  <si>
    <t>AKTUAL TO DAY</t>
  </si>
  <si>
    <t>AKTUAL MTD</t>
  </si>
  <si>
    <t>TON</t>
  </si>
  <si>
    <t>%</t>
  </si>
  <si>
    <t>PT. MHA</t>
  </si>
  <si>
    <t>PT. KAI</t>
  </si>
  <si>
    <t>PT. BUMA</t>
  </si>
  <si>
    <t>PT. IP</t>
  </si>
  <si>
    <t>Aktual pencapaian produksi hari ini dari target harian</t>
  </si>
  <si>
    <t>Tercapai</t>
  </si>
  <si>
    <t>Tidak Tercapai</t>
  </si>
  <si>
    <t>Penyebab ketidak tercapaian produksi pada hari ini lebih disebabkan karena aspek</t>
  </si>
  <si>
    <t>Internal Problem</t>
  </si>
  <si>
    <t>Stock Limit</t>
  </si>
  <si>
    <t>No Barging</t>
  </si>
  <si>
    <t>External / Accident</t>
  </si>
  <si>
    <t>Pengawas Operasional</t>
  </si>
  <si>
    <t>Front Loading :</t>
  </si>
  <si>
    <t>Angky YS</t>
  </si>
  <si>
    <t>Wawan W</t>
  </si>
  <si>
    <t>Manahan H</t>
  </si>
  <si>
    <t>Sucipto</t>
  </si>
  <si>
    <t>Airmanto</t>
  </si>
  <si>
    <t>Ferdianto G</t>
  </si>
  <si>
    <t>Oktavianus T</t>
  </si>
  <si>
    <t>Jetty :</t>
  </si>
  <si>
    <t>M Tokhid</t>
  </si>
  <si>
    <t>Bayu Aji P</t>
  </si>
  <si>
    <t>Riyadi</t>
  </si>
  <si>
    <t>Juli H</t>
  </si>
  <si>
    <t>Edy S</t>
  </si>
  <si>
    <t>Ari Alpan Tarigan</t>
  </si>
  <si>
    <t>Syafarudin Noor</t>
  </si>
  <si>
    <t>Dedik Darmawan</t>
  </si>
  <si>
    <t>Supervisor CCR</t>
  </si>
  <si>
    <t>Supervisor Operation</t>
  </si>
  <si>
    <t>Section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</si>
</sst>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3" formatCode="_-* #,##0.00_-;\-* #,##0.00_-;_-* &quot;-&quot;??_-;_-@_-"/>
    <numFmt numFmtId="164" formatCode="[$-409]d\-mmm\-yyyy;@"/>
    <numFmt numFmtId="165" formatCode="_-* #,##0_-;\-* #,##0_-;_-* &quot;-&quot;??_-;_-@_-"/>
    <numFmt numFmtId="166" formatCode="_(* #,##0_);_(* \(#,##0\);_(* &quot;-&quot;??_);_(@_)"/>
    <numFmt numFmtId="167" formatCode="_(* #,##0.00_);_(* \(#,##0.00\);_(* &quot;-&quot;??_);_(@_)"/>
    <numFmt numFmtId="168" formatCode="_-* #,##0.000_-;\-* #,##0.000_-;_-* &quot;-&quot;_-;_-@_-"/>
    <numFmt numFmtId="169" formatCode="_-* #,##0.00_-;\-* #,##0.00_-;_-* &quot;-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3" borderId="2" xfId="0" applyFont="1" applyFill="1" applyBorder="1" applyAlignment="1">
      <alignment horizontal="center" vertical="center" textRotation="90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textRotation="90"/>
    </xf>
    <xf numFmtId="0" fontId="2" fillId="0" borderId="8" xfId="0" applyFont="1" applyBorder="1"/>
    <xf numFmtId="0" fontId="2" fillId="0" borderId="10" xfId="0" applyFont="1" applyBorder="1"/>
    <xf numFmtId="165" fontId="2" fillId="0" borderId="8" xfId="1" applyNumberFormat="1" applyFont="1" applyBorder="1" applyAlignment="1">
      <alignment horizontal="right"/>
    </xf>
    <xf numFmtId="41" fontId="2" fillId="0" borderId="10" xfId="1" applyNumberFormat="1" applyFont="1" applyBorder="1" applyAlignment="1">
      <alignment horizontal="right"/>
    </xf>
    <xf numFmtId="166" fontId="2" fillId="0" borderId="8" xfId="1" applyNumberFormat="1" applyFont="1" applyBorder="1" applyAlignment="1">
      <alignment horizontal="right"/>
    </xf>
    <xf numFmtId="165" fontId="2" fillId="0" borderId="9" xfId="1" applyNumberFormat="1" applyFont="1" applyBorder="1" applyAlignment="1">
      <alignment horizontal="right"/>
    </xf>
    <xf numFmtId="165" fontId="2" fillId="0" borderId="10" xfId="1" applyNumberFormat="1" applyFont="1" applyBorder="1" applyAlignment="1">
      <alignment horizontal="right"/>
    </xf>
    <xf numFmtId="166" fontId="2" fillId="0" borderId="0" xfId="0" applyNumberFormat="1" applyFont="1"/>
    <xf numFmtId="43" fontId="2" fillId="0" borderId="8" xfId="1" applyFont="1" applyBorder="1" applyAlignment="1">
      <alignment horizontal="right"/>
    </xf>
    <xf numFmtId="43" fontId="2" fillId="0" borderId="10" xfId="1" applyFont="1" applyBorder="1" applyAlignment="1">
      <alignment horizontal="right"/>
    </xf>
    <xf numFmtId="43" fontId="2" fillId="0" borderId="9" xfId="1" applyFont="1" applyBorder="1" applyAlignment="1">
      <alignment horizontal="right"/>
    </xf>
    <xf numFmtId="167" fontId="2" fillId="0" borderId="10" xfId="1" applyNumberFormat="1" applyFont="1" applyBorder="1" applyAlignment="1">
      <alignment horizontal="right"/>
    </xf>
    <xf numFmtId="167" fontId="2" fillId="0" borderId="0" xfId="0" applyNumberFormat="1" applyFont="1"/>
    <xf numFmtId="0" fontId="2" fillId="0" borderId="8" xfId="0" applyFont="1" applyBorder="1"/>
    <xf numFmtId="0" fontId="2" fillId="0" borderId="10" xfId="0" applyFont="1" applyBorder="1"/>
    <xf numFmtId="0" fontId="4" fillId="0" borderId="2" xfId="0" applyFont="1" applyBorder="1" applyAlignment="1">
      <alignment horizontal="center" vertical="center" textRotation="90"/>
    </xf>
    <xf numFmtId="9" fontId="2" fillId="0" borderId="8" xfId="3" applyFont="1" applyBorder="1" applyAlignment="1">
      <alignment horizontal="right"/>
    </xf>
    <xf numFmtId="9" fontId="2" fillId="0" borderId="10" xfId="3" applyFont="1" applyBorder="1" applyAlignment="1">
      <alignment horizontal="right"/>
    </xf>
    <xf numFmtId="9" fontId="2" fillId="0" borderId="9" xfId="3" applyFont="1" applyBorder="1" applyAlignment="1">
      <alignment horizontal="right"/>
    </xf>
    <xf numFmtId="0" fontId="9" fillId="0" borderId="2" xfId="0" applyFont="1" applyBorder="1" applyAlignment="1">
      <alignment horizontal="center" vertical="center" textRotation="90"/>
    </xf>
    <xf numFmtId="43" fontId="10" fillId="0" borderId="8" xfId="1" applyFont="1" applyBorder="1" applyAlignment="1">
      <alignment horizontal="right"/>
    </xf>
    <xf numFmtId="43" fontId="11" fillId="0" borderId="10" xfId="1" applyFont="1" applyBorder="1" applyAlignment="1">
      <alignment horizontal="right"/>
    </xf>
    <xf numFmtId="0" fontId="10" fillId="0" borderId="8" xfId="0" applyFont="1" applyBorder="1" applyAlignment="1">
      <alignment horizontal="left" indent="1"/>
    </xf>
    <xf numFmtId="20" fontId="2" fillId="0" borderId="0" xfId="0" applyNumberFormat="1" applyFont="1"/>
    <xf numFmtId="43" fontId="2" fillId="0" borderId="0" xfId="1" applyFont="1"/>
    <xf numFmtId="43" fontId="11" fillId="0" borderId="8" xfId="1" applyFont="1" applyBorder="1" applyAlignment="1">
      <alignment horizontal="right"/>
    </xf>
    <xf numFmtId="43" fontId="2" fillId="0" borderId="8" xfId="1" applyFont="1" applyFill="1" applyBorder="1" applyAlignment="1">
      <alignment horizontal="right"/>
    </xf>
    <xf numFmtId="168" fontId="2" fillId="0" borderId="8" xfId="2" applyNumberFormat="1" applyFont="1" applyBorder="1" applyAlignment="1">
      <alignment horizontal="right"/>
    </xf>
    <xf numFmtId="168" fontId="2" fillId="0" borderId="10" xfId="2" applyNumberFormat="1" applyFont="1" applyBorder="1" applyAlignment="1">
      <alignment horizontal="right"/>
    </xf>
    <xf numFmtId="168" fontId="2" fillId="0" borderId="9" xfId="2" applyNumberFormat="1" applyFont="1" applyBorder="1" applyAlignment="1">
      <alignment horizontal="right"/>
    </xf>
    <xf numFmtId="0" fontId="8" fillId="3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/>
    <xf numFmtId="168" fontId="2" fillId="0" borderId="9" xfId="2" applyNumberFormat="1" applyFont="1" applyBorder="1" applyAlignment="1"/>
    <xf numFmtId="169" fontId="2" fillId="0" borderId="10" xfId="2" applyNumberFormat="1" applyFont="1" applyBorder="1" applyAlignment="1"/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166" fontId="2" fillId="0" borderId="9" xfId="1" applyNumberFormat="1" applyFont="1" applyBorder="1" applyAlignment="1">
      <alignment horizontal="center"/>
    </xf>
    <xf numFmtId="9" fontId="2" fillId="0" borderId="9" xfId="3" applyFont="1" applyBorder="1" applyAlignment="1">
      <alignment horizontal="center"/>
    </xf>
    <xf numFmtId="165" fontId="2" fillId="0" borderId="9" xfId="1" applyNumberFormat="1" applyFont="1" applyBorder="1" applyAlignment="1">
      <alignment horizontal="center"/>
    </xf>
    <xf numFmtId="41" fontId="2" fillId="0" borderId="9" xfId="0" applyNumberFormat="1" applyFont="1" applyBorder="1" applyAlignment="1">
      <alignment horizontal="center"/>
    </xf>
    <xf numFmtId="41" fontId="2" fillId="0" borderId="9" xfId="1" applyNumberFormat="1" applyFont="1" applyBorder="1" applyAlignment="1">
      <alignment horizontal="center"/>
    </xf>
    <xf numFmtId="165" fontId="12" fillId="0" borderId="0" xfId="0" applyNumberFormat="1" applyFont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0" xfId="0" applyFont="1"/>
    <xf numFmtId="0" fontId="2" fillId="0" borderId="2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4">
    <cellStyle name="Comma" xfId="1" builtinId="3"/>
    <cellStyle name="Comma [0]" xfId="2" builtinId="6"/>
    <cellStyle name="Normal" xfId="0" builtinId="0"/>
    <cellStyle name="Percent" xfId="3" builtinId="5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67236</xdr:colOff>
      <xdr:row>0</xdr:row>
      <xdr:rowOff>78441</xdr:rowOff>
    </xdr:from>
    <xdr:to>
      <xdr:col>2</xdr:col>
      <xdr:colOff>322961</xdr:colOff>
      <xdr:row>1</xdr:row>
      <xdr:rowOff>134650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022B3-DF85-4895-8A16-F4201593A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61" y="78441"/>
          <a:ext cx="1297125" cy="665809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roduksi%20Sharing\10.PRO\DATA%20SHARING\26.%20Parameter%20Produksi\2022\2.%20Februari\Daily%20Parameter%20Produksi%20Februari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(1)"/>
      <sheetName val="(2)"/>
      <sheetName val="(3)"/>
      <sheetName val="(4)"/>
      <sheetName val="(5)"/>
      <sheetName val="(6)"/>
      <sheetName val="(7)"/>
      <sheetName val="(8)"/>
      <sheetName val="(9)"/>
      <sheetName val="(10)"/>
      <sheetName val="(11)"/>
      <sheetName val="(12)"/>
      <sheetName val="(13)"/>
      <sheetName val="(14)"/>
      <sheetName val="(15)"/>
      <sheetName val="(16)"/>
      <sheetName val="(17)"/>
      <sheetName val="(18)"/>
      <sheetName val="(19)"/>
      <sheetName val="(20)"/>
      <sheetName val="(21)"/>
      <sheetName val="(22)"/>
      <sheetName val="(23)"/>
      <sheetName val="(24)"/>
      <sheetName val="(25)"/>
      <sheetName val="(26)"/>
      <sheetName val="(27)"/>
      <sheetName val="(28)"/>
      <sheetName val="(29)"/>
      <sheetName val="(30)"/>
      <sheetName val="(31)"/>
    </sheetNames>
    <sheetDataSet>
      <sheetData sheetId="0"/>
      <sheetData sheetId="1"/>
      <sheetData sheetId="2">
        <row r="4">
          <cell r="C4">
            <v>44594</v>
          </cell>
        </row>
        <row r="56">
          <cell r="I56">
            <v>23524.25</v>
          </cell>
        </row>
        <row r="57">
          <cell r="I57">
            <v>18583</v>
          </cell>
        </row>
        <row r="58">
          <cell r="I58">
            <v>38447</v>
          </cell>
        </row>
        <row r="59">
          <cell r="I59">
            <v>4326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B4EF-83B4-4853-A2A2-FCA1C681E293}">
  <sheetPr>
    <tabColor rgb="FF00B050"/>
  </sheetPr>
  <dimension ref="A1:P92"/>
  <sheetViews>
    <sheetView showGridLines="0" tabSelected="1" view="pageBreakPreview" zoomScale="85" zoomScaleNormal="85" zoomScaleSheetLayoutView="85" workbookViewId="0">
      <selection activeCell="C4" sqref="C4"/>
    </sheetView>
  </sheetViews>
  <sheetFormatPr defaultColWidth="9.1796875" defaultRowHeight="12" x14ac:dyDescent="0.3"/>
  <cols>
    <col min="1" max="1" width="8.1796875" style="1" customWidth="1"/>
    <col min="2" max="2" width="6.7265625" style="1" customWidth="1"/>
    <col min="3" max="3" width="16.7265625" style="1" customWidth="1"/>
    <col min="4" max="4" width="31" style="1" customWidth="1"/>
    <col min="5" max="10" width="13.1796875" style="6" customWidth="1"/>
    <col min="11" max="11" width="11.81640625" style="1" bestFit="1" customWidth="1"/>
    <col min="12" max="12" width="9.1796875" style="1"/>
    <col min="13" max="13" width="10.26953125" style="1" bestFit="1" customWidth="1"/>
    <col min="14" max="14" width="9.81640625" style="1" bestFit="1" customWidth="1"/>
    <col min="15" max="16384" width="9.1796875" style="1"/>
  </cols>
  <sheetData>
    <row r="1" spans="1:16" ht="48" customHeight="1" x14ac:dyDescent="1"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6" ht="13.5" customHeight="1" x14ac:dyDescent="0.45">
      <c r="C2" s="3" t="s">
        <v>1</v>
      </c>
      <c r="D2" s="3"/>
      <c r="E2" s="3"/>
      <c r="F2" s="3"/>
      <c r="G2" s="3"/>
      <c r="H2" s="3"/>
      <c r="I2" s="3"/>
      <c r="J2" s="3"/>
      <c r="K2" s="3"/>
    </row>
    <row r="3" spans="1:16" x14ac:dyDescent="0.3">
      <c r="A3" s="1" t="s">
        <v>2</v>
      </c>
      <c r="B3" s="4" t="s">
        <v>3</v>
      </c>
      <c r="C3" s="5" t="str">
        <f>CHOOSE(WEEKDAY(C4),"Minggu","Senin","Selasa","Rabu","Kamis","Jum'at","Sabtu")</f>
        <v>Kamis</v>
      </c>
      <c r="F3" s="7" t="s">
        <v>4</v>
      </c>
      <c r="K3" s="6"/>
    </row>
    <row r="4" spans="1:16" x14ac:dyDescent="0.3">
      <c r="A4" s="1" t="s">
        <v>5</v>
      </c>
      <c r="B4" s="4" t="s">
        <v>3</v>
      </c>
      <c r="C4" s="8">
        <f>'[1](2)'!C4+1</f>
        <v>44595</v>
      </c>
      <c r="K4" s="6"/>
    </row>
    <row r="5" spans="1:16" x14ac:dyDescent="0.3">
      <c r="E5" s="9"/>
      <c r="F5" s="9"/>
      <c r="G5" s="9"/>
      <c r="H5" s="9"/>
      <c r="I5" s="9"/>
      <c r="J5" s="9"/>
      <c r="K5" s="10"/>
    </row>
    <row r="6" spans="1:16" ht="14.25" customHeight="1" x14ac:dyDescent="0.3">
      <c r="A6" s="11" t="s">
        <v>6</v>
      </c>
      <c r="B6" s="12" t="s">
        <v>7</v>
      </c>
      <c r="C6" s="13"/>
      <c r="D6" s="14"/>
      <c r="E6" s="15" t="s">
        <v>8</v>
      </c>
      <c r="F6" s="16"/>
      <c r="G6" s="15" t="s">
        <v>9</v>
      </c>
      <c r="H6" s="16"/>
      <c r="I6" s="17" t="s">
        <v>10</v>
      </c>
      <c r="J6" s="18"/>
      <c r="K6" s="19"/>
    </row>
    <row r="7" spans="1:16" ht="14.25" customHeight="1" x14ac:dyDescent="0.3">
      <c r="A7" s="11"/>
      <c r="B7" s="15"/>
      <c r="C7" s="20"/>
      <c r="D7" s="16"/>
      <c r="E7" s="21" t="s">
        <v>11</v>
      </c>
      <c r="F7" s="22" t="s">
        <v>12</v>
      </c>
      <c r="G7" s="21" t="s">
        <v>11</v>
      </c>
      <c r="H7" s="22" t="s">
        <v>12</v>
      </c>
      <c r="I7" s="21" t="s">
        <v>11</v>
      </c>
      <c r="J7" s="23" t="s">
        <v>12</v>
      </c>
      <c r="K7" s="22" t="s">
        <v>13</v>
      </c>
    </row>
    <row r="8" spans="1:16" ht="12" customHeight="1" x14ac:dyDescent="0.3">
      <c r="A8" s="11"/>
      <c r="B8" s="24" t="s">
        <v>14</v>
      </c>
      <c r="C8" s="25" t="s">
        <v>15</v>
      </c>
      <c r="D8" s="26"/>
      <c r="E8" s="27">
        <f>I8/2</f>
        <v>22243.84615384616</v>
      </c>
      <c r="F8" s="28">
        <v>5703.85</v>
      </c>
      <c r="G8" s="27">
        <f>I8/2</f>
        <v>22243.84615384616</v>
      </c>
      <c r="H8" s="28">
        <v>9335.4500000000007</v>
      </c>
      <c r="I8" s="29">
        <v>44487.692307692319</v>
      </c>
      <c r="J8" s="30">
        <f>F8+H8</f>
        <v>15039.300000000001</v>
      </c>
      <c r="K8" s="31">
        <f>J8-I8</f>
        <v>-29448.392307692317</v>
      </c>
      <c r="M8" s="32"/>
      <c r="N8" s="32"/>
      <c r="O8" s="32"/>
      <c r="P8" s="32"/>
    </row>
    <row r="9" spans="1:16" x14ac:dyDescent="0.3">
      <c r="A9" s="11"/>
      <c r="B9" s="24"/>
      <c r="C9" s="25" t="s">
        <v>16</v>
      </c>
      <c r="D9" s="26"/>
      <c r="E9" s="27">
        <v>106</v>
      </c>
      <c r="F9" s="28">
        <v>26</v>
      </c>
      <c r="G9" s="27">
        <v>106</v>
      </c>
      <c r="H9" s="28">
        <v>44</v>
      </c>
      <c r="I9" s="27">
        <f>E9+G9</f>
        <v>212</v>
      </c>
      <c r="J9" s="30">
        <f>F9+H9</f>
        <v>70</v>
      </c>
      <c r="K9" s="31">
        <f>J9-I9</f>
        <v>-142</v>
      </c>
      <c r="M9" s="32"/>
    </row>
    <row r="10" spans="1:16" x14ac:dyDescent="0.3">
      <c r="A10" s="11"/>
      <c r="B10" s="24"/>
      <c r="C10" s="25" t="s">
        <v>17</v>
      </c>
      <c r="D10" s="26"/>
      <c r="E10" s="33">
        <f>E8/E9</f>
        <v>209.84760522496376</v>
      </c>
      <c r="F10" s="34">
        <f>IFERROR(F8/F9,0)</f>
        <v>219.37884615384615</v>
      </c>
      <c r="G10" s="33">
        <f>G8/G9</f>
        <v>209.84760522496376</v>
      </c>
      <c r="H10" s="34">
        <f>IFERROR(H8/H9,0)</f>
        <v>212.1693181818182</v>
      </c>
      <c r="I10" s="33">
        <f>(E10+G10)/2</f>
        <v>209.84760522496376</v>
      </c>
      <c r="J10" s="35">
        <f>(F10+H10)/2</f>
        <v>215.77408216783218</v>
      </c>
      <c r="K10" s="34">
        <f t="shared" ref="K10:K47" si="0">J10-I10</f>
        <v>5.926476942868419</v>
      </c>
    </row>
    <row r="11" spans="1:16" x14ac:dyDescent="0.3">
      <c r="A11" s="11"/>
      <c r="B11" s="24"/>
      <c r="C11" s="25" t="s">
        <v>18</v>
      </c>
      <c r="D11" s="26"/>
      <c r="E11" s="33">
        <f>F11</f>
        <v>68.963923076923052</v>
      </c>
      <c r="F11" s="36">
        <v>68.963923076923052</v>
      </c>
      <c r="G11" s="33">
        <f>H11</f>
        <v>68.680136363636322</v>
      </c>
      <c r="H11" s="36">
        <v>68.680136363636322</v>
      </c>
      <c r="I11" s="33">
        <f>J11</f>
        <v>68.822029720279687</v>
      </c>
      <c r="J11" s="35">
        <f>(F11+H11)/2</f>
        <v>68.822029720279687</v>
      </c>
      <c r="K11" s="34">
        <f t="shared" si="0"/>
        <v>0</v>
      </c>
      <c r="M11" s="37"/>
      <c r="N11" s="37"/>
    </row>
    <row r="12" spans="1:16" x14ac:dyDescent="0.3">
      <c r="A12" s="11"/>
      <c r="B12" s="24"/>
      <c r="C12" s="38" t="s">
        <v>19</v>
      </c>
      <c r="D12" s="39"/>
      <c r="E12" s="33"/>
      <c r="F12" s="34">
        <f>F11*F9*2</f>
        <v>3586.1239999999989</v>
      </c>
      <c r="G12" s="33"/>
      <c r="H12" s="34">
        <f>H11*H9*2</f>
        <v>6043.8519999999962</v>
      </c>
      <c r="I12" s="33"/>
      <c r="J12" s="35">
        <f>F12+H12</f>
        <v>9629.9759999999951</v>
      </c>
      <c r="K12" s="34">
        <f>J12-I12</f>
        <v>9629.9759999999951</v>
      </c>
    </row>
    <row r="13" spans="1:16" x14ac:dyDescent="0.3">
      <c r="A13" s="11"/>
      <c r="B13" s="24"/>
      <c r="C13" s="25" t="s">
        <v>20</v>
      </c>
      <c r="D13" s="26"/>
      <c r="E13" s="33">
        <f>E11*E8</f>
        <v>1534022.8950887572</v>
      </c>
      <c r="F13" s="34">
        <f>F11*F8</f>
        <v>393359.8726423076</v>
      </c>
      <c r="G13" s="33">
        <f>G11*G8</f>
        <v>1527710.3870979017</v>
      </c>
      <c r="H13" s="34">
        <f>H11*H8</f>
        <v>641159.97901590879</v>
      </c>
      <c r="I13" s="33">
        <f>E13+G13</f>
        <v>3061733.2821866591</v>
      </c>
      <c r="J13" s="35">
        <f>F13+H13</f>
        <v>1034519.8516582164</v>
      </c>
      <c r="K13" s="34">
        <f t="shared" si="0"/>
        <v>-2027213.4305284426</v>
      </c>
    </row>
    <row r="14" spans="1:16" ht="12" customHeight="1" x14ac:dyDescent="0.3">
      <c r="A14" s="11"/>
      <c r="B14" s="40" t="s">
        <v>21</v>
      </c>
      <c r="C14" s="25" t="s">
        <v>22</v>
      </c>
      <c r="D14" s="26"/>
      <c r="E14" s="27">
        <v>66</v>
      </c>
      <c r="F14" s="31">
        <v>66</v>
      </c>
      <c r="G14" s="27">
        <v>66</v>
      </c>
      <c r="H14" s="31">
        <v>66</v>
      </c>
      <c r="I14" s="27">
        <v>66</v>
      </c>
      <c r="J14" s="30">
        <f>(F14+H14)/2</f>
        <v>66</v>
      </c>
      <c r="K14" s="31">
        <f t="shared" si="0"/>
        <v>0</v>
      </c>
    </row>
    <row r="15" spans="1:16" x14ac:dyDescent="0.3">
      <c r="A15" s="11"/>
      <c r="B15" s="40"/>
      <c r="C15" s="25" t="s">
        <v>23</v>
      </c>
      <c r="D15" s="26"/>
      <c r="E15" s="27">
        <f>E14*E20</f>
        <v>56.1</v>
      </c>
      <c r="F15" s="31">
        <v>26</v>
      </c>
      <c r="G15" s="27">
        <f>G14*G20</f>
        <v>56.1</v>
      </c>
      <c r="H15" s="31">
        <v>30</v>
      </c>
      <c r="I15" s="27">
        <f>(E15+G15)/2</f>
        <v>56.1</v>
      </c>
      <c r="J15" s="30">
        <f>(F15+H15)/2</f>
        <v>28</v>
      </c>
      <c r="K15" s="31">
        <f t="shared" si="0"/>
        <v>-28.1</v>
      </c>
    </row>
    <row r="16" spans="1:16" x14ac:dyDescent="0.3">
      <c r="A16" s="11"/>
      <c r="B16" s="40"/>
      <c r="C16" s="25" t="s">
        <v>24</v>
      </c>
      <c r="D16" s="26"/>
      <c r="E16" s="27">
        <v>4</v>
      </c>
      <c r="F16" s="31">
        <v>2</v>
      </c>
      <c r="G16" s="27">
        <v>4</v>
      </c>
      <c r="H16" s="31">
        <v>3</v>
      </c>
      <c r="I16" s="27">
        <f>E16+G16</f>
        <v>8</v>
      </c>
      <c r="J16" s="30">
        <f t="shared" ref="J16:J35" si="1">F16+H16</f>
        <v>5</v>
      </c>
      <c r="K16" s="31">
        <f>I16-J16</f>
        <v>3</v>
      </c>
    </row>
    <row r="17" spans="1:11" x14ac:dyDescent="0.3">
      <c r="A17" s="11"/>
      <c r="B17" s="40"/>
      <c r="C17" s="25" t="s">
        <v>25</v>
      </c>
      <c r="D17" s="26"/>
      <c r="E17" s="27">
        <v>4</v>
      </c>
      <c r="F17" s="31">
        <v>1</v>
      </c>
      <c r="G17" s="27">
        <v>4</v>
      </c>
      <c r="H17" s="31">
        <v>1</v>
      </c>
      <c r="I17" s="27">
        <f>E17+G17</f>
        <v>8</v>
      </c>
      <c r="J17" s="30">
        <f t="shared" si="1"/>
        <v>2</v>
      </c>
      <c r="K17" s="31">
        <f>I17-J17</f>
        <v>6</v>
      </c>
    </row>
    <row r="18" spans="1:11" x14ac:dyDescent="0.3">
      <c r="A18" s="11"/>
      <c r="B18" s="40"/>
      <c r="C18" s="25" t="s">
        <v>26</v>
      </c>
      <c r="D18" s="26"/>
      <c r="E18" s="33">
        <f>(24*85%*E14)/2</f>
        <v>673.19999999999993</v>
      </c>
      <c r="F18" s="34">
        <v>144</v>
      </c>
      <c r="G18" s="33">
        <f>(24*85%*G14)/2</f>
        <v>673.19999999999993</v>
      </c>
      <c r="H18" s="34">
        <v>244</v>
      </c>
      <c r="I18" s="33">
        <f>G18+E18</f>
        <v>1346.3999999999999</v>
      </c>
      <c r="J18" s="35">
        <f t="shared" si="1"/>
        <v>388</v>
      </c>
      <c r="K18" s="34">
        <f>I18-J18</f>
        <v>958.39999999999986</v>
      </c>
    </row>
    <row r="19" spans="1:11" x14ac:dyDescent="0.3">
      <c r="A19" s="11"/>
      <c r="B19" s="40"/>
      <c r="C19" s="25" t="s">
        <v>27</v>
      </c>
      <c r="D19" s="26"/>
      <c r="E19" s="33">
        <f>(1-E20)*E18</f>
        <v>100.98</v>
      </c>
      <c r="F19" s="34">
        <v>100.73333333333328</v>
      </c>
      <c r="G19" s="33">
        <f>(1-G20)*G18</f>
        <v>100.98</v>
      </c>
      <c r="H19" s="34">
        <v>9.9166666666666607</v>
      </c>
      <c r="I19" s="33">
        <f>G19+E19</f>
        <v>201.96</v>
      </c>
      <c r="J19" s="35">
        <f t="shared" si="1"/>
        <v>110.64999999999993</v>
      </c>
      <c r="K19" s="34">
        <f>I19-J19</f>
        <v>91.310000000000073</v>
      </c>
    </row>
    <row r="20" spans="1:11" x14ac:dyDescent="0.3">
      <c r="A20" s="11"/>
      <c r="B20" s="40"/>
      <c r="C20" s="25" t="s">
        <v>28</v>
      </c>
      <c r="D20" s="26"/>
      <c r="E20" s="41">
        <v>0.85</v>
      </c>
      <c r="F20" s="42">
        <f>IFERROR(((F15*12)-F19)/(F15*12),0)</f>
        <v>0.67713675213675228</v>
      </c>
      <c r="G20" s="41">
        <v>0.85</v>
      </c>
      <c r="H20" s="42">
        <f>IFERROR(((H15*12)-H19)/(H15*12),0)</f>
        <v>0.97245370370370365</v>
      </c>
      <c r="I20" s="41">
        <v>0.85</v>
      </c>
      <c r="J20" s="43">
        <f>(F20+H20)/2</f>
        <v>0.82479522792022797</v>
      </c>
      <c r="K20" s="42">
        <f t="shared" si="0"/>
        <v>-2.5204772079772009E-2</v>
      </c>
    </row>
    <row r="21" spans="1:11" x14ac:dyDescent="0.3">
      <c r="A21" s="11"/>
      <c r="B21" s="40"/>
      <c r="C21" s="25" t="s">
        <v>29</v>
      </c>
      <c r="D21" s="26"/>
      <c r="E21" s="41">
        <v>0.85</v>
      </c>
      <c r="F21" s="42">
        <f>(60*F45)/((60*F45)+F19)</f>
        <v>0.40229430379746828</v>
      </c>
      <c r="G21" s="41">
        <v>0.85</v>
      </c>
      <c r="H21" s="42">
        <f>(60*H45)/((60*H45)+H19)</f>
        <v>0.93295774647887331</v>
      </c>
      <c r="I21" s="41">
        <v>0.85</v>
      </c>
      <c r="J21" s="43">
        <f>(F21+H21)/2</f>
        <v>0.66762602513817082</v>
      </c>
      <c r="K21" s="42">
        <f t="shared" si="0"/>
        <v>-0.18237397486182916</v>
      </c>
    </row>
    <row r="22" spans="1:11" ht="12" customHeight="1" x14ac:dyDescent="0.3">
      <c r="A22" s="11"/>
      <c r="B22" s="40" t="s">
        <v>30</v>
      </c>
      <c r="C22" s="25" t="s">
        <v>31</v>
      </c>
      <c r="D22" s="26"/>
      <c r="E22" s="27"/>
      <c r="F22" s="31">
        <f>SUM(F23:F29)</f>
        <v>136</v>
      </c>
      <c r="G22" s="27"/>
      <c r="H22" s="31">
        <f>SUM(H23:H29)</f>
        <v>37</v>
      </c>
      <c r="I22" s="27"/>
      <c r="J22" s="30">
        <f t="shared" si="1"/>
        <v>173</v>
      </c>
      <c r="K22" s="31">
        <f t="shared" si="0"/>
        <v>173</v>
      </c>
    </row>
    <row r="23" spans="1:11" x14ac:dyDescent="0.3">
      <c r="A23" s="11"/>
      <c r="B23" s="40"/>
      <c r="C23" s="38" t="s">
        <v>32</v>
      </c>
      <c r="D23" s="39"/>
      <c r="E23" s="27"/>
      <c r="F23" s="31">
        <v>4</v>
      </c>
      <c r="G23" s="27"/>
      <c r="H23" s="31"/>
      <c r="I23" s="27"/>
      <c r="J23" s="30">
        <f>F23+H23</f>
        <v>4</v>
      </c>
      <c r="K23" s="31">
        <f t="shared" si="0"/>
        <v>4</v>
      </c>
    </row>
    <row r="24" spans="1:11" x14ac:dyDescent="0.3">
      <c r="A24" s="11"/>
      <c r="B24" s="40"/>
      <c r="C24" s="25" t="s">
        <v>33</v>
      </c>
      <c r="D24" s="26"/>
      <c r="E24" s="27"/>
      <c r="F24" s="31">
        <v>4</v>
      </c>
      <c r="G24" s="27"/>
      <c r="H24" s="31"/>
      <c r="I24" s="27"/>
      <c r="J24" s="30">
        <f t="shared" si="1"/>
        <v>4</v>
      </c>
      <c r="K24" s="31">
        <f t="shared" si="0"/>
        <v>4</v>
      </c>
    </row>
    <row r="25" spans="1:11" x14ac:dyDescent="0.3">
      <c r="A25" s="11"/>
      <c r="B25" s="40"/>
      <c r="C25" s="25" t="s">
        <v>34</v>
      </c>
      <c r="D25" s="26"/>
      <c r="E25" s="27"/>
      <c r="F25" s="31">
        <v>34</v>
      </c>
      <c r="G25" s="27"/>
      <c r="H25" s="31"/>
      <c r="I25" s="27"/>
      <c r="J25" s="30">
        <f t="shared" si="1"/>
        <v>34</v>
      </c>
      <c r="K25" s="31">
        <f t="shared" si="0"/>
        <v>34</v>
      </c>
    </row>
    <row r="26" spans="1:11" x14ac:dyDescent="0.3">
      <c r="A26" s="11"/>
      <c r="B26" s="40"/>
      <c r="C26" s="25" t="s">
        <v>35</v>
      </c>
      <c r="D26" s="26"/>
      <c r="E26" s="27"/>
      <c r="F26" s="31">
        <v>1</v>
      </c>
      <c r="G26" s="27"/>
      <c r="H26" s="31"/>
      <c r="I26" s="27"/>
      <c r="J26" s="30">
        <f t="shared" si="1"/>
        <v>1</v>
      </c>
      <c r="K26" s="31">
        <f t="shared" si="0"/>
        <v>1</v>
      </c>
    </row>
    <row r="27" spans="1:11" x14ac:dyDescent="0.3">
      <c r="A27" s="11"/>
      <c r="B27" s="40"/>
      <c r="C27" s="25" t="s">
        <v>36</v>
      </c>
      <c r="D27" s="26"/>
      <c r="E27" s="27"/>
      <c r="F27" s="31">
        <v>0</v>
      </c>
      <c r="G27" s="27"/>
      <c r="H27" s="31"/>
      <c r="I27" s="27"/>
      <c r="J27" s="30">
        <f t="shared" si="1"/>
        <v>0</v>
      </c>
      <c r="K27" s="31">
        <f t="shared" si="0"/>
        <v>0</v>
      </c>
    </row>
    <row r="28" spans="1:11" x14ac:dyDescent="0.3">
      <c r="A28" s="11"/>
      <c r="B28" s="40"/>
      <c r="C28" s="25" t="s">
        <v>37</v>
      </c>
      <c r="D28" s="26"/>
      <c r="E28" s="27"/>
      <c r="F28" s="31">
        <v>54</v>
      </c>
      <c r="G28" s="27"/>
      <c r="H28" s="31"/>
      <c r="I28" s="27"/>
      <c r="J28" s="30">
        <f t="shared" si="1"/>
        <v>54</v>
      </c>
      <c r="K28" s="31">
        <f t="shared" si="0"/>
        <v>54</v>
      </c>
    </row>
    <row r="29" spans="1:11" x14ac:dyDescent="0.3">
      <c r="A29" s="11"/>
      <c r="B29" s="40"/>
      <c r="C29" s="25" t="s">
        <v>38</v>
      </c>
      <c r="D29" s="26"/>
      <c r="E29" s="27"/>
      <c r="F29" s="31">
        <v>39</v>
      </c>
      <c r="G29" s="27"/>
      <c r="H29" s="31">
        <v>37</v>
      </c>
      <c r="I29" s="27"/>
      <c r="J29" s="30">
        <f t="shared" si="1"/>
        <v>76</v>
      </c>
      <c r="K29" s="31">
        <f t="shared" si="0"/>
        <v>76</v>
      </c>
    </row>
    <row r="30" spans="1:11" ht="12" customHeight="1" x14ac:dyDescent="0.3">
      <c r="A30" s="11"/>
      <c r="B30" s="44" t="s">
        <v>39</v>
      </c>
      <c r="C30" s="25" t="s">
        <v>40</v>
      </c>
      <c r="D30" s="26"/>
      <c r="E30" s="27">
        <f>E20*E14</f>
        <v>56.1</v>
      </c>
      <c r="F30" s="31">
        <f>F15</f>
        <v>26</v>
      </c>
      <c r="G30" s="27">
        <f>G20*G14</f>
        <v>56.1</v>
      </c>
      <c r="H30" s="31">
        <f>H15</f>
        <v>30</v>
      </c>
      <c r="I30" s="27">
        <f>I20*I14</f>
        <v>56.1</v>
      </c>
      <c r="J30" s="30">
        <f>(F30+H30)/2</f>
        <v>28</v>
      </c>
      <c r="K30" s="31">
        <f t="shared" si="0"/>
        <v>-28.1</v>
      </c>
    </row>
    <row r="31" spans="1:11" x14ac:dyDescent="0.3">
      <c r="A31" s="11"/>
      <c r="B31" s="44"/>
      <c r="C31" s="25" t="s">
        <v>41</v>
      </c>
      <c r="D31" s="26"/>
      <c r="E31" s="27">
        <v>11</v>
      </c>
      <c r="F31" s="31">
        <v>4</v>
      </c>
      <c r="G31" s="27">
        <v>11</v>
      </c>
      <c r="H31" s="31">
        <v>7</v>
      </c>
      <c r="I31" s="27">
        <f>E31+G31</f>
        <v>22</v>
      </c>
      <c r="J31" s="30">
        <f>(F31+H31)</f>
        <v>11</v>
      </c>
      <c r="K31" s="31">
        <f t="shared" si="0"/>
        <v>-11</v>
      </c>
    </row>
    <row r="32" spans="1:11" x14ac:dyDescent="0.3">
      <c r="A32" s="11"/>
      <c r="B32" s="44"/>
      <c r="C32" s="25" t="s">
        <v>42</v>
      </c>
      <c r="D32" s="26"/>
      <c r="E32" s="33"/>
      <c r="F32" s="34">
        <f>IFERROR(F9/F30,0)</f>
        <v>1</v>
      </c>
      <c r="G32" s="33"/>
      <c r="H32" s="34">
        <f>IFERROR(H9/H30,0)</f>
        <v>1.4666666666666666</v>
      </c>
      <c r="I32" s="33"/>
      <c r="J32" s="35">
        <f>(F32+H32)/2</f>
        <v>1.2333333333333334</v>
      </c>
      <c r="K32" s="34">
        <f t="shared" si="0"/>
        <v>1.2333333333333334</v>
      </c>
    </row>
    <row r="33" spans="1:13" x14ac:dyDescent="0.3">
      <c r="A33" s="11"/>
      <c r="B33" s="44"/>
      <c r="C33" s="25" t="s">
        <v>43</v>
      </c>
      <c r="D33" s="26"/>
      <c r="E33" s="27"/>
      <c r="F33" s="31">
        <v>0</v>
      </c>
      <c r="G33" s="27"/>
      <c r="H33" s="31">
        <v>14</v>
      </c>
      <c r="I33" s="27"/>
      <c r="J33" s="30">
        <f t="shared" si="1"/>
        <v>14</v>
      </c>
      <c r="K33" s="31">
        <f t="shared" si="0"/>
        <v>14</v>
      </c>
    </row>
    <row r="34" spans="1:13" x14ac:dyDescent="0.3">
      <c r="A34" s="11"/>
      <c r="B34" s="44"/>
      <c r="C34" s="25" t="s">
        <v>44</v>
      </c>
      <c r="D34" s="26"/>
      <c r="E34" s="33"/>
      <c r="F34" s="34">
        <v>0.93214285714285716</v>
      </c>
      <c r="G34" s="33"/>
      <c r="H34" s="34">
        <v>1.4833333333333334</v>
      </c>
      <c r="I34" s="33"/>
      <c r="J34" s="35">
        <f>(F34+H34)/2</f>
        <v>1.2077380952380952</v>
      </c>
      <c r="K34" s="34">
        <f t="shared" si="0"/>
        <v>1.2077380952380952</v>
      </c>
    </row>
    <row r="35" spans="1:13" x14ac:dyDescent="0.3">
      <c r="A35" s="11"/>
      <c r="B35" s="44"/>
      <c r="C35" s="25" t="s">
        <v>45</v>
      </c>
      <c r="D35" s="26"/>
      <c r="E35" s="27"/>
      <c r="F35" s="31">
        <v>1</v>
      </c>
      <c r="G35" s="27"/>
      <c r="H35" s="31">
        <v>7</v>
      </c>
      <c r="I35" s="27"/>
      <c r="J35" s="30">
        <f t="shared" si="1"/>
        <v>8</v>
      </c>
      <c r="K35" s="31">
        <f t="shared" si="0"/>
        <v>8</v>
      </c>
    </row>
    <row r="36" spans="1:13" x14ac:dyDescent="0.3">
      <c r="A36" s="11"/>
      <c r="B36" s="44"/>
      <c r="C36" s="25" t="s">
        <v>46</v>
      </c>
      <c r="D36" s="26"/>
      <c r="E36" s="45">
        <f>SUM(E38:E42)</f>
        <v>2</v>
      </c>
      <c r="F36" s="46">
        <f>SUM(F38:F42)</f>
        <v>10.870000000000001</v>
      </c>
      <c r="G36" s="45">
        <f>SUM(G38:G42)</f>
        <v>2</v>
      </c>
      <c r="H36" s="46">
        <f>SUM(H38:H42)</f>
        <v>9.7000000000000011</v>
      </c>
      <c r="I36" s="45">
        <f>AVERAGE(E36,G36)</f>
        <v>2</v>
      </c>
      <c r="J36" s="35">
        <f>(F36+H36)/2</f>
        <v>10.285</v>
      </c>
      <c r="K36" s="34">
        <f>I36-J36</f>
        <v>-8.2850000000000001</v>
      </c>
    </row>
    <row r="37" spans="1:13" x14ac:dyDescent="0.3">
      <c r="A37" s="11"/>
      <c r="B37" s="44"/>
      <c r="C37" s="47" t="s">
        <v>47</v>
      </c>
      <c r="D37" s="39"/>
      <c r="E37" s="45">
        <v>1.2</v>
      </c>
      <c r="F37" s="46">
        <v>4.3797101449275342</v>
      </c>
      <c r="G37" s="45">
        <v>1.2</v>
      </c>
      <c r="H37" s="46">
        <v>0.70833333333333293</v>
      </c>
      <c r="I37" s="45">
        <f t="shared" ref="I37:I44" si="2">AVERAGE(E37,G37)</f>
        <v>1.2</v>
      </c>
      <c r="J37" s="35">
        <f t="shared" ref="J37:J47" si="3">(F37+H37)/2</f>
        <v>2.5440217391304336</v>
      </c>
      <c r="K37" s="34">
        <f>I37-J37</f>
        <v>-1.3440217391304337</v>
      </c>
    </row>
    <row r="38" spans="1:13" x14ac:dyDescent="0.3">
      <c r="A38" s="11"/>
      <c r="B38" s="44"/>
      <c r="C38" s="47" t="s">
        <v>48</v>
      </c>
      <c r="D38" s="39"/>
      <c r="E38" s="45">
        <v>0.75</v>
      </c>
      <c r="F38" s="46">
        <v>1.36</v>
      </c>
      <c r="G38" s="45">
        <v>0.75</v>
      </c>
      <c r="H38" s="46">
        <v>1.43</v>
      </c>
      <c r="I38" s="45">
        <f t="shared" si="2"/>
        <v>0.75</v>
      </c>
      <c r="J38" s="35">
        <f t="shared" si="3"/>
        <v>1.395</v>
      </c>
      <c r="K38" s="34">
        <f t="shared" ref="K38:K43" si="4">I38-J38</f>
        <v>-0.64500000000000002</v>
      </c>
    </row>
    <row r="39" spans="1:13" x14ac:dyDescent="0.3">
      <c r="A39" s="11"/>
      <c r="B39" s="44"/>
      <c r="C39" s="47" t="s">
        <v>49</v>
      </c>
      <c r="D39" s="39"/>
      <c r="E39" s="45">
        <v>0.25</v>
      </c>
      <c r="F39" s="46">
        <v>0.1</v>
      </c>
      <c r="G39" s="45">
        <v>0.25</v>
      </c>
      <c r="H39" s="46">
        <v>0.08</v>
      </c>
      <c r="I39" s="45">
        <f t="shared" si="2"/>
        <v>0.25</v>
      </c>
      <c r="J39" s="35">
        <f t="shared" si="3"/>
        <v>0.09</v>
      </c>
      <c r="K39" s="34">
        <f t="shared" si="4"/>
        <v>0.16</v>
      </c>
    </row>
    <row r="40" spans="1:13" x14ac:dyDescent="0.3">
      <c r="A40" s="11"/>
      <c r="B40" s="44"/>
      <c r="C40" s="47" t="s">
        <v>50</v>
      </c>
      <c r="D40" s="39"/>
      <c r="E40" s="45">
        <v>0.125</v>
      </c>
      <c r="F40" s="46">
        <v>9.15</v>
      </c>
      <c r="G40" s="45">
        <v>0.125</v>
      </c>
      <c r="H40" s="46">
        <v>7.44</v>
      </c>
      <c r="I40" s="45">
        <f t="shared" si="2"/>
        <v>0.125</v>
      </c>
      <c r="J40" s="35">
        <f t="shared" si="3"/>
        <v>8.2949999999999999</v>
      </c>
      <c r="K40" s="34">
        <f t="shared" si="4"/>
        <v>-8.17</v>
      </c>
      <c r="L40" s="48"/>
      <c r="M40" s="49"/>
    </row>
    <row r="41" spans="1:13" x14ac:dyDescent="0.3">
      <c r="A41" s="11"/>
      <c r="B41" s="44"/>
      <c r="C41" s="47" t="s">
        <v>51</v>
      </c>
      <c r="D41" s="39"/>
      <c r="E41" s="45">
        <v>0.125</v>
      </c>
      <c r="F41" s="46">
        <v>0.26</v>
      </c>
      <c r="G41" s="45">
        <v>0.125</v>
      </c>
      <c r="H41" s="46">
        <v>0.45</v>
      </c>
      <c r="I41" s="45">
        <f t="shared" si="2"/>
        <v>0.125</v>
      </c>
      <c r="J41" s="35">
        <f t="shared" si="3"/>
        <v>0.35499999999999998</v>
      </c>
      <c r="K41" s="34">
        <f t="shared" si="4"/>
        <v>-0.22999999999999998</v>
      </c>
      <c r="L41" s="48"/>
      <c r="M41" s="49"/>
    </row>
    <row r="42" spans="1:13" x14ac:dyDescent="0.3">
      <c r="A42" s="11"/>
      <c r="B42" s="44"/>
      <c r="C42" s="47" t="s">
        <v>52</v>
      </c>
      <c r="D42" s="39"/>
      <c r="E42" s="45">
        <v>0.75</v>
      </c>
      <c r="F42" s="46">
        <v>0</v>
      </c>
      <c r="G42" s="45">
        <v>0.75</v>
      </c>
      <c r="H42" s="46">
        <v>0.3</v>
      </c>
      <c r="I42" s="45">
        <f t="shared" si="2"/>
        <v>0.75</v>
      </c>
      <c r="J42" s="35">
        <f t="shared" si="3"/>
        <v>0.15</v>
      </c>
      <c r="K42" s="34">
        <f t="shared" si="4"/>
        <v>0.6</v>
      </c>
    </row>
    <row r="43" spans="1:13" x14ac:dyDescent="0.3">
      <c r="A43" s="11"/>
      <c r="B43" s="44"/>
      <c r="C43" s="38" t="s">
        <v>53</v>
      </c>
      <c r="D43" s="39"/>
      <c r="E43" s="33">
        <v>4.333333333333333</v>
      </c>
      <c r="F43" s="46">
        <v>7.16</v>
      </c>
      <c r="G43" s="33">
        <v>4.333333333333333</v>
      </c>
      <c r="H43" s="46">
        <v>6.97</v>
      </c>
      <c r="I43" s="45">
        <f t="shared" si="2"/>
        <v>4.333333333333333</v>
      </c>
      <c r="J43" s="35">
        <f t="shared" si="3"/>
        <v>7.0649999999999995</v>
      </c>
      <c r="K43" s="34">
        <f t="shared" si="4"/>
        <v>-2.7316666666666665</v>
      </c>
    </row>
    <row r="44" spans="1:13" x14ac:dyDescent="0.3">
      <c r="A44" s="11"/>
      <c r="B44" s="44"/>
      <c r="C44" s="38" t="s">
        <v>54</v>
      </c>
      <c r="D44" s="39"/>
      <c r="E44" s="33">
        <v>4</v>
      </c>
      <c r="F44" s="46">
        <v>3.82</v>
      </c>
      <c r="G44" s="33">
        <v>4</v>
      </c>
      <c r="H44" s="46">
        <v>3.36</v>
      </c>
      <c r="I44" s="45">
        <f t="shared" si="2"/>
        <v>4</v>
      </c>
      <c r="J44" s="35">
        <f t="shared" si="3"/>
        <v>3.59</v>
      </c>
      <c r="K44" s="34">
        <f>I44-J44</f>
        <v>0.41000000000000014</v>
      </c>
    </row>
    <row r="45" spans="1:13" x14ac:dyDescent="0.3">
      <c r="A45" s="11"/>
      <c r="B45" s="44"/>
      <c r="C45" s="25" t="s">
        <v>55</v>
      </c>
      <c r="D45" s="26"/>
      <c r="E45" s="33">
        <f>12-E36</f>
        <v>10</v>
      </c>
      <c r="F45" s="46">
        <f>12-F36</f>
        <v>1.129999999999999</v>
      </c>
      <c r="G45" s="33">
        <f>12-G36</f>
        <v>10</v>
      </c>
      <c r="H45" s="46">
        <f>12-H36</f>
        <v>2.2999999999999989</v>
      </c>
      <c r="I45" s="50">
        <f t="shared" ref="I45" si="5">E45+G45</f>
        <v>20</v>
      </c>
      <c r="J45" s="35">
        <f>(F45+H45)</f>
        <v>3.4299999999999979</v>
      </c>
      <c r="K45" s="34">
        <f t="shared" si="0"/>
        <v>-16.57</v>
      </c>
    </row>
    <row r="46" spans="1:13" x14ac:dyDescent="0.3">
      <c r="A46" s="11"/>
      <c r="B46" s="44"/>
      <c r="C46" s="25" t="s">
        <v>56</v>
      </c>
      <c r="D46" s="26"/>
      <c r="E46" s="41">
        <v>0.83</v>
      </c>
      <c r="F46" s="42">
        <f>F45/(F37+F45)</f>
        <v>0.20509245863692552</v>
      </c>
      <c r="G46" s="41">
        <v>0.83</v>
      </c>
      <c r="H46" s="42">
        <f>H45/(H37+H45)</f>
        <v>0.76454293628808867</v>
      </c>
      <c r="I46" s="41">
        <v>0.83</v>
      </c>
      <c r="J46" s="43">
        <f>IF(J37=0,0,(F46+H46)/2)</f>
        <v>0.48481769746250708</v>
      </c>
      <c r="K46" s="42">
        <f t="shared" si="0"/>
        <v>-0.34518230253749288</v>
      </c>
    </row>
    <row r="47" spans="1:13" x14ac:dyDescent="0.3">
      <c r="A47" s="11"/>
      <c r="B47" s="44"/>
      <c r="C47" s="38" t="s">
        <v>57</v>
      </c>
      <c r="D47" s="39"/>
      <c r="E47" s="33">
        <v>35</v>
      </c>
      <c r="F47" s="34">
        <f>IFERROR(F12/F18,0)</f>
        <v>24.903638888888882</v>
      </c>
      <c r="G47" s="33">
        <v>35</v>
      </c>
      <c r="H47" s="34">
        <f>IFERROR(H12/H18,0)</f>
        <v>24.769885245901623</v>
      </c>
      <c r="I47" s="33">
        <v>35</v>
      </c>
      <c r="J47" s="35">
        <f t="shared" si="3"/>
        <v>24.836762067395252</v>
      </c>
      <c r="K47" s="34">
        <f t="shared" si="0"/>
        <v>-10.163237932604748</v>
      </c>
    </row>
    <row r="48" spans="1:13" x14ac:dyDescent="0.3">
      <c r="A48" s="11"/>
      <c r="B48" s="44"/>
      <c r="C48" s="25" t="s">
        <v>58</v>
      </c>
      <c r="D48" s="26"/>
      <c r="E48" s="27">
        <v>23461.025806451613</v>
      </c>
      <c r="F48" s="31">
        <v>11140</v>
      </c>
      <c r="G48" s="27">
        <v>23461.025806451613</v>
      </c>
      <c r="H48" s="31">
        <v>3891</v>
      </c>
      <c r="I48" s="27">
        <f>E48+G48</f>
        <v>46922.051612903226</v>
      </c>
      <c r="J48" s="30">
        <f>(F48+H48)</f>
        <v>15031</v>
      </c>
      <c r="K48" s="31">
        <f>I48-J48</f>
        <v>31891.051612903226</v>
      </c>
    </row>
    <row r="49" spans="1:11" x14ac:dyDescent="0.3">
      <c r="A49" s="11"/>
      <c r="B49" s="44"/>
      <c r="C49" s="25" t="s">
        <v>59</v>
      </c>
      <c r="D49" s="26"/>
      <c r="E49" s="51">
        <v>1.2</v>
      </c>
      <c r="F49" s="34">
        <f>IFERROR(F48/F8,0)</f>
        <v>1.9530667882219903</v>
      </c>
      <c r="G49" s="33">
        <v>1.2</v>
      </c>
      <c r="H49" s="34">
        <f>IFERROR(H48/H8,0)</f>
        <v>0.41679833323514126</v>
      </c>
      <c r="I49" s="33">
        <v>1.2</v>
      </c>
      <c r="J49" s="35">
        <f>IFERROR(J48/J8,0)</f>
        <v>0.99944811261162414</v>
      </c>
      <c r="K49" s="34">
        <f>I49-J49</f>
        <v>0.20055188738837582</v>
      </c>
    </row>
    <row r="50" spans="1:11" x14ac:dyDescent="0.3">
      <c r="A50" s="11"/>
      <c r="B50" s="44"/>
      <c r="C50" s="25" t="s">
        <v>60</v>
      </c>
      <c r="D50" s="26"/>
      <c r="E50" s="52">
        <f>IFERROR((E49*E8)/E13,0)</f>
        <v>1.7400402216989713E-2</v>
      </c>
      <c r="F50" s="53">
        <f>IFERROR(F48/F13,0)</f>
        <v>2.8320123059755748E-2</v>
      </c>
      <c r="G50" s="52">
        <f>IFERROR((G49*G8)/G13,0)</f>
        <v>1.7472300777715943E-2</v>
      </c>
      <c r="H50" s="53">
        <f>IFERROR(H48/H13,0)</f>
        <v>6.0686882016125565E-3</v>
      </c>
      <c r="I50" s="52">
        <f>AVERAGE(E50,G50)</f>
        <v>1.7436351497352828E-2</v>
      </c>
      <c r="J50" s="54">
        <f>AVERAGE(F50,H50)</f>
        <v>1.7194405630684154E-2</v>
      </c>
      <c r="K50" s="53">
        <f>I50-J50</f>
        <v>2.4194586666867468E-4</v>
      </c>
    </row>
    <row r="51" spans="1:11" ht="15" customHeight="1" x14ac:dyDescent="0.3">
      <c r="A51" s="55" t="s">
        <v>61</v>
      </c>
      <c r="B51" s="55"/>
      <c r="C51" s="25" t="s">
        <v>62</v>
      </c>
      <c r="D51" s="26"/>
      <c r="E51" s="56" t="s">
        <v>63</v>
      </c>
      <c r="F51" s="57"/>
      <c r="G51" s="57"/>
      <c r="H51" s="57"/>
      <c r="I51" s="58"/>
      <c r="J51" s="59" t="s">
        <v>64</v>
      </c>
      <c r="K51" s="60">
        <v>8.2899999999999991</v>
      </c>
    </row>
    <row r="52" spans="1:11" ht="15" customHeight="1" x14ac:dyDescent="0.3">
      <c r="A52" s="55"/>
      <c r="B52" s="55"/>
      <c r="C52" s="25" t="s">
        <v>65</v>
      </c>
      <c r="D52" s="26"/>
      <c r="E52" s="56"/>
      <c r="F52" s="57"/>
      <c r="G52" s="57"/>
      <c r="H52" s="57"/>
      <c r="I52" s="58"/>
      <c r="J52" s="59" t="s">
        <v>64</v>
      </c>
      <c r="K52" s="39"/>
    </row>
    <row r="54" spans="1:11" ht="15" customHeight="1" x14ac:dyDescent="0.3">
      <c r="A54" s="61" t="s">
        <v>66</v>
      </c>
      <c r="B54" s="62"/>
      <c r="C54" s="63" t="s">
        <v>67</v>
      </c>
      <c r="D54" s="64"/>
      <c r="E54" s="63" t="s">
        <v>68</v>
      </c>
      <c r="F54" s="63"/>
      <c r="G54" s="63" t="s">
        <v>69</v>
      </c>
      <c r="H54" s="63"/>
      <c r="I54" s="63" t="s">
        <v>70</v>
      </c>
      <c r="J54" s="63"/>
    </row>
    <row r="55" spans="1:11" x14ac:dyDescent="0.3">
      <c r="A55" s="61"/>
      <c r="B55" s="62"/>
      <c r="C55" s="63"/>
      <c r="D55" s="64"/>
      <c r="E55" s="65" t="s">
        <v>71</v>
      </c>
      <c r="F55" s="65" t="s">
        <v>72</v>
      </c>
      <c r="G55" s="65" t="s">
        <v>71</v>
      </c>
      <c r="H55" s="65" t="s">
        <v>72</v>
      </c>
      <c r="I55" s="65" t="s">
        <v>71</v>
      </c>
      <c r="J55" s="65" t="s">
        <v>72</v>
      </c>
    </row>
    <row r="56" spans="1:11" x14ac:dyDescent="0.3">
      <c r="A56" s="61"/>
      <c r="B56" s="62"/>
      <c r="C56" s="66" t="s">
        <v>73</v>
      </c>
      <c r="D56" s="58"/>
      <c r="E56" s="67">
        <v>999600</v>
      </c>
      <c r="F56" s="68">
        <f>IFERROR(E56/SUM($E$56:$E$59),0)</f>
        <v>0.44614045658432083</v>
      </c>
      <c r="G56" s="69">
        <f>J8</f>
        <v>15039.300000000001</v>
      </c>
      <c r="H56" s="68">
        <f>IFERROR(G56/SUM($G$56:$G$59),0)</f>
        <v>0.30214990466967895</v>
      </c>
      <c r="I56" s="70">
        <f>'[1](2)'!I56+'(3)'!G56</f>
        <v>38563.550000000003</v>
      </c>
      <c r="J56" s="68">
        <f>IFERROR(I56/SUM($I$56:$I$59),0)</f>
        <v>0.28638876294933968</v>
      </c>
    </row>
    <row r="57" spans="1:11" x14ac:dyDescent="0.3">
      <c r="A57" s="61"/>
      <c r="B57" s="62"/>
      <c r="C57" s="66" t="s">
        <v>74</v>
      </c>
      <c r="D57" s="58"/>
      <c r="E57" s="69">
        <v>385050</v>
      </c>
      <c r="F57" s="68">
        <f t="shared" ref="F57:F59" si="6">IFERROR(E57/SUM($E$56:$E$59),0)</f>
        <v>0.17185512485773582</v>
      </c>
      <c r="G57" s="71">
        <v>8709</v>
      </c>
      <c r="H57" s="68">
        <f>IFERROR(G57/SUM($G$56:$G$59),0)</f>
        <v>0.17496981373921883</v>
      </c>
      <c r="I57" s="70">
        <f>'[1](2)'!I57+'(3)'!G57</f>
        <v>27292</v>
      </c>
      <c r="J57" s="68">
        <f>IFERROR(I57/SUM($I$56:$I$59),0)</f>
        <v>0.20268160266400209</v>
      </c>
    </row>
    <row r="58" spans="1:11" x14ac:dyDescent="0.3">
      <c r="A58" s="61"/>
      <c r="B58" s="62"/>
      <c r="C58" s="66" t="s">
        <v>75</v>
      </c>
      <c r="D58" s="58"/>
      <c r="E58" s="69">
        <v>702900</v>
      </c>
      <c r="F58" s="68">
        <f t="shared" si="6"/>
        <v>0.31371761397871056</v>
      </c>
      <c r="G58" s="71">
        <v>24866</v>
      </c>
      <c r="H58" s="68">
        <f>IFERROR(G58/SUM($G$56:$G$59),0)</f>
        <v>0.49957508191978589</v>
      </c>
      <c r="I58" s="70">
        <f>'[1](2)'!I58+'(3)'!G58</f>
        <v>63313</v>
      </c>
      <c r="J58" s="68">
        <f>IFERROR(I58/SUM($I$56:$I$59),0)</f>
        <v>0.47018834491667755</v>
      </c>
    </row>
    <row r="59" spans="1:11" x14ac:dyDescent="0.3">
      <c r="A59" s="61"/>
      <c r="B59" s="62"/>
      <c r="C59" s="66" t="s">
        <v>76</v>
      </c>
      <c r="D59" s="58"/>
      <c r="E59" s="69">
        <v>153000</v>
      </c>
      <c r="F59" s="68">
        <f t="shared" si="6"/>
        <v>6.8286804579232779E-2</v>
      </c>
      <c r="G59" s="71">
        <v>1160</v>
      </c>
      <c r="H59" s="68">
        <f>IFERROR(G59/SUM($G$56:$G$59),0)</f>
        <v>2.3305199671316321E-2</v>
      </c>
      <c r="I59" s="70">
        <f>'[1](2)'!I59+'(3)'!G59</f>
        <v>5486</v>
      </c>
      <c r="J59" s="68">
        <f>IFERROR(I59/SUM($I$56:$I$59),0)</f>
        <v>4.0741289469980783E-2</v>
      </c>
    </row>
    <row r="60" spans="1:11" x14ac:dyDescent="0.3">
      <c r="E60" s="72">
        <f>SUM(E56:E59)</f>
        <v>2240550</v>
      </c>
    </row>
    <row r="61" spans="1:11" x14ac:dyDescent="0.3">
      <c r="A61" s="1" t="s">
        <v>77</v>
      </c>
    </row>
    <row r="62" spans="1:11" ht="3.75" customHeight="1" x14ac:dyDescent="0.3"/>
    <row r="63" spans="1:11" x14ac:dyDescent="0.3">
      <c r="A63" s="73" t="str">
        <f>IF(K8&gt;0,1,"")</f>
        <v/>
      </c>
      <c r="B63" s="74" t="s">
        <v>78</v>
      </c>
    </row>
    <row r="64" spans="1:11" x14ac:dyDescent="0.3">
      <c r="A64" s="73">
        <f>IF(K8&lt;0,1,"")</f>
        <v>1</v>
      </c>
      <c r="B64" s="74" t="s">
        <v>79</v>
      </c>
    </row>
    <row r="65" spans="1:10" ht="3.75" customHeight="1" x14ac:dyDescent="0.3"/>
    <row r="66" spans="1:10" x14ac:dyDescent="0.3">
      <c r="A66" s="1" t="s">
        <v>80</v>
      </c>
    </row>
    <row r="67" spans="1:10" ht="6.75" customHeight="1" x14ac:dyDescent="0.3"/>
    <row r="68" spans="1:10" x14ac:dyDescent="0.3">
      <c r="A68" s="75"/>
      <c r="B68" s="74" t="s">
        <v>81</v>
      </c>
      <c r="D68" s="10"/>
      <c r="E68" s="9"/>
      <c r="F68" s="9"/>
      <c r="G68" s="9"/>
      <c r="H68" s="9"/>
      <c r="I68" s="9"/>
      <c r="J68" s="9"/>
    </row>
    <row r="69" spans="1:10" x14ac:dyDescent="0.3">
      <c r="A69" s="73">
        <f>IF(K51&gt;0,1,"")</f>
        <v>1</v>
      </c>
      <c r="B69" s="74" t="s">
        <v>82</v>
      </c>
      <c r="D69" s="58"/>
      <c r="E69" s="64"/>
      <c r="F69" s="64"/>
      <c r="G69" s="64"/>
      <c r="H69" s="64"/>
      <c r="I69" s="64"/>
      <c r="J69" s="64"/>
    </row>
    <row r="70" spans="1:10" x14ac:dyDescent="0.3">
      <c r="A70" s="73" t="str">
        <f>IF(K52&gt;0,1,"")</f>
        <v/>
      </c>
      <c r="B70" s="74" t="s">
        <v>83</v>
      </c>
      <c r="D70" s="58"/>
      <c r="E70" s="64"/>
      <c r="F70" s="64"/>
      <c r="G70" s="64"/>
      <c r="H70" s="64"/>
      <c r="I70" s="64"/>
      <c r="J70" s="64"/>
    </row>
    <row r="71" spans="1:10" x14ac:dyDescent="0.3">
      <c r="A71" s="75"/>
      <c r="B71" s="74" t="s">
        <v>84</v>
      </c>
      <c r="D71" s="58"/>
      <c r="E71" s="64"/>
      <c r="F71" s="64"/>
      <c r="G71" s="64"/>
      <c r="H71" s="64"/>
      <c r="I71" s="64"/>
      <c r="J71" s="64"/>
    </row>
    <row r="73" spans="1:10" ht="15" customHeight="1" x14ac:dyDescent="0.3">
      <c r="D73" s="74" t="s">
        <v>8</v>
      </c>
      <c r="E73" s="74"/>
      <c r="F73" s="74"/>
      <c r="G73" s="74" t="s">
        <v>9</v>
      </c>
      <c r="H73" s="74"/>
      <c r="I73" s="74"/>
      <c r="J73" s="74"/>
    </row>
    <row r="74" spans="1:10" x14ac:dyDescent="0.3">
      <c r="B74" s="74" t="s">
        <v>85</v>
      </c>
      <c r="D74" s="76" t="s">
        <v>86</v>
      </c>
      <c r="E74" s="77"/>
      <c r="F74" s="7"/>
      <c r="G74" s="76" t="s">
        <v>86</v>
      </c>
      <c r="H74" s="9"/>
      <c r="I74" s="9"/>
      <c r="J74" s="9"/>
    </row>
    <row r="75" spans="1:10" x14ac:dyDescent="0.3">
      <c r="D75" s="58" t="s">
        <v>87</v>
      </c>
      <c r="E75" s="64"/>
      <c r="G75" s="58" t="s">
        <v>88</v>
      </c>
      <c r="H75" s="9"/>
      <c r="I75" s="9"/>
      <c r="J75" s="9"/>
    </row>
    <row r="76" spans="1:10" x14ac:dyDescent="0.3">
      <c r="D76" s="1" t="s">
        <v>89</v>
      </c>
      <c r="G76" s="1" t="s">
        <v>90</v>
      </c>
      <c r="H76" s="9"/>
      <c r="I76" s="9"/>
      <c r="J76" s="9"/>
    </row>
    <row r="77" spans="1:10" x14ac:dyDescent="0.3">
      <c r="D77" s="58" t="s">
        <v>91</v>
      </c>
      <c r="E77" s="64"/>
      <c r="G77" s="58" t="s">
        <v>92</v>
      </c>
      <c r="H77" s="9"/>
      <c r="I77" s="9"/>
      <c r="J77" s="9"/>
    </row>
    <row r="78" spans="1:10" x14ac:dyDescent="0.3">
      <c r="D78" s="58" t="s">
        <v>93</v>
      </c>
      <c r="E78" s="64"/>
      <c r="G78" s="58"/>
      <c r="H78" s="9"/>
      <c r="I78" s="9"/>
      <c r="J78" s="9"/>
    </row>
    <row r="79" spans="1:10" s="74" customFormat="1" x14ac:dyDescent="0.3">
      <c r="D79" s="66" t="s">
        <v>94</v>
      </c>
      <c r="E79" s="65"/>
      <c r="F79" s="7"/>
      <c r="G79" s="66" t="s">
        <v>94</v>
      </c>
      <c r="H79" s="77"/>
      <c r="I79" s="77"/>
      <c r="J79" s="77"/>
    </row>
    <row r="80" spans="1:10" x14ac:dyDescent="0.3">
      <c r="D80" s="58" t="s">
        <v>95</v>
      </c>
      <c r="E80" s="64"/>
      <c r="G80" s="58" t="s">
        <v>96</v>
      </c>
      <c r="H80" s="9"/>
      <c r="I80" s="9"/>
      <c r="J80" s="9"/>
    </row>
    <row r="81" spans="2:11" x14ac:dyDescent="0.3">
      <c r="D81" s="58" t="s">
        <v>97</v>
      </c>
      <c r="E81" s="64"/>
      <c r="G81" s="1" t="s">
        <v>98</v>
      </c>
      <c r="H81" s="9"/>
      <c r="I81" s="9"/>
      <c r="J81" s="9"/>
    </row>
    <row r="82" spans="2:11" x14ac:dyDescent="0.3">
      <c r="E82" s="64"/>
      <c r="G82" s="58" t="s">
        <v>99</v>
      </c>
      <c r="H82" s="9"/>
      <c r="I82" s="9"/>
      <c r="J82" s="9"/>
    </row>
    <row r="83" spans="2:11" x14ac:dyDescent="0.3">
      <c r="D83" s="58"/>
      <c r="E83" s="64"/>
      <c r="G83" s="58"/>
      <c r="H83" s="9"/>
      <c r="I83" s="9"/>
      <c r="J83" s="9"/>
    </row>
    <row r="89" spans="2:11" ht="15" customHeight="1" x14ac:dyDescent="0.3">
      <c r="E89" s="1"/>
      <c r="H89" s="1"/>
      <c r="I89" s="1"/>
    </row>
    <row r="90" spans="2:11" x14ac:dyDescent="0.3">
      <c r="B90" s="78" t="s">
        <v>100</v>
      </c>
      <c r="C90" s="78"/>
      <c r="E90" s="78" t="s">
        <v>101</v>
      </c>
      <c r="F90" s="78"/>
      <c r="I90" s="78" t="s">
        <v>102</v>
      </c>
      <c r="J90" s="78"/>
    </row>
    <row r="91" spans="2:11" x14ac:dyDescent="0.3">
      <c r="B91" s="79" t="s">
        <v>103</v>
      </c>
      <c r="C91" s="79"/>
      <c r="E91" s="79" t="s">
        <v>104</v>
      </c>
      <c r="F91" s="79"/>
      <c r="I91" s="79" t="s">
        <v>105</v>
      </c>
      <c r="J91" s="79"/>
    </row>
    <row r="92" spans="2:11" x14ac:dyDescent="0.3">
      <c r="E92" s="1"/>
      <c r="K92" s="6"/>
    </row>
  </sheetData>
  <mergeCells count="59">
    <mergeCell ref="B91:C91"/>
    <mergeCell ref="E91:F91"/>
    <mergeCell ref="I91:J91"/>
    <mergeCell ref="A54:B59"/>
    <mergeCell ref="C54:C55"/>
    <mergeCell ref="E54:F54"/>
    <mergeCell ref="G54:H54"/>
    <mergeCell ref="I54:J54"/>
    <mergeCell ref="B90:C90"/>
    <mergeCell ref="E90:F90"/>
    <mergeCell ref="I90:J90"/>
    <mergeCell ref="C48:D48"/>
    <mergeCell ref="C49:D49"/>
    <mergeCell ref="C50:D50"/>
    <mergeCell ref="A51:B52"/>
    <mergeCell ref="C51:D51"/>
    <mergeCell ref="E51:H51"/>
    <mergeCell ref="C52:D52"/>
    <mergeCell ref="E52:H52"/>
    <mergeCell ref="B30:B50"/>
    <mergeCell ref="C30:D30"/>
    <mergeCell ref="C31:D31"/>
    <mergeCell ref="C32:D32"/>
    <mergeCell ref="C33:D33"/>
    <mergeCell ref="C34:D34"/>
    <mergeCell ref="C35:D35"/>
    <mergeCell ref="C36:D36"/>
    <mergeCell ref="C45:D45"/>
    <mergeCell ref="C46:D46"/>
    <mergeCell ref="C20:D20"/>
    <mergeCell ref="C21:D21"/>
    <mergeCell ref="B22:B29"/>
    <mergeCell ref="C22:D22"/>
    <mergeCell ref="C24:D24"/>
    <mergeCell ref="C25:D25"/>
    <mergeCell ref="C26:D26"/>
    <mergeCell ref="C27:D27"/>
    <mergeCell ref="C28:D28"/>
    <mergeCell ref="C29:D29"/>
    <mergeCell ref="C10:D10"/>
    <mergeCell ref="C11:D11"/>
    <mergeCell ref="C13:D13"/>
    <mergeCell ref="B14:B21"/>
    <mergeCell ref="C14:D14"/>
    <mergeCell ref="C15:D15"/>
    <mergeCell ref="C16:D16"/>
    <mergeCell ref="C17:D17"/>
    <mergeCell ref="C18:D18"/>
    <mergeCell ref="C19:D19"/>
    <mergeCell ref="C1:K1"/>
    <mergeCell ref="C2:K2"/>
    <mergeCell ref="A6:A50"/>
    <mergeCell ref="B6:D7"/>
    <mergeCell ref="E6:F6"/>
    <mergeCell ref="G6:H6"/>
    <mergeCell ref="I6:K6"/>
    <mergeCell ref="B8:B13"/>
    <mergeCell ref="C8:D8"/>
    <mergeCell ref="C9:D9"/>
  </mergeCells>
  <conditionalFormatting sqref="K45:K50 K8:K18 K20:K42">
    <cfRule type="cellIs" dxfId="10" priority="10" stopIfTrue="1" operator="lessThan">
      <formula>0</formula>
    </cfRule>
    <cfRule type="cellIs" dxfId="9" priority="11" stopIfTrue="1" operator="greaterThanOrEqual">
      <formula>0</formula>
    </cfRule>
  </conditionalFormatting>
  <conditionalFormatting sqref="C3">
    <cfRule type="containsText" dxfId="8" priority="9" operator="containsText" text="MGG">
      <formula>NOT(ISERROR(SEARCH("MGG",C3)))</formula>
    </cfRule>
  </conditionalFormatting>
  <conditionalFormatting sqref="K43:K44">
    <cfRule type="cellIs" dxfId="7" priority="7" stopIfTrue="1" operator="lessThan">
      <formula>0</formula>
    </cfRule>
    <cfRule type="cellIs" dxfId="6" priority="8" stopIfTrue="1" operator="greaterThan">
      <formula>0</formula>
    </cfRule>
  </conditionalFormatting>
  <conditionalFormatting sqref="K19">
    <cfRule type="cellIs" dxfId="5" priority="5" stopIfTrue="1" operator="lessThan">
      <formula>0</formula>
    </cfRule>
    <cfRule type="cellIs" dxfId="4" priority="6" stopIfTrue="1" operator="greaterThan">
      <formula>0</formula>
    </cfRule>
  </conditionalFormatting>
  <conditionalFormatting sqref="A63">
    <cfRule type="expression" dxfId="3" priority="4" stopIfTrue="1">
      <formula>K8&gt;0</formula>
    </cfRule>
  </conditionalFormatting>
  <conditionalFormatting sqref="A64">
    <cfRule type="expression" dxfId="2" priority="3" stopIfTrue="1">
      <formula>K8&lt;0</formula>
    </cfRule>
  </conditionalFormatting>
  <conditionalFormatting sqref="A69">
    <cfRule type="expression" dxfId="1" priority="2" stopIfTrue="1">
      <formula>K51&gt;0</formula>
    </cfRule>
  </conditionalFormatting>
  <conditionalFormatting sqref="A70">
    <cfRule type="expression" dxfId="0" priority="1" stopIfTrue="1">
      <formula>K52&gt;0</formula>
    </cfRule>
  </conditionalFormatting>
  <printOptions horizontalCentered="1"/>
  <pageMargins left="0.12" right="0.14000000000000001" top="1.8" bottom="0.26" header="0.3" footer="0.3"/>
  <pageSetup paperSize="9" scale="6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2022-02-25T09:04:07Z</dcterms:created>
  <dcterms:modified xsi:type="dcterms:W3CDTF">2022-02-25T09:04:24Z</dcterms:modified>
</cp:coreProperties>
</file>